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defaultThemeVersion="124226"/>
  <bookViews>
    <workbookView xWindow="0" yWindow="0" windowWidth="17016" windowHeight="9144" activeTab="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22">'15.sz.mell'!$A$1:$C$16</definedName>
    <definedName name="_xlnm.Print_Area" localSheetId="5">'4. sz.mell'!$A$1:$N$30</definedName>
    <definedName name="_xlnm.Print_Area" localSheetId="7">'6.sz.mell'!$A$1:$F$22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E26" i="34"/>
  <c r="I16"/>
  <c r="G16"/>
  <c r="E16"/>
  <c r="I38" i="18"/>
  <c r="H48"/>
  <c r="H49"/>
  <c r="J38"/>
  <c r="G27" i="9"/>
  <c r="G22"/>
  <c r="H15"/>
  <c r="H5"/>
  <c r="I49" i="7" l="1"/>
  <c r="I52" s="1"/>
  <c r="G56"/>
  <c r="H56"/>
  <c r="H57" s="1"/>
  <c r="I56"/>
  <c r="I57" s="1"/>
  <c r="F56"/>
  <c r="G57"/>
  <c r="H48"/>
  <c r="H38"/>
  <c r="I18"/>
  <c r="I24"/>
  <c r="H24"/>
  <c r="I21"/>
  <c r="O5" i="23" l="1"/>
  <c r="L157" i="16"/>
  <c r="L158"/>
  <c r="M152"/>
  <c r="M149"/>
  <c r="M150"/>
  <c r="M147"/>
  <c r="M138"/>
  <c r="M137"/>
  <c r="M135"/>
  <c r="M134"/>
  <c r="M126"/>
  <c r="M125"/>
  <c r="M120"/>
  <c r="M119"/>
  <c r="M108"/>
  <c r="M104"/>
  <c r="M105"/>
  <c r="M102"/>
  <c r="M99"/>
  <c r="M98"/>
  <c r="M84"/>
  <c r="M81"/>
  <c r="M77"/>
  <c r="M69"/>
  <c r="M68"/>
  <c r="M66"/>
  <c r="M65"/>
  <c r="M54"/>
  <c r="M53"/>
  <c r="M51"/>
  <c r="M48"/>
  <c r="M47"/>
  <c r="M45"/>
  <c r="M44"/>
  <c r="M17"/>
  <c r="M18"/>
  <c r="M14"/>
  <c r="M8"/>
  <c r="I110" i="15"/>
  <c r="J110"/>
  <c r="K110"/>
  <c r="L110"/>
  <c r="M110"/>
  <c r="I109"/>
  <c r="J109"/>
  <c r="K109"/>
  <c r="L109"/>
  <c r="M109"/>
  <c r="H109"/>
  <c r="H110"/>
  <c r="G110"/>
  <c r="G109"/>
  <c r="F110"/>
  <c r="F109"/>
  <c r="E110" l="1"/>
  <c r="M85"/>
  <c r="M86"/>
  <c r="M87"/>
  <c r="M47"/>
  <c r="M39"/>
  <c r="M38"/>
  <c r="M35"/>
  <c r="M30"/>
  <c r="M29"/>
  <c r="M28"/>
  <c r="M5"/>
  <c r="D110"/>
  <c r="K7" i="11"/>
  <c r="K8"/>
  <c r="K9"/>
  <c r="K10"/>
  <c r="K11"/>
  <c r="K12"/>
  <c r="K13"/>
  <c r="K14"/>
  <c r="K15"/>
  <c r="K16"/>
  <c r="K17"/>
  <c r="K18"/>
  <c r="I7"/>
  <c r="I8"/>
  <c r="I9"/>
  <c r="I10"/>
  <c r="I11"/>
  <c r="I12"/>
  <c r="I13"/>
  <c r="I14"/>
  <c r="I15"/>
  <c r="I16"/>
  <c r="I17"/>
  <c r="I18"/>
  <c r="G7"/>
  <c r="G8"/>
  <c r="G9"/>
  <c r="G10"/>
  <c r="G11"/>
  <c r="G12"/>
  <c r="G13"/>
  <c r="G14"/>
  <c r="G15"/>
  <c r="G16"/>
  <c r="G17"/>
  <c r="G18"/>
  <c r="E7"/>
  <c r="E8"/>
  <c r="E9"/>
  <c r="E10"/>
  <c r="E11"/>
  <c r="E12"/>
  <c r="E13"/>
  <c r="E14"/>
  <c r="E15"/>
  <c r="E16"/>
  <c r="E17"/>
  <c r="E18"/>
  <c r="C7"/>
  <c r="C8"/>
  <c r="C9"/>
  <c r="C10"/>
  <c r="C11"/>
  <c r="C12"/>
  <c r="C13"/>
  <c r="C14"/>
  <c r="C15"/>
  <c r="C16"/>
  <c r="C17"/>
  <c r="C18"/>
  <c r="D18"/>
  <c r="F18"/>
  <c r="H18"/>
  <c r="J18"/>
  <c r="L18"/>
  <c r="B18"/>
  <c r="H75" i="14" l="1"/>
  <c r="I75"/>
  <c r="J113"/>
  <c r="J112"/>
  <c r="H106"/>
  <c r="I106"/>
  <c r="J106"/>
  <c r="H105"/>
  <c r="I105"/>
  <c r="J105"/>
  <c r="H95"/>
  <c r="H96"/>
  <c r="H97"/>
  <c r="H98"/>
  <c r="H99"/>
  <c r="H100"/>
  <c r="H101"/>
  <c r="H102"/>
  <c r="H103"/>
  <c r="H104"/>
  <c r="H107"/>
  <c r="H108"/>
  <c r="H109"/>
  <c r="H110"/>
  <c r="H111"/>
  <c r="I95"/>
  <c r="J95"/>
  <c r="K82"/>
  <c r="K83"/>
  <c r="K84"/>
  <c r="K85"/>
  <c r="K86"/>
  <c r="K89"/>
  <c r="K91"/>
  <c r="K92"/>
  <c r="K93"/>
  <c r="K94"/>
  <c r="K96"/>
  <c r="K97"/>
  <c r="K98"/>
  <c r="K103"/>
  <c r="K104"/>
  <c r="K107"/>
  <c r="K109"/>
  <c r="K110"/>
  <c r="K81"/>
  <c r="H83"/>
  <c r="H84"/>
  <c r="H85"/>
  <c r="H86"/>
  <c r="H87"/>
  <c r="H88"/>
  <c r="H89"/>
  <c r="H90"/>
  <c r="H91"/>
  <c r="H92"/>
  <c r="H93"/>
  <c r="H94"/>
  <c r="J76" l="1"/>
  <c r="J75"/>
  <c r="K75" s="1"/>
  <c r="J69"/>
  <c r="J70" s="1"/>
  <c r="J66"/>
  <c r="J63"/>
  <c r="J57"/>
  <c r="J45"/>
  <c r="K40"/>
  <c r="K41"/>
  <c r="K42"/>
  <c r="K44"/>
  <c r="K46"/>
  <c r="K47"/>
  <c r="K48"/>
  <c r="K49"/>
  <c r="K50"/>
  <c r="K51"/>
  <c r="K53"/>
  <c r="K54"/>
  <c r="K55"/>
  <c r="K56"/>
  <c r="K59"/>
  <c r="K60"/>
  <c r="K65"/>
  <c r="K66"/>
  <c r="K67"/>
  <c r="K68"/>
  <c r="K72"/>
  <c r="K73"/>
  <c r="K74"/>
  <c r="K23"/>
  <c r="H23"/>
  <c r="K22"/>
  <c r="K24"/>
  <c r="K26"/>
  <c r="K33"/>
  <c r="K34"/>
  <c r="K35"/>
  <c r="K36"/>
  <c r="K37"/>
  <c r="K38"/>
  <c r="K14"/>
  <c r="K16"/>
  <c r="K18"/>
  <c r="K19"/>
  <c r="K20"/>
  <c r="K21"/>
  <c r="K7"/>
  <c r="K8"/>
  <c r="K9"/>
  <c r="K10"/>
  <c r="K12"/>
  <c r="K6"/>
  <c r="D13" i="11" l="1"/>
  <c r="F13"/>
  <c r="H13"/>
  <c r="J13"/>
  <c r="B13"/>
  <c r="L9"/>
  <c r="L11"/>
  <c r="H26" i="9"/>
  <c r="I26"/>
  <c r="F26"/>
  <c r="G24"/>
  <c r="G25"/>
  <c r="K58" i="7"/>
  <c r="K57"/>
  <c r="K52"/>
  <c r="I27" i="9"/>
  <c r="H22" i="32"/>
  <c r="H19"/>
  <c r="H17"/>
  <c r="H10"/>
  <c r="E22"/>
  <c r="F22"/>
  <c r="G22"/>
  <c r="G19"/>
  <c r="K17" i="7"/>
  <c r="K20" i="6"/>
  <c r="L20"/>
  <c r="M20"/>
  <c r="N20"/>
  <c r="K19"/>
  <c r="L19"/>
  <c r="M19"/>
  <c r="N19"/>
  <c r="K18"/>
  <c r="L18"/>
  <c r="M18"/>
  <c r="N18"/>
  <c r="G20" s="1"/>
  <c r="K17"/>
  <c r="L17"/>
  <c r="M17"/>
  <c r="N17"/>
  <c r="O17" s="1"/>
  <c r="L12"/>
  <c r="M12"/>
  <c r="N12"/>
  <c r="O12" s="1"/>
  <c r="O7"/>
  <c r="O8"/>
  <c r="O13"/>
  <c r="O6"/>
  <c r="E20"/>
  <c r="D19"/>
  <c r="E19"/>
  <c r="G19"/>
  <c r="H7"/>
  <c r="H8"/>
  <c r="H12"/>
  <c r="H14"/>
  <c r="H15"/>
  <c r="H16"/>
  <c r="H17"/>
  <c r="H18"/>
  <c r="H6"/>
  <c r="L20" i="5"/>
  <c r="M20"/>
  <c r="N20"/>
  <c r="O7"/>
  <c r="O8"/>
  <c r="O9"/>
  <c r="O10"/>
  <c r="O11"/>
  <c r="O12"/>
  <c r="O16"/>
  <c r="O6"/>
  <c r="H15"/>
  <c r="H16"/>
  <c r="H17"/>
  <c r="H7" l="1"/>
  <c r="H8"/>
  <c r="H9"/>
  <c r="H10"/>
  <c r="H6"/>
  <c r="E113" i="1"/>
  <c r="F113"/>
  <c r="G113"/>
  <c r="H113"/>
  <c r="E112"/>
  <c r="F112"/>
  <c r="G112"/>
  <c r="H112"/>
  <c r="F96"/>
  <c r="G96"/>
  <c r="H96"/>
  <c r="I83"/>
  <c r="I84"/>
  <c r="I85"/>
  <c r="I86"/>
  <c r="I87"/>
  <c r="I90"/>
  <c r="I92"/>
  <c r="I93"/>
  <c r="I94"/>
  <c r="I95"/>
  <c r="I97"/>
  <c r="I98"/>
  <c r="I99"/>
  <c r="I104"/>
  <c r="I105"/>
  <c r="I108"/>
  <c r="I110"/>
  <c r="I82"/>
  <c r="F76"/>
  <c r="G76"/>
  <c r="H76"/>
  <c r="I72"/>
  <c r="I73"/>
  <c r="I74"/>
  <c r="I7"/>
  <c r="I8"/>
  <c r="I9"/>
  <c r="I10"/>
  <c r="I12"/>
  <c r="I14"/>
  <c r="I16"/>
  <c r="I18"/>
  <c r="I19"/>
  <c r="I20"/>
  <c r="I21"/>
  <c r="I22"/>
  <c r="I24"/>
  <c r="I25"/>
  <c r="I26"/>
  <c r="I33"/>
  <c r="I34"/>
  <c r="I35"/>
  <c r="I36"/>
  <c r="I37"/>
  <c r="I38"/>
  <c r="I40"/>
  <c r="I41"/>
  <c r="I42"/>
  <c r="I44"/>
  <c r="I46"/>
  <c r="I47"/>
  <c r="I48"/>
  <c r="I49"/>
  <c r="I50"/>
  <c r="I51"/>
  <c r="I53"/>
  <c r="I54"/>
  <c r="I55"/>
  <c r="I56"/>
  <c r="I59"/>
  <c r="I60"/>
  <c r="I65"/>
  <c r="I67"/>
  <c r="I6"/>
  <c r="F10"/>
  <c r="L6" i="22" l="1"/>
  <c r="L7"/>
  <c r="J60" i="18"/>
  <c r="E56"/>
  <c r="F56"/>
  <c r="G56"/>
  <c r="H56"/>
  <c r="I56"/>
  <c r="J56"/>
  <c r="K56" s="1"/>
  <c r="H53"/>
  <c r="J52"/>
  <c r="H52"/>
  <c r="I52"/>
  <c r="I57" s="1"/>
  <c r="I60" s="1"/>
  <c r="H50"/>
  <c r="H51"/>
  <c r="K48"/>
  <c r="K49"/>
  <c r="K53"/>
  <c r="K47"/>
  <c r="J41"/>
  <c r="J40"/>
  <c r="J29"/>
  <c r="J33" s="1"/>
  <c r="J42" s="1"/>
  <c r="K25"/>
  <c r="K31"/>
  <c r="K34"/>
  <c r="K35"/>
  <c r="K37"/>
  <c r="K38"/>
  <c r="K39"/>
  <c r="K17"/>
  <c r="H9"/>
  <c r="H10"/>
  <c r="H11"/>
  <c r="H12"/>
  <c r="H13"/>
  <c r="H14"/>
  <c r="H15"/>
  <c r="H16"/>
  <c r="H17"/>
  <c r="H18"/>
  <c r="H19"/>
  <c r="H20"/>
  <c r="H21"/>
  <c r="H22"/>
  <c r="H23"/>
  <c r="H24"/>
  <c r="H26"/>
  <c r="H27"/>
  <c r="H28"/>
  <c r="H30"/>
  <c r="H31"/>
  <c r="H32"/>
  <c r="H34"/>
  <c r="H35"/>
  <c r="H36"/>
  <c r="H37"/>
  <c r="H39"/>
  <c r="H8"/>
  <c r="K10"/>
  <c r="J10"/>
  <c r="K8"/>
  <c r="H57" l="1"/>
  <c r="H60" s="1"/>
  <c r="J57"/>
  <c r="E18" i="19"/>
  <c r="F18"/>
  <c r="H18"/>
  <c r="I18"/>
  <c r="J18"/>
  <c r="K18"/>
  <c r="L18"/>
  <c r="E17"/>
  <c r="F17"/>
  <c r="G17"/>
  <c r="H17"/>
  <c r="I17"/>
  <c r="J17"/>
  <c r="K17"/>
  <c r="L17"/>
  <c r="D18"/>
  <c r="D17"/>
  <c r="L60" i="17"/>
  <c r="I60"/>
  <c r="J60"/>
  <c r="K60"/>
  <c r="L56"/>
  <c r="L57"/>
  <c r="I57"/>
  <c r="J57"/>
  <c r="K57"/>
  <c r="H56"/>
  <c r="I56"/>
  <c r="J56"/>
  <c r="K56"/>
  <c r="I53"/>
  <c r="L52"/>
  <c r="L53"/>
  <c r="I52"/>
  <c r="J52"/>
  <c r="K52"/>
  <c r="L48"/>
  <c r="L49"/>
  <c r="L50"/>
  <c r="L47"/>
  <c r="I48"/>
  <c r="I49"/>
  <c r="I50"/>
  <c r="I51"/>
  <c r="I47"/>
  <c r="I42" l="1"/>
  <c r="J42"/>
  <c r="K42"/>
  <c r="I41"/>
  <c r="J41"/>
  <c r="K41"/>
  <c r="I33"/>
  <c r="J33"/>
  <c r="K33"/>
  <c r="I40"/>
  <c r="J40"/>
  <c r="K40"/>
  <c r="I38"/>
  <c r="I39"/>
  <c r="I37"/>
  <c r="J29"/>
  <c r="K29"/>
  <c r="L18"/>
  <c r="L19"/>
  <c r="L23"/>
  <c r="L25"/>
  <c r="L28"/>
  <c r="L34"/>
  <c r="L37"/>
  <c r="L38"/>
  <c r="L39"/>
  <c r="L17"/>
  <c r="I27"/>
  <c r="I28"/>
  <c r="I18"/>
  <c r="I19"/>
  <c r="I20"/>
  <c r="I21"/>
  <c r="I22"/>
  <c r="I23"/>
  <c r="I24"/>
  <c r="I25"/>
  <c r="I17"/>
  <c r="D109" i="15"/>
  <c r="L29" i="17" l="1"/>
  <c r="E15" i="20"/>
  <c r="F15"/>
  <c r="G15"/>
  <c r="H15"/>
  <c r="I15"/>
  <c r="J15"/>
  <c r="K15"/>
  <c r="L15"/>
  <c r="D15"/>
  <c r="E15" i="22"/>
  <c r="F15"/>
  <c r="G15"/>
  <c r="H15"/>
  <c r="I15"/>
  <c r="J15"/>
  <c r="K15"/>
  <c r="D15"/>
  <c r="E12" i="21"/>
  <c r="F12"/>
  <c r="G12"/>
  <c r="H12"/>
  <c r="I12"/>
  <c r="J12"/>
  <c r="K12"/>
  <c r="D12"/>
  <c r="E11"/>
  <c r="F11"/>
  <c r="G11"/>
  <c r="H11"/>
  <c r="I11"/>
  <c r="J11"/>
  <c r="K11"/>
  <c r="D11"/>
  <c r="E158" i="16"/>
  <c r="G158"/>
  <c r="H158"/>
  <c r="J158"/>
  <c r="K158"/>
  <c r="D158"/>
  <c r="H82" i="14"/>
  <c r="H81"/>
  <c r="G75"/>
  <c r="H73"/>
  <c r="H74"/>
  <c r="H72"/>
  <c r="H65"/>
  <c r="H66"/>
  <c r="H67"/>
  <c r="H68"/>
  <c r="H64"/>
  <c r="G63"/>
  <c r="H63"/>
  <c r="I63"/>
  <c r="K63" s="1"/>
  <c r="H59"/>
  <c r="H60"/>
  <c r="H61"/>
  <c r="H62"/>
  <c r="H58"/>
  <c r="I57"/>
  <c r="K57" s="1"/>
  <c r="H47"/>
  <c r="H48"/>
  <c r="H49"/>
  <c r="H51"/>
  <c r="H52"/>
  <c r="H53"/>
  <c r="H54"/>
  <c r="H55"/>
  <c r="H56"/>
  <c r="H46"/>
  <c r="I45"/>
  <c r="K45" s="1"/>
  <c r="H41"/>
  <c r="H42"/>
  <c r="H43"/>
  <c r="H44"/>
  <c r="H35"/>
  <c r="H37"/>
  <c r="H38"/>
  <c r="H39"/>
  <c r="H40"/>
  <c r="I31"/>
  <c r="J31"/>
  <c r="G31"/>
  <c r="H31"/>
  <c r="H26"/>
  <c r="H27"/>
  <c r="H28"/>
  <c r="H29"/>
  <c r="H30"/>
  <c r="H24"/>
  <c r="H15"/>
  <c r="H16"/>
  <c r="H17"/>
  <c r="H18"/>
  <c r="H19"/>
  <c r="H20"/>
  <c r="H21"/>
  <c r="H14"/>
  <c r="I12"/>
  <c r="I22" s="1"/>
  <c r="J12"/>
  <c r="J22" s="1"/>
  <c r="H7"/>
  <c r="H8"/>
  <c r="H9"/>
  <c r="H10"/>
  <c r="H11"/>
  <c r="H6"/>
  <c r="D17" i="1"/>
  <c r="E18" i="32"/>
  <c r="E17"/>
  <c r="E5"/>
  <c r="E6"/>
  <c r="E4"/>
  <c r="D5"/>
  <c r="D6"/>
  <c r="D7"/>
  <c r="E7" s="1"/>
  <c r="D8"/>
  <c r="E8" s="1"/>
  <c r="D4"/>
  <c r="G23" i="9"/>
  <c r="G26" s="1"/>
  <c r="J59" i="7"/>
  <c r="I30"/>
  <c r="I33" s="1"/>
  <c r="K33" s="1"/>
  <c r="J30"/>
  <c r="I17"/>
  <c r="I15"/>
  <c r="J15"/>
  <c r="H32"/>
  <c r="H30" s="1"/>
  <c r="H41"/>
  <c r="H43"/>
  <c r="H51"/>
  <c r="H58"/>
  <c r="H5"/>
  <c r="F17" i="6"/>
  <c r="G17"/>
  <c r="E16"/>
  <c r="F12"/>
  <c r="G12"/>
  <c r="M19" i="5"/>
  <c r="N19"/>
  <c r="O19" s="1"/>
  <c r="L17"/>
  <c r="L18"/>
  <c r="M13"/>
  <c r="N13"/>
  <c r="G21" s="1"/>
  <c r="F19"/>
  <c r="G19"/>
  <c r="G22" s="1"/>
  <c r="F13"/>
  <c r="G13"/>
  <c r="E12"/>
  <c r="I59" i="7" l="1"/>
  <c r="K31" i="14"/>
  <c r="H12"/>
  <c r="H22" s="1"/>
  <c r="F21" i="5"/>
  <c r="O13"/>
  <c r="N21"/>
  <c r="H19"/>
  <c r="H13"/>
  <c r="G18" i="6"/>
  <c r="N22" i="5"/>
  <c r="F20"/>
  <c r="M21"/>
  <c r="F18" i="6"/>
  <c r="G20" i="5"/>
  <c r="I112" i="1"/>
  <c r="F111"/>
  <c r="G106"/>
  <c r="H106"/>
  <c r="H107" s="1"/>
  <c r="F98"/>
  <c r="F97"/>
  <c r="F84"/>
  <c r="F92"/>
  <c r="F93"/>
  <c r="F95"/>
  <c r="I76"/>
  <c r="F75"/>
  <c r="F74"/>
  <c r="F73"/>
  <c r="F72"/>
  <c r="G69"/>
  <c r="H69"/>
  <c r="F68"/>
  <c r="F67"/>
  <c r="F69" s="1"/>
  <c r="G66"/>
  <c r="H66"/>
  <c r="F65"/>
  <c r="F64"/>
  <c r="G63"/>
  <c r="H63"/>
  <c r="G57"/>
  <c r="H57"/>
  <c r="F51"/>
  <c r="F46"/>
  <c r="G45"/>
  <c r="H45"/>
  <c r="G31"/>
  <c r="H31"/>
  <c r="F26"/>
  <c r="F27"/>
  <c r="F28"/>
  <c r="F29"/>
  <c r="F30"/>
  <c r="F16"/>
  <c r="F18"/>
  <c r="G12"/>
  <c r="G22" s="1"/>
  <c r="H12"/>
  <c r="H22" s="1"/>
  <c r="H20" i="5" l="1"/>
  <c r="I106" i="1"/>
  <c r="G107"/>
  <c r="I96"/>
  <c r="H118"/>
  <c r="I69"/>
  <c r="I66"/>
  <c r="I63"/>
  <c r="I57"/>
  <c r="I45"/>
  <c r="H70"/>
  <c r="H77" s="1"/>
  <c r="I31"/>
  <c r="F66"/>
  <c r="G70"/>
  <c r="G77" s="1"/>
  <c r="I113" l="1"/>
  <c r="I107"/>
  <c r="I70"/>
  <c r="H117"/>
  <c r="I77"/>
  <c r="K157" i="16"/>
  <c r="E157"/>
  <c r="F157"/>
  <c r="G157"/>
  <c r="H157"/>
  <c r="I157"/>
  <c r="J157"/>
  <c r="D157"/>
  <c r="M89"/>
  <c r="M142" l="1"/>
  <c r="M143"/>
  <c r="M144"/>
  <c r="M145"/>
  <c r="M128"/>
  <c r="M129"/>
  <c r="M130"/>
  <c r="M131"/>
  <c r="M132"/>
  <c r="M123"/>
  <c r="M117"/>
  <c r="M112"/>
  <c r="M113"/>
  <c r="M114"/>
  <c r="M110"/>
  <c r="M111"/>
  <c r="M107"/>
  <c r="M57"/>
  <c r="M58"/>
  <c r="M59"/>
  <c r="M60"/>
  <c r="M40"/>
  <c r="M41"/>
  <c r="M42"/>
  <c r="M38"/>
  <c r="M39"/>
  <c r="M31"/>
  <c r="M32"/>
  <c r="M33"/>
  <c r="M122" l="1"/>
  <c r="G183" i="13" l="1"/>
  <c r="G184"/>
  <c r="G185"/>
  <c r="G186"/>
  <c r="G187"/>
  <c r="G188"/>
  <c r="G189"/>
  <c r="G190"/>
  <c r="G191"/>
  <c r="G182"/>
  <c r="G160"/>
  <c r="G161"/>
  <c r="G162"/>
  <c r="G163"/>
  <c r="G164"/>
  <c r="G156"/>
  <c r="G157"/>
  <c r="G158"/>
  <c r="G159"/>
  <c r="G155"/>
  <c r="F129"/>
  <c r="F130"/>
  <c r="F131"/>
  <c r="F132"/>
  <c r="F133"/>
  <c r="F134"/>
  <c r="F135"/>
  <c r="F136"/>
  <c r="F137"/>
  <c r="F138"/>
  <c r="F128"/>
  <c r="G180"/>
  <c r="G178"/>
  <c r="G153"/>
  <c r="G151"/>
  <c r="F126"/>
  <c r="F124"/>
  <c r="E109"/>
  <c r="E108"/>
  <c r="E106"/>
  <c r="E99"/>
  <c r="E97"/>
  <c r="E82"/>
  <c r="E81"/>
  <c r="E72"/>
  <c r="E83" s="1"/>
  <c r="E70"/>
  <c r="E55"/>
  <c r="E54"/>
  <c r="E53"/>
  <c r="E46"/>
  <c r="E44"/>
  <c r="G45" i="7"/>
  <c r="H45" s="1"/>
  <c r="G47"/>
  <c r="H47" s="1"/>
  <c r="H50"/>
  <c r="G54"/>
  <c r="H54" s="1"/>
  <c r="G37"/>
  <c r="H37" s="1"/>
  <c r="G39"/>
  <c r="H39" s="1"/>
  <c r="G40"/>
  <c r="H40" s="1"/>
  <c r="G42"/>
  <c r="H42" s="1"/>
  <c r="G29"/>
  <c r="H29" s="1"/>
  <c r="G25"/>
  <c r="H25" s="1"/>
  <c r="G27"/>
  <c r="H27" s="1"/>
  <c r="G14"/>
  <c r="H14" s="1"/>
  <c r="G16"/>
  <c r="H16" s="1"/>
  <c r="G7"/>
  <c r="H7" s="1"/>
  <c r="G8"/>
  <c r="H8" s="1"/>
  <c r="G9"/>
  <c r="H9" s="1"/>
  <c r="G10"/>
  <c r="H10" s="1"/>
  <c r="G11"/>
  <c r="H11" s="1"/>
  <c r="G12"/>
  <c r="H12" s="1"/>
  <c r="G13"/>
  <c r="H13" s="1"/>
  <c r="L16" i="11"/>
  <c r="H15"/>
  <c r="D12"/>
  <c r="F12"/>
  <c r="F17" s="1"/>
  <c r="H12"/>
  <c r="H17" s="1"/>
  <c r="J12"/>
  <c r="J17" s="1"/>
  <c r="B12"/>
  <c r="B17" s="1"/>
  <c r="J10"/>
  <c r="B10"/>
  <c r="L8"/>
  <c r="L10" l="1"/>
  <c r="D17"/>
  <c r="L12"/>
  <c r="E56" i="13"/>
  <c r="L17" i="11" l="1"/>
  <c r="M108" i="15"/>
  <c r="M100"/>
  <c r="M102"/>
  <c r="M101"/>
  <c r="M97"/>
  <c r="M99"/>
  <c r="F98"/>
  <c r="M98" s="1"/>
  <c r="M91"/>
  <c r="M93"/>
  <c r="M92"/>
  <c r="M88"/>
  <c r="M90"/>
  <c r="F89"/>
  <c r="M89" s="1"/>
  <c r="M76"/>
  <c r="M77"/>
  <c r="M78"/>
  <c r="M79"/>
  <c r="M81"/>
  <c r="M80"/>
  <c r="M73"/>
  <c r="M75"/>
  <c r="M74"/>
  <c r="M70"/>
  <c r="M72"/>
  <c r="M71"/>
  <c r="M67"/>
  <c r="M69"/>
  <c r="M68"/>
  <c r="M51"/>
  <c r="M49"/>
  <c r="F50"/>
  <c r="M50" s="1"/>
  <c r="M27"/>
  <c r="F26"/>
  <c r="J23"/>
  <c r="G25" i="14"/>
  <c r="H25" s="1"/>
  <c r="G27"/>
  <c r="G28"/>
  <c r="G29"/>
  <c r="G30"/>
  <c r="G32"/>
  <c r="G34"/>
  <c r="G35"/>
  <c r="G36"/>
  <c r="H36" s="1"/>
  <c r="G38"/>
  <c r="G39"/>
  <c r="G40"/>
  <c r="G43"/>
  <c r="G50"/>
  <c r="G52"/>
  <c r="G58"/>
  <c r="G61"/>
  <c r="G62"/>
  <c r="G64"/>
  <c r="G71"/>
  <c r="F15" i="9"/>
  <c r="F5"/>
  <c r="M26" i="15" l="1"/>
  <c r="H50" i="14"/>
  <c r="H57" s="1"/>
  <c r="G57"/>
  <c r="H34"/>
  <c r="H33" s="1"/>
  <c r="H45" s="1"/>
  <c r="G33"/>
  <c r="G45" s="1"/>
  <c r="F10" i="32"/>
  <c r="E9"/>
  <c r="E10" s="1"/>
  <c r="M107" i="15"/>
  <c r="D59" i="1"/>
  <c r="D60"/>
  <c r="E27"/>
  <c r="E28"/>
  <c r="E29"/>
  <c r="E30"/>
  <c r="L33" i="17" l="1"/>
  <c r="H27" i="9"/>
  <c r="F110" i="14"/>
  <c r="F107"/>
  <c r="F98"/>
  <c r="F97"/>
  <c r="F96"/>
  <c r="F94"/>
  <c r="F92" s="1"/>
  <c r="F91"/>
  <c r="F89"/>
  <c r="F84"/>
  <c r="F83"/>
  <c r="F82"/>
  <c r="F81"/>
  <c r="F79"/>
  <c r="F73"/>
  <c r="F72" s="1"/>
  <c r="F69"/>
  <c r="F66"/>
  <c r="F63"/>
  <c r="F60"/>
  <c r="F56"/>
  <c r="F49"/>
  <c r="G49" s="1"/>
  <c r="F48"/>
  <c r="F47"/>
  <c r="F46"/>
  <c r="F41"/>
  <c r="F37"/>
  <c r="G37" s="1"/>
  <c r="F33"/>
  <c r="F24"/>
  <c r="F20"/>
  <c r="F19"/>
  <c r="F18"/>
  <c r="F16"/>
  <c r="F6"/>
  <c r="F12" s="1"/>
  <c r="E112"/>
  <c r="E105"/>
  <c r="E98"/>
  <c r="E92"/>
  <c r="E85" s="1"/>
  <c r="E95" s="1"/>
  <c r="E106" s="1"/>
  <c r="E72"/>
  <c r="E75" s="1"/>
  <c r="E69"/>
  <c r="E66"/>
  <c r="E63"/>
  <c r="E57"/>
  <c r="E41"/>
  <c r="E37"/>
  <c r="E33"/>
  <c r="E24"/>
  <c r="E31" s="1"/>
  <c r="E14"/>
  <c r="E12"/>
  <c r="D112"/>
  <c r="D98"/>
  <c r="D105" s="1"/>
  <c r="D92"/>
  <c r="D91"/>
  <c r="D72"/>
  <c r="D75" s="1"/>
  <c r="D69"/>
  <c r="D66"/>
  <c r="D63"/>
  <c r="D57"/>
  <c r="D41"/>
  <c r="D37"/>
  <c r="D33"/>
  <c r="D24"/>
  <c r="D31" s="1"/>
  <c r="D14"/>
  <c r="D12"/>
  <c r="L41" i="17" l="1"/>
  <c r="L40"/>
  <c r="D45" i="14"/>
  <c r="E45"/>
  <c r="F31"/>
  <c r="E113"/>
  <c r="F75"/>
  <c r="F85"/>
  <c r="F95" s="1"/>
  <c r="F112"/>
  <c r="D22"/>
  <c r="D70" s="1"/>
  <c r="D85"/>
  <c r="D95" s="1"/>
  <c r="D106" s="1"/>
  <c r="D113" s="1"/>
  <c r="E22"/>
  <c r="F14"/>
  <c r="F45"/>
  <c r="F105"/>
  <c r="F22"/>
  <c r="F51"/>
  <c r="E70"/>
  <c r="E76" s="1"/>
  <c r="D76"/>
  <c r="M15" i="19"/>
  <c r="M16"/>
  <c r="H12"/>
  <c r="J12"/>
  <c r="K12"/>
  <c r="L12"/>
  <c r="M13"/>
  <c r="H9"/>
  <c r="I9"/>
  <c r="J9"/>
  <c r="K9"/>
  <c r="L9"/>
  <c r="M10"/>
  <c r="H6"/>
  <c r="J6"/>
  <c r="K6"/>
  <c r="L6"/>
  <c r="M7"/>
  <c r="L10" i="21"/>
  <c r="L7"/>
  <c r="E14" i="20"/>
  <c r="F14"/>
  <c r="G14"/>
  <c r="H14"/>
  <c r="I14"/>
  <c r="J14"/>
  <c r="K14"/>
  <c r="L14"/>
  <c r="D14"/>
  <c r="G12"/>
  <c r="H12"/>
  <c r="J12"/>
  <c r="K12"/>
  <c r="L12"/>
  <c r="M13"/>
  <c r="M10"/>
  <c r="M9"/>
  <c r="G6"/>
  <c r="H6"/>
  <c r="I6"/>
  <c r="J6"/>
  <c r="K6"/>
  <c r="L6"/>
  <c r="M7"/>
  <c r="E14" i="22"/>
  <c r="F14"/>
  <c r="G14"/>
  <c r="H14"/>
  <c r="I14"/>
  <c r="J14"/>
  <c r="K14"/>
  <c r="D14"/>
  <c r="L12"/>
  <c r="L13"/>
  <c r="L10"/>
  <c r="I40" i="18"/>
  <c r="G15"/>
  <c r="I15"/>
  <c r="I29"/>
  <c r="I10"/>
  <c r="M155" i="16"/>
  <c r="M156"/>
  <c r="M141"/>
  <c r="M116"/>
  <c r="M101"/>
  <c r="M95"/>
  <c r="M96"/>
  <c r="M92"/>
  <c r="M93"/>
  <c r="M90"/>
  <c r="K86"/>
  <c r="M87"/>
  <c r="M83"/>
  <c r="M80"/>
  <c r="M78"/>
  <c r="M74"/>
  <c r="M75"/>
  <c r="M72"/>
  <c r="M62"/>
  <c r="M63"/>
  <c r="M56"/>
  <c r="M50"/>
  <c r="M35"/>
  <c r="M36"/>
  <c r="I158"/>
  <c r="K29"/>
  <c r="M30"/>
  <c r="M27"/>
  <c r="F158"/>
  <c r="M24"/>
  <c r="M21"/>
  <c r="M15"/>
  <c r="M12"/>
  <c r="M11"/>
  <c r="M9"/>
  <c r="M6"/>
  <c r="M37"/>
  <c r="M43"/>
  <c r="M49"/>
  <c r="M52"/>
  <c r="M61"/>
  <c r="M64"/>
  <c r="H70"/>
  <c r="M70" s="1"/>
  <c r="M73"/>
  <c r="M79"/>
  <c r="M82"/>
  <c r="M88"/>
  <c r="M91"/>
  <c r="M97"/>
  <c r="M100"/>
  <c r="M106"/>
  <c r="M109"/>
  <c r="M115"/>
  <c r="M118"/>
  <c r="M124"/>
  <c r="M127"/>
  <c r="M136"/>
  <c r="M139"/>
  <c r="M151"/>
  <c r="M66" i="15"/>
  <c r="M65"/>
  <c r="M48"/>
  <c r="M12"/>
  <c r="M18"/>
  <c r="M21"/>
  <c r="M24"/>
  <c r="M31"/>
  <c r="M32"/>
  <c r="M33"/>
  <c r="M40"/>
  <c r="M41"/>
  <c r="M42"/>
  <c r="M43"/>
  <c r="M44"/>
  <c r="M45"/>
  <c r="M52"/>
  <c r="M53"/>
  <c r="M54"/>
  <c r="M55"/>
  <c r="M56"/>
  <c r="M57"/>
  <c r="M59"/>
  <c r="M60"/>
  <c r="M61"/>
  <c r="M62"/>
  <c r="M63"/>
  <c r="M82"/>
  <c r="M83"/>
  <c r="M84"/>
  <c r="M96"/>
  <c r="M105"/>
  <c r="M13"/>
  <c r="M15"/>
  <c r="K6"/>
  <c r="I112" i="14"/>
  <c r="G108"/>
  <c r="G109"/>
  <c r="G99"/>
  <c r="G100"/>
  <c r="G101"/>
  <c r="G102"/>
  <c r="K95"/>
  <c r="G87"/>
  <c r="G88"/>
  <c r="G90"/>
  <c r="I66"/>
  <c r="I69"/>
  <c r="G11"/>
  <c r="D19" i="32"/>
  <c r="F19"/>
  <c r="D10"/>
  <c r="F19" i="6"/>
  <c r="K9"/>
  <c r="K10"/>
  <c r="D17"/>
  <c r="D10"/>
  <c r="E10" s="1"/>
  <c r="D11"/>
  <c r="E11" s="1"/>
  <c r="K12" i="5"/>
  <c r="L12" s="1"/>
  <c r="L11"/>
  <c r="D11"/>
  <c r="E11" s="1"/>
  <c r="E111" i="1"/>
  <c r="E75"/>
  <c r="G118"/>
  <c r="E69"/>
  <c r="E66"/>
  <c r="H29" i="18" l="1"/>
  <c r="K29"/>
  <c r="M17" i="19"/>
  <c r="M9"/>
  <c r="G18"/>
  <c r="K112" i="14"/>
  <c r="H112"/>
  <c r="K105"/>
  <c r="K69"/>
  <c r="H69"/>
  <c r="H70" s="1"/>
  <c r="H76" s="1"/>
  <c r="I70"/>
  <c r="F22" i="5"/>
  <c r="O20"/>
  <c r="K52" i="18"/>
  <c r="I41"/>
  <c r="K40"/>
  <c r="H40"/>
  <c r="M12" i="19"/>
  <c r="L11" i="21"/>
  <c r="L42" i="17"/>
  <c r="D22" i="32"/>
  <c r="F106" i="14"/>
  <c r="F113" s="1"/>
  <c r="M22" i="5"/>
  <c r="F57" i="14"/>
  <c r="F70" s="1"/>
  <c r="F76" s="1"/>
  <c r="M157" i="16"/>
  <c r="M23"/>
  <c r="M146"/>
  <c r="M29"/>
  <c r="M14" i="15"/>
  <c r="G117" i="1"/>
  <c r="I33" i="18"/>
  <c r="K33" s="1"/>
  <c r="M5" i="16"/>
  <c r="M86"/>
  <c r="M140"/>
  <c r="L14" i="22"/>
  <c r="M6" i="20"/>
  <c r="M14"/>
  <c r="M12"/>
  <c r="M6" i="19"/>
  <c r="M9" i="15"/>
  <c r="M71" i="16"/>
  <c r="M6" i="15"/>
  <c r="M18" i="19" l="1"/>
  <c r="I113" i="14"/>
  <c r="K106"/>
  <c r="I76"/>
  <c r="K76" s="1"/>
  <c r="K70"/>
  <c r="F20" i="6"/>
  <c r="O18"/>
  <c r="M15" i="20"/>
  <c r="K60" i="18"/>
  <c r="K57"/>
  <c r="K41"/>
  <c r="H41"/>
  <c r="I42"/>
  <c r="H33"/>
  <c r="O17" i="23"/>
  <c r="K113" i="14" l="1"/>
  <c r="H113"/>
  <c r="H42" i="18"/>
  <c r="K42"/>
  <c r="F56" i="17"/>
  <c r="F37"/>
  <c r="F18"/>
  <c r="F29" s="1"/>
  <c r="E59"/>
  <c r="F59"/>
  <c r="D59"/>
  <c r="G58"/>
  <c r="G59" s="1"/>
  <c r="G54"/>
  <c r="G55"/>
  <c r="G53"/>
  <c r="F52"/>
  <c r="G49"/>
  <c r="G50"/>
  <c r="G51"/>
  <c r="H51" s="1"/>
  <c r="G48"/>
  <c r="G47"/>
  <c r="G39"/>
  <c r="H39" s="1"/>
  <c r="G38"/>
  <c r="G36"/>
  <c r="H36" s="1"/>
  <c r="G35"/>
  <c r="H35" s="1"/>
  <c r="F34"/>
  <c r="G32"/>
  <c r="G31"/>
  <c r="G30"/>
  <c r="G20"/>
  <c r="H20" s="1"/>
  <c r="G21"/>
  <c r="H21" s="1"/>
  <c r="G22"/>
  <c r="H22" s="1"/>
  <c r="G23"/>
  <c r="H23" s="1"/>
  <c r="G24"/>
  <c r="H24" s="1"/>
  <c r="G25"/>
  <c r="G26"/>
  <c r="H26" s="1"/>
  <c r="I26" s="1"/>
  <c r="I29" s="1"/>
  <c r="G27"/>
  <c r="H27" s="1"/>
  <c r="G28"/>
  <c r="G19"/>
  <c r="H19" s="1"/>
  <c r="G17"/>
  <c r="H17" s="1"/>
  <c r="F15"/>
  <c r="G12"/>
  <c r="G13"/>
  <c r="G14"/>
  <c r="G11"/>
  <c r="F10"/>
  <c r="G7"/>
  <c r="G8"/>
  <c r="G9"/>
  <c r="G6"/>
  <c r="H52" l="1"/>
  <c r="H57" s="1"/>
  <c r="H60" s="1"/>
  <c r="G56"/>
  <c r="F40"/>
  <c r="F41" s="1"/>
  <c r="F33"/>
  <c r="F57"/>
  <c r="F60" s="1"/>
  <c r="F42" l="1"/>
  <c r="M7" i="16"/>
  <c r="M10"/>
  <c r="M13"/>
  <c r="M22"/>
  <c r="M28"/>
  <c r="M34"/>
  <c r="M46"/>
  <c r="M55"/>
  <c r="M67"/>
  <c r="M76"/>
  <c r="M85"/>
  <c r="M94"/>
  <c r="M103"/>
  <c r="M121"/>
  <c r="M133"/>
  <c r="M154"/>
  <c r="E22" i="9"/>
  <c r="E25" i="16" l="1"/>
  <c r="D25"/>
  <c r="M26" l="1"/>
  <c r="M25"/>
  <c r="M16"/>
  <c r="E19" i="15"/>
  <c r="M19" l="1"/>
  <c r="M20"/>
  <c r="M8" i="19"/>
  <c r="M11"/>
  <c r="M14"/>
  <c r="F22" i="15" l="1"/>
  <c r="L16"/>
  <c r="M4"/>
  <c r="M23" l="1"/>
  <c r="M22"/>
  <c r="E16" l="1"/>
  <c r="M16" l="1"/>
  <c r="M17"/>
  <c r="M8" i="20"/>
  <c r="E7" i="28" l="1"/>
  <c r="E23" l="1"/>
  <c r="E27" l="1"/>
  <c r="E29" s="1"/>
  <c r="F26" i="34"/>
  <c r="G26"/>
  <c r="H26"/>
  <c r="I26"/>
  <c r="J26"/>
  <c r="K26"/>
  <c r="L26"/>
  <c r="M26"/>
  <c r="N26"/>
  <c r="C16" i="5"/>
  <c r="C15" i="6"/>
  <c r="E15" s="1"/>
  <c r="I8"/>
  <c r="I7"/>
  <c r="I6"/>
  <c r="I7" i="5"/>
  <c r="I8"/>
  <c r="I9"/>
  <c r="I10"/>
  <c r="I6"/>
  <c r="E16" l="1"/>
  <c r="B17"/>
  <c r="B16"/>
  <c r="B14"/>
  <c r="C14" i="6"/>
  <c r="J4"/>
  <c r="C18" i="5"/>
  <c r="E18" s="1"/>
  <c r="C15"/>
  <c r="C14"/>
  <c r="J4"/>
  <c r="C17" i="6" l="1"/>
  <c r="E14"/>
  <c r="E17" s="1"/>
  <c r="C19" i="5"/>
  <c r="D109" i="1" l="1"/>
  <c r="E109" s="1"/>
  <c r="F109" s="1"/>
  <c r="D110"/>
  <c r="D101"/>
  <c r="E101" s="1"/>
  <c r="F101" s="1"/>
  <c r="D102"/>
  <c r="E102" s="1"/>
  <c r="F102" s="1"/>
  <c r="D103"/>
  <c r="E103" s="1"/>
  <c r="F103" s="1"/>
  <c r="D104"/>
  <c r="F104" s="1"/>
  <c r="D105"/>
  <c r="F105" s="1"/>
  <c r="D100"/>
  <c r="E100" s="1"/>
  <c r="F100" s="1"/>
  <c r="D88"/>
  <c r="E88" s="1"/>
  <c r="F88" s="1"/>
  <c r="D89"/>
  <c r="E89" s="1"/>
  <c r="F89" s="1"/>
  <c r="D91"/>
  <c r="E91" s="1"/>
  <c r="F91" s="1"/>
  <c r="D94"/>
  <c r="F94" s="1"/>
  <c r="D87"/>
  <c r="F87" s="1"/>
  <c r="F59"/>
  <c r="D61"/>
  <c r="E61" s="1"/>
  <c r="F61" s="1"/>
  <c r="D62"/>
  <c r="E62" s="1"/>
  <c r="F62" s="1"/>
  <c r="D58"/>
  <c r="D54"/>
  <c r="F54" s="1"/>
  <c r="D55"/>
  <c r="F55" s="1"/>
  <c r="D53"/>
  <c r="F53" s="1"/>
  <c r="D50"/>
  <c r="E50" s="1"/>
  <c r="F50" s="1"/>
  <c r="D43"/>
  <c r="E43" s="1"/>
  <c r="F43" s="1"/>
  <c r="D44"/>
  <c r="F44" s="1"/>
  <c r="D42"/>
  <c r="F42" s="1"/>
  <c r="D40"/>
  <c r="E40" s="1"/>
  <c r="F40" s="1"/>
  <c r="D39"/>
  <c r="E39" s="1"/>
  <c r="F39" s="1"/>
  <c r="D38"/>
  <c r="E38" s="1"/>
  <c r="F38" s="1"/>
  <c r="D35"/>
  <c r="E35" s="1"/>
  <c r="F35" s="1"/>
  <c r="D36"/>
  <c r="E36" s="1"/>
  <c r="F36" s="1"/>
  <c r="D34"/>
  <c r="E34" s="1"/>
  <c r="F34" s="1"/>
  <c r="D32"/>
  <c r="D25"/>
  <c r="F25" s="1"/>
  <c r="D19"/>
  <c r="E19" s="1"/>
  <c r="F19" s="1"/>
  <c r="D21"/>
  <c r="F21" s="1"/>
  <c r="M106" i="15"/>
  <c r="E58"/>
  <c r="M58" s="1"/>
  <c r="D13" i="1"/>
  <c r="D7"/>
  <c r="F7" s="1"/>
  <c r="D8"/>
  <c r="F8" s="1"/>
  <c r="D9"/>
  <c r="F9" s="1"/>
  <c r="D10"/>
  <c r="D11"/>
  <c r="E11" s="1"/>
  <c r="F11" s="1"/>
  <c r="D7" i="29"/>
  <c r="E7"/>
  <c r="F7"/>
  <c r="G7"/>
  <c r="C7"/>
  <c r="J16" i="5" l="1"/>
  <c r="E110" i="1"/>
  <c r="F110" s="1"/>
  <c r="D37"/>
  <c r="E37" s="1"/>
  <c r="F37" s="1"/>
  <c r="H6" i="29"/>
  <c r="H5"/>
  <c r="H4"/>
  <c r="J19" i="5" l="1"/>
  <c r="K16"/>
  <c r="K19" s="1"/>
  <c r="H7" i="29"/>
  <c r="C19" i="30"/>
  <c r="L16" i="5" l="1"/>
  <c r="L19" s="1"/>
  <c r="F14" i="11"/>
  <c r="L14" s="1"/>
  <c r="J10" i="26" l="1"/>
  <c r="G10"/>
  <c r="K9"/>
  <c r="K8"/>
  <c r="K7"/>
  <c r="K6"/>
  <c r="K5"/>
  <c r="L15" i="11" l="1"/>
  <c r="K10" i="26"/>
  <c r="H16" i="34" l="1"/>
  <c r="H27" s="1"/>
  <c r="I27"/>
  <c r="J16"/>
  <c r="J27" s="1"/>
  <c r="K16"/>
  <c r="K27" s="1"/>
  <c r="L16"/>
  <c r="L27" s="1"/>
  <c r="M16"/>
  <c r="M27" s="1"/>
  <c r="N16"/>
  <c r="N27" s="1"/>
  <c r="E27"/>
  <c r="F16"/>
  <c r="F27" s="1"/>
  <c r="G27" l="1"/>
  <c r="D56" i="1"/>
  <c r="F56" s="1"/>
  <c r="D39" i="18" l="1"/>
  <c r="H19" i="16" l="1"/>
  <c r="D90" i="1"/>
  <c r="F90" s="1"/>
  <c r="E63" l="1"/>
  <c r="F60"/>
  <c r="F63" s="1"/>
  <c r="E26" i="9"/>
  <c r="C30" i="13"/>
  <c r="D30"/>
  <c r="E30"/>
  <c r="C26"/>
  <c r="E27" i="9" l="1"/>
  <c r="E24" i="31"/>
  <c r="D24"/>
  <c r="C24"/>
  <c r="E18"/>
  <c r="D18"/>
  <c r="C18"/>
  <c r="E16"/>
  <c r="D16"/>
  <c r="C16"/>
  <c r="C25" l="1"/>
  <c r="C10" i="32"/>
  <c r="C19"/>
  <c r="E19" s="1"/>
  <c r="E25" i="31"/>
  <c r="D25"/>
  <c r="C22" i="32" l="1"/>
  <c r="E6" i="13"/>
  <c r="F16"/>
  <c r="F17"/>
  <c r="F18"/>
  <c r="F19"/>
  <c r="F20"/>
  <c r="F15"/>
  <c r="D22"/>
  <c r="E22"/>
  <c r="F25"/>
  <c r="F26"/>
  <c r="F27"/>
  <c r="F28"/>
  <c r="F29"/>
  <c r="F24"/>
  <c r="F22" l="1"/>
  <c r="F30"/>
  <c r="E95" i="1" l="1"/>
  <c r="J7" i="6" l="1"/>
  <c r="C25" i="28"/>
  <c r="D38" i="18"/>
  <c r="D6" i="1" l="1"/>
  <c r="G6" i="14"/>
  <c r="G12" s="1"/>
  <c r="E12" i="1" l="1"/>
  <c r="F6"/>
  <c r="F12" s="1"/>
  <c r="E37" i="17"/>
  <c r="G37"/>
  <c r="D37"/>
  <c r="F11" i="18"/>
  <c r="F12"/>
  <c r="F13"/>
  <c r="F14"/>
  <c r="F38"/>
  <c r="F39"/>
  <c r="E37"/>
  <c r="D37"/>
  <c r="K8" i="21" l="1"/>
  <c r="L8" s="1"/>
  <c r="F37" i="18"/>
  <c r="G40" s="1"/>
  <c r="G41" s="1"/>
  <c r="L9" i="21" l="1"/>
  <c r="K5" i="22"/>
  <c r="F23" i="28"/>
  <c r="F27" s="1"/>
  <c r="F29" s="1"/>
  <c r="D23"/>
  <c r="D27" s="1"/>
  <c r="D29" s="1"/>
  <c r="F14"/>
  <c r="F16" s="1"/>
  <c r="E14"/>
  <c r="E16" s="1"/>
  <c r="D14"/>
  <c r="D16" s="1"/>
  <c r="C14" i="25"/>
  <c r="C8"/>
  <c r="L5" i="22" l="1"/>
  <c r="C15" i="25"/>
  <c r="H8" i="24"/>
  <c r="G8"/>
  <c r="F8"/>
  <c r="E8"/>
  <c r="B8"/>
  <c r="I7"/>
  <c r="I8" s="1"/>
  <c r="D7"/>
  <c r="D8" s="1"/>
  <c r="M148" i="16" l="1"/>
  <c r="G107" i="14"/>
  <c r="G112" s="1"/>
  <c r="M20" i="16"/>
  <c r="M158" s="1"/>
  <c r="M19"/>
  <c r="D108" i="1"/>
  <c r="N23" i="23"/>
  <c r="M23"/>
  <c r="L23"/>
  <c r="K23"/>
  <c r="J23"/>
  <c r="I23"/>
  <c r="H23"/>
  <c r="G23"/>
  <c r="F23"/>
  <c r="E23"/>
  <c r="D23"/>
  <c r="C23"/>
  <c r="O22"/>
  <c r="O21"/>
  <c r="O20"/>
  <c r="O19"/>
  <c r="O18"/>
  <c r="O16"/>
  <c r="O15"/>
  <c r="O14"/>
  <c r="N12"/>
  <c r="M12"/>
  <c r="L12"/>
  <c r="K12"/>
  <c r="J12"/>
  <c r="I12"/>
  <c r="H12"/>
  <c r="G12"/>
  <c r="F12"/>
  <c r="E12"/>
  <c r="D12"/>
  <c r="C12"/>
  <c r="O11"/>
  <c r="O10"/>
  <c r="O9"/>
  <c r="O8"/>
  <c r="O7"/>
  <c r="O6"/>
  <c r="O23" l="1"/>
  <c r="J13" i="6"/>
  <c r="J17" s="1"/>
  <c r="E108" i="1"/>
  <c r="N24" i="23"/>
  <c r="F24"/>
  <c r="L24"/>
  <c r="H24"/>
  <c r="D24"/>
  <c r="J24"/>
  <c r="K24"/>
  <c r="G24"/>
  <c r="E24"/>
  <c r="I24"/>
  <c r="M24"/>
  <c r="C24"/>
  <c r="O12"/>
  <c r="M11" i="20"/>
  <c r="M5"/>
  <c r="M5" i="19"/>
  <c r="E59" i="18"/>
  <c r="D59"/>
  <c r="F58"/>
  <c r="F59" s="1"/>
  <c r="D56"/>
  <c r="F55"/>
  <c r="F54"/>
  <c r="F53"/>
  <c r="E52"/>
  <c r="D52"/>
  <c r="F51"/>
  <c r="F50"/>
  <c r="F49"/>
  <c r="F48"/>
  <c r="F47"/>
  <c r="F36"/>
  <c r="F35"/>
  <c r="E34"/>
  <c r="E40" s="1"/>
  <c r="E41" s="1"/>
  <c r="D34"/>
  <c r="D40" s="1"/>
  <c r="D41" s="1"/>
  <c r="F32"/>
  <c r="F31"/>
  <c r="F30"/>
  <c r="F28"/>
  <c r="F27"/>
  <c r="F26"/>
  <c r="F25"/>
  <c r="G29" s="1"/>
  <c r="F24"/>
  <c r="D52" i="1" s="1"/>
  <c r="E52" s="1"/>
  <c r="F52" s="1"/>
  <c r="F23" i="18"/>
  <c r="F22"/>
  <c r="F21"/>
  <c r="D49" i="1" s="1"/>
  <c r="E49" s="1"/>
  <c r="F49" s="1"/>
  <c r="F20" i="18"/>
  <c r="F19"/>
  <c r="E18"/>
  <c r="E29" s="1"/>
  <c r="D18"/>
  <c r="D29" s="1"/>
  <c r="F17"/>
  <c r="F16"/>
  <c r="E15"/>
  <c r="D15"/>
  <c r="E10"/>
  <c r="D10"/>
  <c r="F9"/>
  <c r="F8"/>
  <c r="G10" s="1"/>
  <c r="F7"/>
  <c r="F6"/>
  <c r="D15" i="1" s="1"/>
  <c r="E15" s="1"/>
  <c r="F15" s="1"/>
  <c r="E56" i="17"/>
  <c r="D56"/>
  <c r="E52"/>
  <c r="D52"/>
  <c r="E34"/>
  <c r="E40" s="1"/>
  <c r="E41" s="1"/>
  <c r="D34"/>
  <c r="D40" s="1"/>
  <c r="D41" s="1"/>
  <c r="E18"/>
  <c r="E29" s="1"/>
  <c r="D18"/>
  <c r="D29" s="1"/>
  <c r="G16"/>
  <c r="E15"/>
  <c r="D15"/>
  <c r="E10"/>
  <c r="D10"/>
  <c r="M4" i="16"/>
  <c r="G105" i="14"/>
  <c r="I7" i="15"/>
  <c r="M8" s="1"/>
  <c r="D10"/>
  <c r="M11" s="1"/>
  <c r="C31" i="13"/>
  <c r="B31"/>
  <c r="B30"/>
  <c r="C22"/>
  <c r="B22"/>
  <c r="C13"/>
  <c r="B13"/>
  <c r="G33" i="18" l="1"/>
  <c r="G42" s="1"/>
  <c r="F108" i="1"/>
  <c r="D57" i="18"/>
  <c r="D60" s="1"/>
  <c r="E57"/>
  <c r="E60" s="1"/>
  <c r="F18"/>
  <c r="F29" s="1"/>
  <c r="D82" i="1"/>
  <c r="D83"/>
  <c r="D85"/>
  <c r="G50" i="18"/>
  <c r="M7" i="15"/>
  <c r="D8" i="22"/>
  <c r="L9" s="1"/>
  <c r="L15" s="1"/>
  <c r="D20" i="1"/>
  <c r="F20" s="1"/>
  <c r="F31" i="13"/>
  <c r="M10" i="15"/>
  <c r="F11" i="22"/>
  <c r="D47" i="1"/>
  <c r="F47" s="1"/>
  <c r="F34" i="18"/>
  <c r="F40" s="1"/>
  <c r="F41" s="1"/>
  <c r="O24" i="23"/>
  <c r="E57" i="17"/>
  <c r="E60" s="1"/>
  <c r="F13" i="13"/>
  <c r="G52" i="17"/>
  <c r="G18"/>
  <c r="G34"/>
  <c r="G15"/>
  <c r="F52" i="18"/>
  <c r="F10"/>
  <c r="E33"/>
  <c r="E42" s="1"/>
  <c r="F15"/>
  <c r="D33"/>
  <c r="D42" s="1"/>
  <c r="D57" i="17"/>
  <c r="D60" s="1"/>
  <c r="D33"/>
  <c r="D42" s="1"/>
  <c r="G10"/>
  <c r="E33"/>
  <c r="E42" s="1"/>
  <c r="G40" l="1"/>
  <c r="G41" s="1"/>
  <c r="H40"/>
  <c r="H41" s="1"/>
  <c r="D48" i="1"/>
  <c r="H18" i="17"/>
  <c r="H29" s="1"/>
  <c r="H33" s="1"/>
  <c r="J8" i="5"/>
  <c r="J6"/>
  <c r="F82" i="1"/>
  <c r="J9" i="5"/>
  <c r="F85" i="1"/>
  <c r="J7" i="5"/>
  <c r="F83" i="1"/>
  <c r="G52" i="18"/>
  <c r="G57" s="1"/>
  <c r="G60" s="1"/>
  <c r="G103" i="15"/>
  <c r="C4" i="30"/>
  <c r="C10" s="1"/>
  <c r="C11" s="1"/>
  <c r="C20" s="1"/>
  <c r="L11" i="22"/>
  <c r="F57" i="18"/>
  <c r="F60" s="1"/>
  <c r="L8" i="22"/>
  <c r="G29" i="17"/>
  <c r="F5" i="21" s="1"/>
  <c r="F33" i="18"/>
  <c r="F42" s="1"/>
  <c r="G57" i="17"/>
  <c r="G60" s="1"/>
  <c r="E57" i="1" l="1"/>
  <c r="F48"/>
  <c r="F57" s="1"/>
  <c r="L6" i="5"/>
  <c r="L7"/>
  <c r="L9"/>
  <c r="L8"/>
  <c r="H42" i="17"/>
  <c r="M94" i="15"/>
  <c r="E95"/>
  <c r="E109" s="1"/>
  <c r="M103"/>
  <c r="L5" i="21"/>
  <c r="L6"/>
  <c r="L12" s="1"/>
  <c r="G33" i="17"/>
  <c r="G42" s="1"/>
  <c r="F53" i="7"/>
  <c r="G53" s="1"/>
  <c r="H53" s="1"/>
  <c r="F51"/>
  <c r="F49"/>
  <c r="F46"/>
  <c r="G46" s="1"/>
  <c r="H46" s="1"/>
  <c r="F44"/>
  <c r="G44" s="1"/>
  <c r="H44" s="1"/>
  <c r="F43"/>
  <c r="F41"/>
  <c r="F38"/>
  <c r="F36"/>
  <c r="G36" s="1"/>
  <c r="H36" s="1"/>
  <c r="F35"/>
  <c r="G35" s="1"/>
  <c r="H35" s="1"/>
  <c r="F31"/>
  <c r="F28"/>
  <c r="F26"/>
  <c r="G26" s="1"/>
  <c r="H26" s="1"/>
  <c r="F24"/>
  <c r="F23"/>
  <c r="F22"/>
  <c r="F21"/>
  <c r="F20"/>
  <c r="G20" s="1"/>
  <c r="H20" s="1"/>
  <c r="F19"/>
  <c r="G19" s="1"/>
  <c r="F6"/>
  <c r="G6" s="1"/>
  <c r="F5"/>
  <c r="G5" s="1"/>
  <c r="G18" l="1"/>
  <c r="H19"/>
  <c r="H18" s="1"/>
  <c r="H33" s="1"/>
  <c r="G15"/>
  <c r="G17" s="1"/>
  <c r="H6"/>
  <c r="H15" s="1"/>
  <c r="H17" s="1"/>
  <c r="M104" i="15"/>
  <c r="M95"/>
  <c r="F30" i="7"/>
  <c r="G30"/>
  <c r="F15"/>
  <c r="F18"/>
  <c r="F52"/>
  <c r="F17" l="1"/>
  <c r="F57"/>
  <c r="F33"/>
  <c r="J6" i="6"/>
  <c r="C24" i="28"/>
  <c r="F59" i="7" l="1"/>
  <c r="D112" i="1"/>
  <c r="C28" i="28" s="1"/>
  <c r="D99" i="1"/>
  <c r="D86"/>
  <c r="D80"/>
  <c r="D72"/>
  <c r="D69"/>
  <c r="C8" i="6" s="1"/>
  <c r="D66" i="1"/>
  <c r="C10" i="5" s="1"/>
  <c r="D63" i="1"/>
  <c r="D57"/>
  <c r="D41"/>
  <c r="F41" s="1"/>
  <c r="D33"/>
  <c r="D24"/>
  <c r="D12"/>
  <c r="C6" i="5" s="1"/>
  <c r="E106" i="1" l="1"/>
  <c r="F99"/>
  <c r="F106" s="1"/>
  <c r="E6" i="5"/>
  <c r="E10"/>
  <c r="E8" i="6"/>
  <c r="D31" i="1"/>
  <c r="C6" i="6" s="1"/>
  <c r="D45" i="1"/>
  <c r="C9" i="28" s="1"/>
  <c r="E33" i="1"/>
  <c r="D76"/>
  <c r="C15" i="28" s="1"/>
  <c r="E76" i="1"/>
  <c r="C8" i="5"/>
  <c r="C26" i="28"/>
  <c r="C23" s="1"/>
  <c r="J8" i="6"/>
  <c r="C8" i="28"/>
  <c r="C7" i="6"/>
  <c r="C11" i="28"/>
  <c r="C9" i="5"/>
  <c r="C10" i="28"/>
  <c r="D96" i="1"/>
  <c r="C22" i="28" s="1"/>
  <c r="C27" s="1"/>
  <c r="C29" s="1"/>
  <c r="D106" i="1"/>
  <c r="E31" l="1"/>
  <c r="F24"/>
  <c r="F31" s="1"/>
  <c r="E96"/>
  <c r="E107" s="1"/>
  <c r="F86"/>
  <c r="F107" s="1"/>
  <c r="E45"/>
  <c r="F33"/>
  <c r="F45" s="1"/>
  <c r="K13" i="5"/>
  <c r="K20" s="1"/>
  <c r="L10"/>
  <c r="L13" s="1"/>
  <c r="E21" s="1"/>
  <c r="E9"/>
  <c r="E8"/>
  <c r="E6" i="6"/>
  <c r="D12"/>
  <c r="D118" i="1"/>
  <c r="J13" i="5"/>
  <c r="J20" s="1"/>
  <c r="J12" i="6"/>
  <c r="J18" s="1"/>
  <c r="K12"/>
  <c r="D20" s="1"/>
  <c r="E118" i="1"/>
  <c r="C12" i="6"/>
  <c r="C18" s="1"/>
  <c r="D107" i="1"/>
  <c r="D113" s="1"/>
  <c r="E7" i="6" l="1"/>
  <c r="E12" s="1"/>
  <c r="J19"/>
  <c r="C20"/>
  <c r="D18"/>
  <c r="C19"/>
  <c r="J20"/>
  <c r="E18" l="1"/>
  <c r="I17" i="14"/>
  <c r="I21"/>
  <c r="I15"/>
  <c r="J7" i="11"/>
  <c r="L6"/>
  <c r="E6" l="1"/>
  <c r="K6"/>
  <c r="L7"/>
  <c r="C6"/>
  <c r="G6"/>
  <c r="I6"/>
  <c r="L13" l="1"/>
  <c r="G22" i="14"/>
  <c r="G70" s="1"/>
  <c r="G76" s="1"/>
  <c r="D19" i="5" l="1"/>
  <c r="E15"/>
  <c r="E19" s="1"/>
  <c r="E22" s="1"/>
  <c r="G34" i="7" l="1"/>
  <c r="E17" i="1"/>
  <c r="F17" s="1"/>
  <c r="D14"/>
  <c r="C7" i="5" s="1"/>
  <c r="H34" i="7" l="1"/>
  <c r="H52" s="1"/>
  <c r="H59" s="1"/>
  <c r="G52"/>
  <c r="G59" s="1"/>
  <c r="D22" i="1"/>
  <c r="D70" s="1"/>
  <c r="E22"/>
  <c r="E70" s="1"/>
  <c r="E117" s="1"/>
  <c r="F14"/>
  <c r="F22" s="1"/>
  <c r="F70" s="1"/>
  <c r="F77" s="1"/>
  <c r="C7" i="28"/>
  <c r="C14" s="1"/>
  <c r="C16" s="1"/>
  <c r="D117" i="1"/>
  <c r="D77"/>
  <c r="C13" i="5"/>
  <c r="D13"/>
  <c r="E77" i="1" l="1"/>
  <c r="K21" i="5"/>
  <c r="K22"/>
  <c r="D20"/>
  <c r="D21"/>
  <c r="D22"/>
  <c r="C20"/>
  <c r="C22"/>
  <c r="C21"/>
  <c r="J21"/>
  <c r="J22"/>
  <c r="E7"/>
  <c r="E13" s="1"/>
  <c r="L22" l="1"/>
  <c r="E20"/>
  <c r="L21"/>
  <c r="G95" i="14"/>
  <c r="G106" s="1"/>
  <c r="G113" s="1"/>
  <c r="F11" i="9"/>
  <c r="F7"/>
  <c r="G11"/>
  <c r="F8"/>
  <c r="G8" s="1"/>
  <c r="F9"/>
  <c r="F14"/>
  <c r="G14" s="1"/>
  <c r="F6"/>
  <c r="G6" s="1"/>
  <c r="G13"/>
  <c r="G7"/>
  <c r="F12"/>
  <c r="G12" s="1"/>
  <c r="F10"/>
  <c r="G10"/>
  <c r="G9"/>
  <c r="F19"/>
  <c r="G19" s="1"/>
  <c r="G16"/>
  <c r="F17"/>
  <c r="G17"/>
  <c r="F18"/>
  <c r="G18"/>
</calcChain>
</file>

<file path=xl/sharedStrings.xml><?xml version="1.0" encoding="utf-8"?>
<sst xmlns="http://schemas.openxmlformats.org/spreadsheetml/2006/main" count="3086" uniqueCount="1042">
  <si>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</si>
  <si>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</si>
  <si>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</si>
  <si>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</si>
  <si>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</si>
  <si>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</si>
  <si>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</si>
  <si>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</si>
  <si>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</si>
  <si>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</si>
  <si>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</si>
  <si>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</si>
  <si>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</si>
  <si>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</si>
  <si>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</si>
  <si>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</si>
  <si>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</si>
  <si>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</si>
  <si>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</si>
  <si>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</si>
  <si>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</si>
  <si>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</si>
  <si>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</si>
  <si>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</si>
  <si>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</si>
  <si>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</si>
  <si>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</si>
  <si>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</si>
  <si>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</si>
  <si>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</si>
  <si>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</si>
  <si>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</si>
  <si>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</si>
  <si>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</si>
  <si>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</si>
  <si>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</si>
  <si>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</si>
  <si>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</si>
  <si>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</si>
  <si>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</si>
  <si>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</si>
  <si>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</si>
  <si>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</si>
  <si>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</si>
  <si>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</si>
  <si>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</si>
  <si>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</si>
  <si>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</si>
  <si>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</si>
  <si>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</si>
  <si>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</si>
  <si>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</si>
  <si>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</si>
  <si>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</si>
  <si>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</si>
  <si>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</si>
  <si>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</si>
  <si>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</si>
  <si>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</si>
  <si>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</si>
  <si>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</si>
  <si>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</si>
  <si>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</si>
  <si>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</si>
  <si>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</si>
  <si>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</si>
  <si>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</si>
  <si>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</si>
  <si>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</si>
  <si>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</si>
  <si>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</si>
  <si>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</si>
  <si>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</si>
  <si>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</si>
  <si>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</si>
  <si>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</si>
  <si>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</si>
  <si>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</si>
  <si>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</si>
  <si>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</si>
  <si>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</si>
  <si>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</si>
  <si>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</si>
  <si>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</si>
  <si>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</si>
  <si>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</si>
  <si>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</si>
  <si>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</si>
  <si>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</si>
  <si>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</si>
  <si>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</si>
  <si>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</si>
  <si>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</si>
  <si>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</si>
  <si>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</si>
  <si>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</si>
  <si>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</si>
  <si>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</si>
  <si>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</si>
  <si>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</si>
  <si>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</si>
  <si>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</si>
  <si>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</si>
  <si>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</si>
  <si>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</si>
  <si>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</si>
  <si>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</si>
  <si>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</si>
  <si>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</si>
  <si>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</si>
  <si>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</si>
  <si>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</si>
  <si>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</si>
  <si>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</si>
  <si>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</si>
  <si>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</si>
  <si>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</si>
  <si>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</si>
  <si>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</si>
  <si>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</si>
  <si>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</si>
  <si>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</si>
  <si>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</si>
  <si>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</si>
  <si>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</si>
  <si>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</si>
  <si>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</si>
  <si>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</si>
  <si>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</si>
  <si>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</si>
  <si>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</si>
  <si>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</si>
  <si>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</si>
  <si>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</si>
  <si>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</si>
  <si>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</si>
  <si>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</si>
  <si>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</si>
  <si>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</si>
  <si>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</si>
  <si>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</si>
  <si>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</si>
  <si>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</si>
  <si>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</si>
  <si>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</si>
  <si>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</si>
  <si>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</si>
  <si>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</si>
  <si>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</si>
  <si>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</si>
  <si>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</si>
  <si>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</si>
  <si>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</si>
  <si>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</si>
  <si>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</si>
  <si>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</si>
  <si>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</si>
  <si>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</si>
  <si>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</si>
  <si>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</si>
  <si>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</si>
  <si>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</si>
  <si>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</si>
  <si>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</si>
  <si>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</si>
  <si>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</si>
  <si>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</si>
  <si>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</si>
  <si>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</si>
  <si>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</si>
  <si>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</si>
  <si>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</si>
  <si>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</si>
  <si>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</si>
  <si>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</si>
  <si>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</si>
  <si>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</si>
  <si>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</si>
  <si>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</si>
  <si>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</si>
  <si>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</si>
  <si>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</si>
  <si>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</si>
  <si>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</si>
  <si>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</si>
  <si>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</si>
  <si>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</si>
  <si>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</si>
  <si>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</si>
  <si>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</si>
  <si>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</si>
  <si>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</si>
  <si>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</si>
  <si>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</si>
  <si>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</si>
  <si>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</si>
  <si>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</si>
  <si>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</si>
  <si>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</si>
  <si>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</si>
  <si>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</si>
  <si>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</si>
  <si>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</si>
  <si>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</si>
  <si>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</si>
  <si>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</si>
  <si>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</si>
  <si>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</si>
  <si>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</si>
  <si>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</si>
  <si>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</si>
  <si>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</si>
  <si>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</si>
  <si>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</si>
  <si>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</si>
  <si>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</si>
  <si>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</si>
  <si>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</si>
  <si>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</si>
  <si>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</si>
  <si>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</si>
  <si>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</si>
  <si>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</si>
  <si>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</si>
  <si>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</si>
  <si>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</si>
  <si>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</si>
  <si>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</si>
  <si>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</si>
  <si>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</si>
  <si>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</si>
  <si>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</si>
  <si>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</si>
  <si>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</si>
  <si>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</si>
  <si>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</si>
  <si>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</si>
  <si>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</si>
  <si>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</si>
  <si>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</si>
  <si>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</si>
  <si>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</si>
  <si>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</si>
  <si>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</si>
  <si>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</si>
  <si>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</si>
  <si>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</si>
  <si>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</si>
  <si>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</si>
  <si>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</si>
  <si>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</si>
  <si>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</si>
  <si>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</si>
  <si>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</si>
  <si>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</si>
  <si>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</si>
  <si>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</si>
  <si>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</si>
  <si>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</si>
  <si>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</si>
  <si>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</si>
  <si>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</si>
  <si>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</si>
  <si>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</si>
  <si>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</si>
  <si>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</si>
  <si>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</si>
  <si>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</si>
  <si>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</si>
  <si>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</si>
  <si>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</si>
  <si>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</si>
  <si>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</si>
  <si>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</si>
  <si>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</si>
  <si>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</si>
  <si>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</si>
  <si>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</si>
  <si>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</si>
  <si>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</si>
  <si>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</si>
  <si>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</si>
  <si>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</si>
  <si>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</si>
  <si>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</si>
  <si>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</si>
  <si>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</si>
  <si>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</si>
  <si>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</si>
  <si>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</si>
  <si>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</si>
  <si>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</si>
  <si>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</si>
  <si>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</si>
  <si>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</si>
  <si>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</si>
  <si>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</si>
  <si>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</si>
  <si>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</si>
  <si>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</si>
  <si>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</si>
  <si>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</si>
  <si>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</si>
  <si>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</si>
  <si>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</si>
  <si>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</si>
  <si>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</si>
  <si>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</si>
  <si>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</si>
  <si>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</si>
  <si>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</si>
  <si>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</si>
  <si>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</si>
  <si>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</si>
  <si>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</si>
  <si>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</si>
  <si>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</si>
  <si>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</si>
  <si>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</si>
  <si>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</si>
  <si>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</si>
  <si>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</si>
  <si>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</si>
  <si>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</si>
  <si>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</si>
  <si>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</si>
  <si>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</si>
  <si>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</si>
  <si>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</si>
  <si>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</si>
  <si>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</si>
  <si>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</si>
  <si>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</si>
  <si>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</si>
  <si>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</si>
  <si>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</si>
  <si>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</si>
  <si>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</si>
  <si>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</si>
  <si>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</si>
  <si>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</si>
  <si>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</si>
  <si>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</si>
  <si>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</si>
  <si>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</si>
  <si>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</si>
  <si>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</si>
  <si>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</si>
  <si>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</si>
  <si>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</si>
  <si>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</si>
  <si>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</si>
  <si>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</si>
  <si>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</si>
  <si>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</si>
  <si>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</si>
  <si>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</si>
  <si>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</si>
  <si>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</si>
  <si>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</si>
  <si>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</si>
  <si>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</si>
  <si>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</si>
  <si>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</si>
  <si>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</si>
  <si>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</si>
  <si>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</si>
  <si>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</si>
  <si>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</si>
  <si>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</si>
  <si>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</si>
  <si>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</si>
  <si>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</si>
  <si>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</si>
  <si>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</si>
  <si>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</si>
  <si>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</si>
  <si>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</si>
  <si>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</si>
  <si>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</si>
  <si>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</si>
  <si>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</si>
  <si>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</si>
  <si>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</si>
  <si>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</si>
  <si>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</si>
  <si>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</si>
  <si>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</si>
  <si>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</si>
  <si>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</si>
  <si>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</si>
  <si>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</si>
  <si>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</si>
  <si>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</si>
  <si>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</si>
  <si>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</si>
  <si>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</si>
  <si>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</si>
  <si>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</si>
  <si>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</si>
  <si>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</si>
  <si>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</si>
  <si>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</si>
  <si>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</si>
  <si>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A 2016. évről áthúzódó bérkompenzáció támogatása</t>
  </si>
  <si>
    <t>2017. évi állami támogatás</t>
  </si>
  <si>
    <t xml:space="preserve"> Mezőtúr Város Önkormányzatának
2017. évi állami támogatások  jogcímei és összegei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</si>
  <si>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</si>
  <si>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</si>
  <si>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</si>
  <si>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</si>
  <si>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</si>
  <si>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</si>
  <si>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</si>
  <si>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</si>
  <si>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</si>
  <si>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</si>
  <si>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</si>
  <si>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</si>
  <si>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</si>
  <si>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</si>
  <si>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</si>
  <si>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Első lakáshoz jutók felhalmozási célú támogatása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</si>
  <si>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</si>
  <si>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</si>
  <si>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</si>
  <si>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</si>
  <si>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</si>
  <si>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</si>
  <si>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</si>
  <si>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</si>
  <si>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</si>
  <si>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</si>
  <si>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</si>
  <si>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</si>
  <si>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</si>
  <si>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</si>
  <si>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</si>
  <si>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</si>
  <si>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</si>
  <si>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</si>
  <si>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</si>
  <si>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</si>
  <si>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</si>
  <si>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</si>
  <si>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</si>
  <si>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</si>
  <si>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</si>
  <si>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</si>
  <si>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</si>
  <si>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</si>
  <si>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</si>
  <si>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</si>
  <si>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</si>
  <si>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</si>
  <si>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</si>
  <si>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</si>
  <si>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</si>
  <si>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</si>
  <si>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</si>
  <si>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</si>
  <si>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</si>
  <si>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</si>
  <si>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</si>
  <si>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</si>
  <si>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</si>
  <si>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</si>
  <si>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</si>
  <si>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</si>
  <si>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</si>
  <si>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</si>
  <si>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</si>
  <si>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</si>
  <si>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Mezőtúr Város Önkormányzatának
2017. évi bevételei  feladatonként</t>
  </si>
  <si>
    <t>Mezőtúr Város Önkormányzatának
2017. évi kiadásai  feladatonként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</si>
  <si>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</si>
  <si>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</si>
  <si>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</si>
  <si>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</si>
  <si>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</si>
  <si>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</si>
  <si>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</si>
  <si>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</si>
  <si>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</si>
  <si>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</si>
  <si>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</si>
  <si>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</si>
  <si>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</si>
  <si>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</si>
  <si>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</si>
  <si>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</si>
  <si>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</si>
  <si>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</si>
  <si>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</si>
  <si>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</si>
  <si>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</si>
  <si>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</si>
  <si>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</si>
  <si>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</si>
  <si>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</si>
  <si>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</si>
  <si>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</si>
  <si>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</si>
  <si>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</si>
  <si>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</si>
  <si>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</si>
  <si>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</si>
  <si>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</si>
  <si>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</si>
  <si>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</si>
  <si>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</si>
  <si>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</si>
  <si>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</si>
  <si>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</si>
  <si>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</si>
  <si>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</si>
  <si>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</si>
  <si>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</si>
  <si>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</si>
  <si>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</si>
  <si>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</si>
  <si>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</si>
  <si>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</si>
  <si>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</si>
  <si>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</si>
  <si>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</si>
  <si>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Mezőtúri Közös Önkormányzati Hivatal
2017. évi kiadásai  feladatonként</t>
  </si>
  <si>
    <t>Mezőtúri Móricz Zsigmond Könyvtár
2017. évi kiadásai  feladatonként</t>
  </si>
  <si>
    <t>Mezőtúri Közös Önkormányzati Hivatal
2017. évi bevételei  feladatonként</t>
  </si>
  <si>
    <t>Mezőtúri Móricz Zsigmond Könyvtár
2017. évi bevételei  feladatonként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</si>
  <si>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</si>
  <si>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</si>
  <si>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</si>
  <si>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</si>
  <si>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</si>
  <si>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</si>
  <si>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</si>
  <si>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</si>
  <si>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</si>
  <si>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</si>
  <si>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</si>
  <si>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</si>
  <si>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</si>
  <si>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</si>
  <si>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</si>
  <si>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</si>
  <si>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</si>
  <si>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</si>
  <si>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</si>
  <si>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</si>
  <si>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</si>
  <si>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</si>
  <si>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</si>
  <si>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</si>
  <si>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</si>
  <si>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</si>
  <si>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</si>
  <si>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</si>
  <si>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2018. IV. negyedév</t>
  </si>
  <si>
    <t>2019. I.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</si>
  <si>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</si>
  <si>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</si>
  <si>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</si>
  <si>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</si>
  <si>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</si>
  <si>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</si>
  <si>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</si>
  <si>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</si>
  <si>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</si>
  <si>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Mezőtőr Város Önkormányzata
2017. évi Előirányzat-felhasználási terve havi bontásban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</si>
  <si>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</si>
  <si>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</si>
  <si>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</si>
  <si>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</si>
  <si>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</si>
  <si>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</si>
  <si>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</si>
  <si>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</si>
  <si>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</si>
  <si>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</si>
  <si>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</si>
  <si>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</si>
  <si>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</si>
  <si>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</si>
  <si>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</si>
  <si>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</si>
  <si>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</si>
  <si>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</si>
  <si>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</si>
  <si>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</si>
  <si>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</si>
  <si>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</si>
  <si>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</si>
  <si>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</si>
  <si>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</si>
  <si>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Mezőtúr Város Önkormányzata
2017. évi engedélyezett létszámkerete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</si>
  <si>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</si>
  <si>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</si>
  <si>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</si>
  <si>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</si>
  <si>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</si>
  <si>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</si>
  <si>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Vadászház vásárlás</t>
  </si>
  <si>
    <t>Uszoda felújítás</t>
  </si>
  <si>
    <t>Komp felújítás</t>
  </si>
  <si>
    <t>MFB ÖIP hitel - Mentőállomás beruházás  (ÉAOP-4.1.2/A-12-2013-0030. " Egészségház és Mentőállomás kialakítása projkethez kapcsolódóan)</t>
  </si>
  <si>
    <t xml:space="preserve">Belterületi utak felújítása MFB ÖIP hitel - ÉAOP-3.1.2/A-11-2012-0004. „Mezőtúr Város önkormányzati tulajdonú belterületi útjainak a fejlesztése” </t>
  </si>
  <si>
    <t>Mezőtúri járási foglalkoztatási együttműködések</t>
  </si>
  <si>
    <t>TOP-5.1.2-15-JN1-2016-00007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</si>
  <si>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</si>
  <si>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</si>
  <si>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</si>
  <si>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</si>
  <si>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Jász-Nagykun-Szolnok Megyei Kormányhivatal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</si>
  <si>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</si>
  <si>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</si>
  <si>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</si>
  <si>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</si>
  <si>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</si>
  <si>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</si>
  <si>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</si>
  <si>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</si>
  <si>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</si>
  <si>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Mezőtúr Város Önkormányzata
költségvetési évet követő három év tervezett előirányzatainak keretszámai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</si>
  <si>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</si>
  <si>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</si>
  <si>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</si>
  <si>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</si>
  <si>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</si>
  <si>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</si>
  <si>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</si>
  <si>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Mezőtúr Városi Önkormányzata
által 2017. évben folyósított ellátottak pénzbeli juttatásai</t>
  </si>
  <si>
    <t>Mezőtúri Közös Önkormányzati Hivatal
által 2017. évben folyósított ellátottak pénzbeli juttatásai</t>
  </si>
  <si>
    <t>Kiegészítő gyermekvédelmi támogatás</t>
  </si>
  <si>
    <t>Mezőtúr Város Önkormányzatának
2017. évi bevételi és kiadási előirányzatai</t>
  </si>
  <si>
    <t>Mezőtúri Közös Önkormányzati Hivatal
2017. évi bevételi és kiadási előirányzatai</t>
  </si>
  <si>
    <t>Mezőtúr Város Önkormányzata
2017. évi általános és céltartalékai</t>
  </si>
  <si>
    <t xml:space="preserve">Mezőtúr Város Önkormányzata
2017. évi adósságot keletkeztető fejlesztési céljai </t>
  </si>
  <si>
    <t>Cím száma</t>
  </si>
  <si>
    <t>Alcím száma</t>
  </si>
  <si>
    <t>Cím/alcím neve</t>
  </si>
  <si>
    <t>I.</t>
  </si>
  <si>
    <t>II.</t>
  </si>
  <si>
    <t>Címrend
Mezőtúr Város Önkormányzata 2017. évi költségvetéséhez</t>
  </si>
  <si>
    <t>Gazdasági szervezettel rendelkező költségvetési szerv</t>
  </si>
  <si>
    <t>Gazdasági szervezettel nem rendelkező költségvetési szerv</t>
  </si>
  <si>
    <t>Mezőtúr Város Önkormányzata
2017. évi költségvetésének összevont mérlege</t>
  </si>
  <si>
    <t>Mezőtúr Város Önkormányzata
2017. évi költségvetésében a működési célú bevételek és kiadások összevont mérlege</t>
  </si>
  <si>
    <t>Mezőtúr Város Önkormányzata
 2017. évi költségvetésében a felhalmozási célú bevételek és kiadások összevont mérlege</t>
  </si>
  <si>
    <t>Ellátás jogcíme</t>
  </si>
  <si>
    <t>Mezőtúri Móricz Zsigmond Könyvtár
2017. évi bevételi és kiadási előirányzatai</t>
  </si>
  <si>
    <t>Mezőtúr Város Önkormányzata
által 2017. évben adott közvetett támogatások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</si>
  <si>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</si>
  <si>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</si>
  <si>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Mezőtúri Intézményellátó és Ingatlankezelő KN Kft 2017. évi kompenzációja</t>
  </si>
  <si>
    <t>Mezőtúri Közművelődési és Sport KN Kft 2017. évi kompenzációja</t>
  </si>
  <si>
    <t>Mezőtúri Ipari Park Kft 2017. évi kompenzációja</t>
  </si>
  <si>
    <t>Mezőtúri Városfejlesztési Kft 2017. évi kompenzációja</t>
  </si>
  <si>
    <t>TURMED BT. OEP finanszírozás átadása</t>
  </si>
  <si>
    <t>Kiegészítő gyermekvédelmi támogatás pótlék</t>
  </si>
  <si>
    <t>Tálaló konyha fűtés korszerűsítés</t>
  </si>
  <si>
    <t>Rákóczi Szövetség támogatása</t>
  </si>
  <si>
    <t>Közvilágítás fejlesztés</t>
  </si>
  <si>
    <t>Vagyongazdálkodás ingatlan vásárlás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</si>
  <si>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</si>
  <si>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</si>
  <si>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</si>
  <si>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</si>
  <si>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</si>
  <si>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</si>
  <si>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</si>
  <si>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</si>
  <si>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</si>
  <si>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</si>
  <si>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</si>
  <si>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</si>
  <si>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</si>
  <si>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Beruházási kiadások összesen</t>
  </si>
  <si>
    <t>Mezőtúr Város Önkormányzata
2017. évi és további évekre áthúzódó Beruházási és felújítási kiadások feladatonként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</si>
  <si>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</si>
  <si>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</si>
  <si>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</si>
  <si>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</si>
  <si>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</si>
  <si>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</si>
  <si>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</si>
  <si>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</si>
  <si>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</si>
  <si>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</si>
  <si>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</si>
  <si>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</si>
  <si>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</si>
  <si>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</si>
  <si>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</si>
  <si>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</si>
  <si>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</si>
  <si>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</si>
  <si>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</si>
  <si>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</si>
  <si>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</si>
  <si>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</si>
  <si>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</si>
  <si>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</si>
  <si>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</si>
  <si>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</si>
  <si>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TOP-5.1.2-15-JN1-2016-00007 Mezőtúri járási foglalkoztatási együttműködések 2018-2019. időszakra jutó támogatás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</si>
  <si>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</si>
  <si>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</si>
  <si>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</si>
  <si>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</si>
  <si>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</si>
  <si>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</si>
  <si>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</si>
  <si>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</si>
  <si>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</si>
  <si>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</si>
  <si>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</si>
  <si>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</si>
  <si>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</si>
  <si>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</si>
  <si>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</si>
  <si>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</si>
  <si>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</si>
  <si>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</si>
  <si>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</si>
  <si>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</si>
  <si>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</si>
  <si>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</si>
  <si>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</si>
  <si>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Költségvetési bevételek összesen: (1.+...+3.)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</si>
  <si>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</si>
  <si>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</si>
  <si>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</si>
  <si>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</si>
  <si>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</si>
  <si>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</si>
  <si>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</si>
  <si>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2017</t>
  </si>
  <si>
    <t>2016</t>
  </si>
  <si>
    <t>2018</t>
  </si>
  <si>
    <t>2016. évi támogatás, saját bevétel maradvány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</si>
  <si>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</si>
  <si>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</si>
  <si>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</si>
  <si>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</si>
  <si>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</si>
  <si>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</si>
  <si>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</si>
  <si>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</si>
  <si>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</si>
  <si>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1818/2016. (XII. 22.) Korm. Határozat alapján Útfelújítás</t>
  </si>
  <si>
    <t>2019</t>
  </si>
  <si>
    <t>TOP-5.1.2-15-JN1-2016-00007 Mezőtúri járási foglalkoztatási együttműködések</t>
  </si>
  <si>
    <t>Intézményellátó Kft. autó vásárlás</t>
  </si>
  <si>
    <t>Közművelődési Kft.autó vásárlás</t>
  </si>
  <si>
    <t>TRV Zrt. fejlesztése gördülő fejlesztési terv alapján</t>
  </si>
  <si>
    <t>013350</t>
  </si>
  <si>
    <t>Önkormányzati vagyonnal való gazdálkodással kapcsolatos feladatok</t>
  </si>
  <si>
    <t>018010</t>
  </si>
  <si>
    <t>Önkormányzatok elszámolásai a központi költségvetéssel</t>
  </si>
  <si>
    <t>041237</t>
  </si>
  <si>
    <t>Közfoglalkoztatási mintaprogram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</si>
  <si>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</si>
  <si>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</si>
  <si>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</si>
  <si>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</si>
  <si>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</si>
  <si>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</si>
  <si>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</si>
  <si>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Út, autó pálya építése</t>
  </si>
  <si>
    <t>900020</t>
  </si>
  <si>
    <t>Önkormányzatok funkciókra nem sorolt bevételei áht-n kívülről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</si>
  <si>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</si>
  <si>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</si>
  <si>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</si>
  <si>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</si>
  <si>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</si>
  <si>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</si>
  <si>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</si>
  <si>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</si>
  <si>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</si>
  <si>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</si>
  <si>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</si>
  <si>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</si>
  <si>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</si>
  <si>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</si>
  <si>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</si>
  <si>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</si>
  <si>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</si>
  <si>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</si>
  <si>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</si>
  <si>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</si>
  <si>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</si>
  <si>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</si>
  <si>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</si>
  <si>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</si>
  <si>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</si>
  <si>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</si>
  <si>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</si>
  <si>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</si>
  <si>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</si>
  <si>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</si>
  <si>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</si>
  <si>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</si>
  <si>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</si>
  <si>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</si>
  <si>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</si>
  <si>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</si>
  <si>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</si>
  <si>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</si>
  <si>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</si>
  <si>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</si>
  <si>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</si>
  <si>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</si>
  <si>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</si>
  <si>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</si>
  <si>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</si>
  <si>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</si>
  <si>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</si>
  <si>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</si>
  <si>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</si>
  <si>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</si>
  <si>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</si>
  <si>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</si>
  <si>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</si>
  <si>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</si>
  <si>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</si>
  <si>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</si>
  <si>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</si>
  <si>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</si>
  <si>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</si>
  <si>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</si>
  <si>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</si>
  <si>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</si>
  <si>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</si>
  <si>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</si>
  <si>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</si>
  <si>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</si>
  <si>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Köznevelési intézmény 1-4.évf.tanulók nev.okt. működ.fel.</t>
  </si>
  <si>
    <t>Alapfokú művészetoktatással összefüggő működtetési feladatok</t>
  </si>
  <si>
    <t>Köznevelési intézmény 5-8.évf.tanulók nev.okt. működ.fel.</t>
  </si>
  <si>
    <t>Gimnázium és szakképző iskola tanulóinak elméleti okt.műk.fel.</t>
  </si>
  <si>
    <t>Szakképző isk.tanulók gyakorlati okt.műk.fel.</t>
  </si>
  <si>
    <t>Gyermekétkeztetés köznevelési intézményben</t>
  </si>
  <si>
    <t>Köznevelési intézményben tanulók lakhatásának biztosítása</t>
  </si>
  <si>
    <t>Pedagógiai szakszolgáltató tev.műk.fel.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</si>
  <si>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</si>
  <si>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</si>
  <si>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</si>
  <si>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</si>
  <si>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</si>
  <si>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</si>
  <si>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</si>
  <si>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Mezőtúr Város Önkormányzata
által 2017. évben nyújtott működési és felhalmozási  támogatások államháztartáson kívülre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</si>
  <si>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</si>
  <si>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</si>
  <si>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</si>
  <si>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</si>
  <si>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Módosított előirányzít</t>
  </si>
  <si>
    <t>H</t>
  </si>
  <si>
    <t>I</t>
  </si>
  <si>
    <t xml:space="preserve"> </t>
  </si>
  <si>
    <t>Támogatási célú feinanszírozási műveletek</t>
  </si>
  <si>
    <t>Lakáshoz jutást segítő támogatások</t>
  </si>
  <si>
    <t>061030</t>
  </si>
  <si>
    <t>Közművelődés-hagyományos köz. Kult ért. Gond</t>
  </si>
  <si>
    <t>Városi közuti szemszáll.</t>
  </si>
  <si>
    <t>045140</t>
  </si>
  <si>
    <t>047120</t>
  </si>
  <si>
    <t>Piac üzemeltetés</t>
  </si>
  <si>
    <t>Telepfejl pjojekt</t>
  </si>
  <si>
    <t>062020</t>
  </si>
  <si>
    <t>Köznev. 1-4</t>
  </si>
  <si>
    <t>Alapf. Múűvész. Okt</t>
  </si>
  <si>
    <t>Köznev. 5-8 évf</t>
  </si>
  <si>
    <t>Gimnázium</t>
  </si>
  <si>
    <t>Szakképzés</t>
  </si>
  <si>
    <t>Gyerm napközi ell.</t>
  </si>
  <si>
    <t>104030</t>
  </si>
  <si>
    <t>Gyermvéd pénzb. Tám</t>
  </si>
  <si>
    <t>Szociális étk.</t>
  </si>
  <si>
    <t>107051</t>
  </si>
  <si>
    <t>Egy. Szoc. Pénzb. Tám</t>
  </si>
  <si>
    <t>Módosított összeg</t>
  </si>
  <si>
    <t>V.</t>
  </si>
  <si>
    <t>Működési célú ktgv-i és kiegészítő támogatás</t>
  </si>
  <si>
    <t>Közétkeztetést ellátó konyha fejlesztése Mezőtúron</t>
  </si>
  <si>
    <t>TOP-1.1.3-15-JN1-2016-00014</t>
  </si>
  <si>
    <t>2017,06,01</t>
  </si>
  <si>
    <t>2019,02,28</t>
  </si>
  <si>
    <t>Kedvezményezett:</t>
  </si>
  <si>
    <t xml:space="preserve">  </t>
  </si>
  <si>
    <t>Mezőtúr Városi Bölcsőde fejlesztése</t>
  </si>
  <si>
    <t>TOP-1.4.4-15-JN1-2016-00033</t>
  </si>
  <si>
    <t>ebből Tárgyi eszköz beszerzése</t>
  </si>
  <si>
    <t>Magas színvonalú szociális alapszolgáltatáshoz való hozzáféhetőség biztosítása Mezőtúron</t>
  </si>
  <si>
    <t>TOP-4.2.1-15-JN1-2016-0002</t>
  </si>
  <si>
    <t>COFOG</t>
  </si>
  <si>
    <t>047120-Piac üzemeltetés</t>
  </si>
  <si>
    <t>104030- Gyermekek napközbeni ellátása</t>
  </si>
  <si>
    <t>107051- Szociális étkeztetés</t>
  </si>
  <si>
    <t>Projekt bruttó összköltsége Ft:</t>
  </si>
  <si>
    <t>ebből tárgsyi eszköz beszerzése</t>
  </si>
  <si>
    <t>Kelet-nyugati kerékpárút megépítése Mezőtúron</t>
  </si>
  <si>
    <t>TOP-3.1.1-15-JN1-2016-00003</t>
  </si>
  <si>
    <t>045140- Városi és elővárosi közúti személyszállítás</t>
  </si>
  <si>
    <t>Megyar Közúti Nonprofit Zrt</t>
  </si>
  <si>
    <t>Zöld kapcsolat kialakítása Mezőtúron a rekreációs-, intézményi- és lakoövezetek között</t>
  </si>
  <si>
    <t>TOP-2.1.2-15-JN1-2016-00001</t>
  </si>
  <si>
    <t>062020 - Településfejlesztési projektek és támogatásuk</t>
  </si>
  <si>
    <t>2020. év</t>
  </si>
  <si>
    <t>Belterületi vízrendezési projekt megvalósítása Mezőtúron-Borsó és Cs.Wágner utcákban, valamint a Vásárhelyi Pál utcában</t>
  </si>
  <si>
    <t>TOP-2.1.3-15-JN1-2016-0022</t>
  </si>
  <si>
    <t>047410 - Ár5 és belvízvédelemmel összefüggő tevékenységek</t>
  </si>
  <si>
    <t>Mezőtúr Város Önkormányzata
2017. évi  költségvetési bevételeinek forrásösszetétele</t>
  </si>
  <si>
    <t>Mezőtúr Város Önkormányzatának bevételei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</si>
  <si>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</si>
  <si>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</si>
  <si>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</si>
  <si>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</si>
  <si>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</si>
  <si>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</si>
  <si>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</si>
  <si>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</si>
  <si>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</si>
  <si>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</si>
  <si>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</si>
  <si>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</si>
  <si>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</si>
  <si>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</si>
  <si>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</si>
  <si>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</si>
  <si>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</si>
  <si>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</si>
  <si>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</si>
  <si>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</si>
  <si>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</si>
  <si>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</si>
  <si>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</si>
  <si>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</si>
  <si>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</si>
  <si>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Városi és elővárosi közl.</t>
  </si>
  <si>
    <t xml:space="preserve">Településfejl.project 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</si>
  <si>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</si>
  <si>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</si>
  <si>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</si>
  <si>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</si>
  <si>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</si>
  <si>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</si>
  <si>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</si>
  <si>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</si>
  <si>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</si>
  <si>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</si>
  <si>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</si>
  <si>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</si>
  <si>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</si>
  <si>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</si>
  <si>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</si>
  <si>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</si>
  <si>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</si>
  <si>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</si>
  <si>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</si>
  <si>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</si>
  <si>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</si>
  <si>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</si>
  <si>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</si>
  <si>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</si>
  <si>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</si>
  <si>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</si>
  <si>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</si>
  <si>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</si>
  <si>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</si>
  <si>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</si>
  <si>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</si>
  <si>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</si>
  <si>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Gyermekek napközbeni ellátása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</si>
  <si>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</si>
  <si>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</si>
  <si>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</si>
  <si>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</si>
  <si>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</si>
  <si>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</si>
  <si>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</si>
  <si>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</si>
  <si>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</si>
  <si>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</si>
  <si>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</si>
  <si>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</si>
  <si>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Szociális étkezés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</si>
  <si>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</si>
  <si>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</si>
  <si>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</si>
  <si>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</si>
  <si>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</si>
  <si>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</si>
  <si>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</si>
  <si>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</si>
  <si>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</si>
  <si>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</si>
  <si>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</si>
  <si>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</si>
  <si>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</si>
  <si>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Módosítás 1</t>
  </si>
  <si>
    <t>Módosítás 2</t>
  </si>
  <si>
    <t>Teljesítés</t>
  </si>
  <si>
    <t>%</t>
  </si>
  <si>
    <t>Módosítá 2</t>
  </si>
  <si>
    <t xml:space="preserve">Telsesítés </t>
  </si>
  <si>
    <t>J</t>
  </si>
  <si>
    <t>K</t>
  </si>
  <si>
    <t>L</t>
  </si>
  <si>
    <t>N</t>
  </si>
  <si>
    <t>O</t>
  </si>
  <si>
    <t>M</t>
  </si>
  <si>
    <t xml:space="preserve">Teljesítés </t>
  </si>
  <si>
    <t>Összesen teljesítés</t>
  </si>
  <si>
    <t>Összesen előirányzat</t>
  </si>
  <si>
    <t>155.</t>
  </si>
  <si>
    <t>Összesn előirányzat</t>
  </si>
  <si>
    <t>Módisítás 2</t>
  </si>
  <si>
    <t xml:space="preserve">2. </t>
  </si>
  <si>
    <t xml:space="preserve"> Egyéb felhalmozási célú kiadások</t>
  </si>
  <si>
    <t>Intézményi bevételek teljesítés ossz.</t>
  </si>
  <si>
    <t>Intézményi bevételek előir.s ossz.</t>
  </si>
  <si>
    <t>Intézmények és Önkormányzat bevételei mindöszesen intézményi támogatás halmozásának kiszűrésével TELJESÍTÉS</t>
  </si>
  <si>
    <t>Intézmények és Önkormányzat bevételei mindöszesen intézményi támogatás halmozásának kiszűrésével ELŐIRÁNYZAT</t>
  </si>
  <si>
    <t>Közutak hidak</t>
  </si>
  <si>
    <t>Ár- és belvízvédelem</t>
  </si>
  <si>
    <t>Pedag. Szakszolg</t>
  </si>
  <si>
    <t>IV.1.i</t>
  </si>
  <si>
    <t>A települési önkormányzatok könyvtári célú érdekeltségnövelő támogatása</t>
  </si>
  <si>
    <t>MKS Wing Chun Kung Fu egyesület</t>
  </si>
  <si>
    <t>Dr. Ecseki Teréz OEP finanszírozás átadása</t>
  </si>
  <si>
    <t>Egyéb váll. Egy. Felh. Támogatás INVICTUS</t>
  </si>
  <si>
    <t xml:space="preserve">Egyéb nonpr. Sz. támogatás </t>
  </si>
  <si>
    <t>Elektromos töltőállomás építése</t>
  </si>
  <si>
    <t>Felújítási kiadások összesen</t>
  </si>
  <si>
    <t>Start munkaprogram eszköz beszerzések</t>
  </si>
  <si>
    <t>TOP pályázatok</t>
  </si>
  <si>
    <t>ÁFA</t>
  </si>
  <si>
    <t>Egyéb gép felújítása</t>
  </si>
  <si>
    <t>Mechanikai stabilizáció</t>
  </si>
</sst>
</file>

<file path=xl/styles.xml><?xml version="1.0" encoding="utf-8"?>
<styleSheet xmlns="http://schemas.openxmlformats.org/spreadsheetml/2006/main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_ ;\-#,##0\ "/>
  </numFmts>
  <fonts count="124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i/>
      <sz val="12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color theme="0"/>
      <name val="Times New Roman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5" applyNumberFormat="0" applyAlignment="0" applyProtection="0"/>
    <xf numFmtId="0" fontId="34" fillId="21" borderId="16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5" applyNumberFormat="0" applyAlignment="0" applyProtection="0"/>
    <xf numFmtId="0" fontId="43" fillId="0" borderId="20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21" applyNumberFormat="0" applyFont="0" applyAlignment="0" applyProtection="0"/>
    <xf numFmtId="0" fontId="51" fillId="20" borderId="22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15" applyNumberFormat="0" applyAlignment="0" applyProtection="0"/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16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0" applyNumberFormat="0" applyFill="0" applyAlignment="0" applyProtection="0"/>
    <xf numFmtId="0" fontId="36" fillId="23" borderId="21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22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23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15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946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4" fillId="0" borderId="0" xfId="1" applyFont="1" applyFill="1" applyProtection="1"/>
    <xf numFmtId="0" fontId="15" fillId="0" borderId="0" xfId="1" applyFont="1" applyFill="1" applyProtection="1"/>
    <xf numFmtId="0" fontId="7" fillId="0" borderId="0" xfId="1" applyFill="1" applyAlignment="1" applyProtection="1"/>
    <xf numFmtId="0" fontId="24" fillId="0" borderId="0" xfId="1" applyFont="1" applyFill="1" applyProtection="1"/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0" fontId="67" fillId="0" borderId="0" xfId="48" applyFont="1" applyBorder="1"/>
    <xf numFmtId="166" fontId="67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60" applyNumberFormat="1" applyFont="1" applyFill="1" applyBorder="1" applyAlignment="1">
      <alignment horizontal="left" vertical="center"/>
    </xf>
    <xf numFmtId="164" fontId="49" fillId="0" borderId="0" xfId="160" applyNumberFormat="1" applyFont="1" applyAlignment="1">
      <alignment vertical="center"/>
    </xf>
    <xf numFmtId="0" fontId="55" fillId="0" borderId="0" xfId="0" applyFont="1" applyFill="1" applyBorder="1" applyAlignment="1" applyProtection="1"/>
    <xf numFmtId="0" fontId="0" fillId="0" borderId="0" xfId="0" applyFill="1" applyBorder="1"/>
    <xf numFmtId="0" fontId="91" fillId="0" borderId="0" xfId="0" applyFont="1" applyFill="1" applyBorder="1" applyAlignment="1" applyProtection="1">
      <alignment horizontal="center" vertical="center"/>
    </xf>
    <xf numFmtId="3" fontId="92" fillId="0" borderId="0" xfId="0" applyNumberFormat="1" applyFont="1" applyFill="1" applyBorder="1" applyAlignment="1" applyProtection="1">
      <alignment vertical="center"/>
    </xf>
    <xf numFmtId="10" fontId="16" fillId="0" borderId="0" xfId="160" applyNumberFormat="1" applyFont="1" applyFill="1" applyBorder="1" applyAlignment="1">
      <alignment horizontal="left" vertical="center"/>
    </xf>
    <xf numFmtId="3" fontId="93" fillId="0" borderId="0" xfId="0" applyNumberFormat="1" applyFont="1" applyFill="1" applyBorder="1" applyAlignment="1" applyProtection="1">
      <alignment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Alignment="1">
      <alignment vertical="center"/>
    </xf>
    <xf numFmtId="164" fontId="16" fillId="0" borderId="0" xfId="160" applyNumberFormat="1" applyFont="1" applyFill="1" applyBorder="1" applyAlignment="1">
      <alignment vertical="center"/>
    </xf>
    <xf numFmtId="3" fontId="94" fillId="0" borderId="12" xfId="76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59" fillId="0" borderId="0" xfId="160" applyNumberFormat="1" applyFont="1" applyFill="1" applyBorder="1" applyAlignment="1">
      <alignment horizontal="left" vertical="center" wrapText="1"/>
    </xf>
    <xf numFmtId="164" fontId="59" fillId="0" borderId="0" xfId="160" applyNumberFormat="1" applyFont="1" applyFill="1" applyBorder="1" applyAlignment="1">
      <alignment horizontal="right" vertical="center" wrapText="1"/>
    </xf>
    <xf numFmtId="164" fontId="59" fillId="0" borderId="0" xfId="160" applyNumberFormat="1" applyFont="1" applyAlignment="1">
      <alignment vertical="center"/>
    </xf>
    <xf numFmtId="0" fontId="92" fillId="0" borderId="0" xfId="0" applyFont="1" applyFill="1" applyBorder="1" applyAlignment="1" applyProtection="1">
      <protection locked="0"/>
    </xf>
    <xf numFmtId="164" fontId="16" fillId="0" borderId="0" xfId="16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right"/>
    </xf>
    <xf numFmtId="0" fontId="0" fillId="0" borderId="0" xfId="0" applyFont="1" applyBorder="1"/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vertical="center" wrapText="1"/>
    </xf>
    <xf numFmtId="0" fontId="100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9" fillId="0" borderId="13" xfId="0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center" wrapText="1"/>
    </xf>
    <xf numFmtId="164" fontId="2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</xf>
    <xf numFmtId="0" fontId="17" fillId="0" borderId="13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7" fillId="0" borderId="0" xfId="171" applyFill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104" fillId="0" borderId="0" xfId="172" applyFont="1"/>
    <xf numFmtId="0" fontId="105" fillId="0" borderId="0" xfId="172" applyFont="1" applyAlignment="1">
      <alignment horizontal="center" vertical="center" wrapText="1"/>
    </xf>
    <xf numFmtId="0" fontId="105" fillId="0" borderId="0" xfId="172" applyFont="1"/>
    <xf numFmtId="0" fontId="61" fillId="24" borderId="13" xfId="172" applyFont="1" applyFill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7" fillId="0" borderId="0" xfId="173" applyFont="1" applyFill="1" applyBorder="1" applyAlignment="1">
      <alignment horizontal="right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6" fillId="0" borderId="28" xfId="173" applyFont="1" applyBorder="1" applyAlignment="1"/>
    <xf numFmtId="0" fontId="106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61" fillId="0" borderId="13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3" fontId="62" fillId="0" borderId="0" xfId="48" applyNumberFormat="1" applyFont="1"/>
    <xf numFmtId="0" fontId="61" fillId="0" borderId="13" xfId="48" applyFont="1" applyBorder="1" applyAlignment="1">
      <alignment horizontal="center" vertical="center"/>
    </xf>
    <xf numFmtId="0" fontId="16" fillId="0" borderId="0" xfId="2" applyFont="1" applyBorder="1" applyAlignment="1">
      <alignment vertical="center" wrapText="1"/>
    </xf>
    <xf numFmtId="0" fontId="103" fillId="0" borderId="13" xfId="175" applyFont="1" applyBorder="1" applyAlignment="1">
      <alignment horizontal="center" vertical="center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4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left" vertical="center" wrapText="1"/>
    </xf>
    <xf numFmtId="0" fontId="59" fillId="0" borderId="9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vertical="center" wrapText="1"/>
    </xf>
    <xf numFmtId="49" fontId="114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center" vertical="center" wrapText="1"/>
    </xf>
    <xf numFmtId="0" fontId="61" fillId="0" borderId="24" xfId="174" applyFont="1" applyFill="1" applyBorder="1" applyAlignment="1">
      <alignment horizontal="center" vertical="center"/>
    </xf>
    <xf numFmtId="0" fontId="61" fillId="0" borderId="6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horizontal="center" vertical="center" wrapText="1"/>
    </xf>
    <xf numFmtId="0" fontId="59" fillId="0" borderId="30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164" fontId="70" fillId="0" borderId="13" xfId="0" applyNumberFormat="1" applyFont="1" applyFill="1" applyBorder="1" applyAlignment="1" applyProtection="1">
      <alignment horizontal="right" vertical="center" wrapText="1"/>
    </xf>
    <xf numFmtId="0" fontId="20" fillId="0" borderId="13" xfId="0" applyFont="1" applyFill="1" applyBorder="1" applyAlignment="1">
      <alignment vertical="center" wrapText="1"/>
    </xf>
    <xf numFmtId="0" fontId="70" fillId="0" borderId="13" xfId="0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13" xfId="0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9" fillId="0" borderId="13" xfId="1" applyFont="1" applyFill="1" applyBorder="1" applyAlignment="1" applyProtection="1">
      <alignment horizontal="left" vertical="center" wrapText="1"/>
    </xf>
    <xf numFmtId="49" fontId="70" fillId="0" borderId="13" xfId="1" applyNumberFormat="1" applyFont="1" applyFill="1" applyBorder="1" applyAlignment="1" applyProtection="1">
      <alignment horizontal="center" vertical="center" wrapText="1"/>
    </xf>
    <xf numFmtId="0" fontId="70" fillId="0" borderId="13" xfId="1" applyFont="1" applyFill="1" applyBorder="1" applyAlignment="1" applyProtection="1">
      <alignment horizontal="left" vertical="center" wrapText="1" indent="1"/>
    </xf>
    <xf numFmtId="0" fontId="70" fillId="0" borderId="13" xfId="1" applyFont="1" applyFill="1" applyBorder="1" applyAlignment="1" applyProtection="1">
      <alignment horizontal="center" vertical="center" wrapText="1"/>
    </xf>
    <xf numFmtId="164" fontId="70" fillId="0" borderId="13" xfId="1" applyNumberFormat="1" applyFont="1" applyFill="1" applyBorder="1" applyAlignment="1" applyProtection="1">
      <alignment vertical="center" wrapText="1"/>
    </xf>
    <xf numFmtId="3" fontId="7" fillId="0" borderId="0" xfId="1" applyNumberFormat="1" applyFill="1" applyProtection="1"/>
    <xf numFmtId="3" fontId="17" fillId="0" borderId="13" xfId="1" applyNumberFormat="1" applyFont="1" applyFill="1" applyBorder="1" applyAlignment="1" applyProtection="1">
      <alignment horizontal="center" vertical="center"/>
    </xf>
    <xf numFmtId="3" fontId="17" fillId="0" borderId="13" xfId="1" applyNumberFormat="1" applyFont="1" applyFill="1" applyBorder="1" applyAlignment="1" applyProtection="1">
      <alignment horizontal="center" vertical="center" wrapText="1"/>
    </xf>
    <xf numFmtId="3" fontId="15" fillId="0" borderId="13" xfId="1" applyNumberFormat="1" applyFont="1" applyFill="1" applyBorder="1" applyProtection="1"/>
    <xf numFmtId="3" fontId="7" fillId="0" borderId="0" xfId="1" applyNumberFormat="1" applyFill="1" applyAlignment="1" applyProtection="1"/>
    <xf numFmtId="3" fontId="14" fillId="0" borderId="13" xfId="1" applyNumberFormat="1" applyFont="1" applyFill="1" applyBorder="1" applyAlignment="1" applyProtection="1">
      <alignment horizontal="center" vertical="center"/>
    </xf>
    <xf numFmtId="3" fontId="11" fillId="0" borderId="13" xfId="1" applyNumberFormat="1" applyFont="1" applyFill="1" applyBorder="1" applyProtection="1"/>
    <xf numFmtId="164" fontId="23" fillId="0" borderId="13" xfId="0" applyNumberFormat="1" applyFont="1" applyFill="1" applyBorder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 indent="4"/>
    </xf>
    <xf numFmtId="164" fontId="23" fillId="0" borderId="13" xfId="0" applyNumberFormat="1" applyFont="1" applyFill="1" applyBorder="1" applyAlignment="1" applyProtection="1">
      <alignment vertical="center" wrapText="1"/>
      <protection locked="0"/>
    </xf>
    <xf numFmtId="0" fontId="23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0" fontId="23" fillId="0" borderId="13" xfId="1" applyFont="1" applyFill="1" applyBorder="1" applyAlignment="1" applyProtection="1">
      <alignment horizontal="left" vertical="center" wrapText="1" indent="3"/>
    </xf>
    <xf numFmtId="164" fontId="23" fillId="0" borderId="13" xfId="0" applyNumberFormat="1" applyFont="1" applyFill="1" applyBorder="1" applyAlignment="1" applyProtection="1">
      <alignment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7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on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3" fontId="16" fillId="0" borderId="0" xfId="178" applyNumberFormat="1" applyFont="1" applyFill="1"/>
    <xf numFmtId="3" fontId="20" fillId="0" borderId="13" xfId="178" applyNumberFormat="1" applyFont="1" applyFill="1" applyBorder="1" applyAlignment="1">
      <alignment horizontal="center" vertical="top" wrapText="1"/>
    </xf>
    <xf numFmtId="3" fontId="16" fillId="0" borderId="13" xfId="178" applyNumberFormat="1" applyFont="1" applyFill="1" applyBorder="1" applyAlignment="1">
      <alignment vertical="center"/>
    </xf>
    <xf numFmtId="3" fontId="20" fillId="0" borderId="0" xfId="178" applyNumberFormat="1" applyFont="1" applyFill="1" applyAlignment="1">
      <alignment vertical="center"/>
    </xf>
    <xf numFmtId="3" fontId="16" fillId="0" borderId="13" xfId="178" applyNumberFormat="1" applyFont="1" applyFill="1" applyBorder="1"/>
    <xf numFmtId="0" fontId="16" fillId="0" borderId="13" xfId="178" applyFont="1" applyFill="1" applyBorder="1"/>
    <xf numFmtId="3" fontId="11" fillId="0" borderId="0" xfId="1" applyNumberFormat="1" applyFont="1" applyFill="1" applyAlignment="1" applyProtection="1">
      <alignment horizontal="center" vertical="center"/>
    </xf>
    <xf numFmtId="3" fontId="11" fillId="0" borderId="13" xfId="1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Alignment="1" applyProtection="1">
      <alignment horizontal="right" vertical="center"/>
    </xf>
    <xf numFmtId="3" fontId="17" fillId="0" borderId="13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/>
    </xf>
    <xf numFmtId="3" fontId="17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13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98" fillId="0" borderId="13" xfId="0" applyNumberFormat="1" applyFont="1" applyFill="1" applyBorder="1" applyAlignment="1">
      <alignment vertical="center" wrapText="1"/>
    </xf>
    <xf numFmtId="3" fontId="117" fillId="0" borderId="13" xfId="0" applyNumberFormat="1" applyFont="1" applyFill="1" applyBorder="1" applyAlignment="1">
      <alignment vertical="center" wrapText="1"/>
    </xf>
    <xf numFmtId="3" fontId="98" fillId="0" borderId="0" xfId="0" applyNumberFormat="1" applyFont="1" applyFill="1" applyAlignment="1">
      <alignment vertical="center" wrapText="1"/>
    </xf>
    <xf numFmtId="3" fontId="23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63" fillId="0" borderId="13" xfId="178" applyFont="1" applyBorder="1" applyAlignment="1">
      <alignment horizontal="center" vertical="center" wrapText="1"/>
    </xf>
    <xf numFmtId="0" fontId="63" fillId="0" borderId="13" xfId="178" applyFont="1" applyBorder="1" applyAlignment="1">
      <alignment horizontal="center" vertical="center"/>
    </xf>
    <xf numFmtId="0" fontId="49" fillId="0" borderId="13" xfId="178" applyFont="1" applyBorder="1" applyAlignment="1">
      <alignment horizontal="center" vertical="center"/>
    </xf>
    <xf numFmtId="0" fontId="63" fillId="0" borderId="13" xfId="178" applyFont="1" applyBorder="1" applyAlignment="1">
      <alignment vertical="center"/>
    </xf>
    <xf numFmtId="0" fontId="49" fillId="0" borderId="13" xfId="178" applyFont="1" applyBorder="1" applyAlignment="1">
      <alignment vertical="center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</xf>
    <xf numFmtId="164" fontId="19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 indent="6"/>
    </xf>
    <xf numFmtId="49" fontId="13" fillId="0" borderId="13" xfId="1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wrapText="1"/>
    </xf>
    <xf numFmtId="0" fontId="18" fillId="0" borderId="13" xfId="0" applyFont="1" applyBorder="1" applyAlignment="1" applyProtection="1">
      <alignment horizontal="left" vertical="center" wrapText="1" indent="7"/>
    </xf>
    <xf numFmtId="0" fontId="15" fillId="0" borderId="13" xfId="1" applyFont="1" applyFill="1" applyBorder="1" applyAlignment="1" applyProtection="1">
      <alignment horizontal="left" vertical="center" wrapText="1"/>
    </xf>
    <xf numFmtId="0" fontId="15" fillId="0" borderId="13" xfId="1" applyFont="1" applyFill="1" applyBorder="1" applyAlignment="1" applyProtection="1">
      <alignment horizontal="center" vertical="center" wrapText="1"/>
    </xf>
    <xf numFmtId="164" fontId="11" fillId="0" borderId="13" xfId="1" applyNumberFormat="1" applyFont="1" applyFill="1" applyBorder="1" applyAlignment="1" applyProtection="1">
      <alignment vertical="center" wrapText="1"/>
    </xf>
    <xf numFmtId="16" fontId="18" fillId="0" borderId="13" xfId="2" applyNumberFormat="1" applyFont="1" applyFill="1" applyBorder="1" applyAlignment="1">
      <alignment horizontal="left" vertical="center" indent="5"/>
    </xf>
    <xf numFmtId="0" fontId="18" fillId="0" borderId="13" xfId="0" applyFont="1" applyBorder="1" applyAlignment="1" applyProtection="1">
      <alignment horizontal="center" vertical="center" wrapText="1"/>
    </xf>
    <xf numFmtId="164" fontId="23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2" applyFont="1" applyFill="1" applyBorder="1" applyAlignment="1">
      <alignment horizontal="left" vertical="center" indent="5"/>
    </xf>
    <xf numFmtId="0" fontId="16" fillId="0" borderId="13" xfId="2" applyFont="1" applyFill="1" applyBorder="1" applyAlignment="1">
      <alignment horizontal="left"/>
    </xf>
    <xf numFmtId="0" fontId="18" fillId="0" borderId="13" xfId="2" applyFont="1" applyFill="1" applyBorder="1" applyAlignment="1">
      <alignment horizontal="left" indent="5"/>
    </xf>
    <xf numFmtId="0" fontId="16" fillId="0" borderId="13" xfId="2" applyFont="1" applyFill="1" applyBorder="1" applyAlignment="1">
      <alignment horizontal="left" wrapText="1"/>
    </xf>
    <xf numFmtId="0" fontId="16" fillId="0" borderId="13" xfId="0" applyFont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left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164" fontId="15" fillId="0" borderId="13" xfId="1" applyNumberFormat="1" applyFont="1" applyFill="1" applyBorder="1" applyAlignment="1" applyProtection="1">
      <alignment vertical="center" wrapText="1"/>
    </xf>
    <xf numFmtId="0" fontId="18" fillId="0" borderId="13" xfId="0" applyFont="1" applyBorder="1" applyAlignment="1" applyProtection="1">
      <alignment horizontal="left" wrapText="1" indent="5"/>
    </xf>
    <xf numFmtId="0" fontId="18" fillId="0" borderId="13" xfId="0" applyFont="1" applyBorder="1" applyAlignment="1" applyProtection="1">
      <alignment horizontal="left" vertical="center" wrapText="1" indent="5"/>
    </xf>
    <xf numFmtId="0" fontId="16" fillId="0" borderId="13" xfId="0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wrapText="1"/>
    </xf>
    <xf numFmtId="0" fontId="20" fillId="0" borderId="13" xfId="0" applyFont="1" applyBorder="1" applyAlignment="1" applyProtection="1">
      <alignment horizontal="center" wrapText="1"/>
    </xf>
    <xf numFmtId="0" fontId="23" fillId="0" borderId="13" xfId="1" applyFont="1" applyFill="1" applyBorder="1" applyAlignment="1" applyProtection="1">
      <alignment horizontal="center" vertical="center" wrapText="1"/>
    </xf>
    <xf numFmtId="0" fontId="23" fillId="0" borderId="13" xfId="1" applyFont="1" applyFill="1" applyBorder="1" applyAlignment="1" applyProtection="1">
      <alignment horizontal="left" vertical="center" wrapText="1" indent="5"/>
    </xf>
    <xf numFmtId="0" fontId="23" fillId="0" borderId="13" xfId="1" applyFont="1" applyFill="1" applyBorder="1" applyAlignment="1" applyProtection="1">
      <alignment horizontal="center" vertical="center"/>
    </xf>
    <xf numFmtId="0" fontId="23" fillId="0" borderId="13" xfId="1" applyFont="1" applyFill="1" applyBorder="1" applyAlignment="1" applyProtection="1">
      <alignment horizontal="left" indent="5"/>
    </xf>
    <xf numFmtId="0" fontId="23" fillId="0" borderId="13" xfId="1" applyFont="1" applyFill="1" applyBorder="1" applyAlignment="1" applyProtection="1">
      <alignment horizontal="left" vertical="center" wrapText="1" indent="11"/>
    </xf>
    <xf numFmtId="49" fontId="17" fillId="0" borderId="13" xfId="1" applyNumberFormat="1" applyFont="1" applyFill="1" applyBorder="1" applyAlignment="1" applyProtection="1">
      <alignment horizontal="left" vertical="center" wrapText="1" indent="1"/>
    </xf>
    <xf numFmtId="0" fontId="17" fillId="0" borderId="13" xfId="1" applyFont="1" applyFill="1" applyBorder="1" applyAlignment="1" applyProtection="1">
      <alignment vertical="center" wrapText="1"/>
    </xf>
    <xf numFmtId="0" fontId="19" fillId="0" borderId="13" xfId="1" applyFont="1" applyFill="1" applyBorder="1" applyAlignment="1" applyProtection="1">
      <alignment horizontal="left" vertical="center" wrapText="1"/>
    </xf>
    <xf numFmtId="0" fontId="19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20" fillId="0" borderId="13" xfId="0" quotePrefix="1" applyNumberFormat="1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horizontal="left" vertical="center" wrapText="1" indent="1"/>
    </xf>
    <xf numFmtId="0" fontId="13" fillId="0" borderId="13" xfId="1" applyFont="1" applyFill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5" fillId="0" borderId="13" xfId="0" applyNumberFormat="1" applyFont="1" applyFill="1" applyBorder="1" applyAlignment="1" applyProtection="1">
      <alignment horizontal="righ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/>
    </xf>
    <xf numFmtId="0" fontId="20" fillId="0" borderId="13" xfId="51" applyFont="1" applyBorder="1" applyAlignment="1">
      <alignment horizontal="center" vertical="center"/>
    </xf>
    <xf numFmtId="0" fontId="20" fillId="0" borderId="13" xfId="51" applyFont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/>
    </xf>
    <xf numFmtId="0" fontId="16" fillId="0" borderId="13" xfId="51" applyFont="1" applyFill="1" applyBorder="1" applyAlignment="1">
      <alignment vertical="center" wrapText="1"/>
    </xf>
    <xf numFmtId="0" fontId="16" fillId="0" borderId="13" xfId="51" applyFont="1" applyFill="1" applyBorder="1" applyAlignment="1">
      <alignment horizontal="center" vertical="center" wrapText="1"/>
    </xf>
    <xf numFmtId="4" fontId="16" fillId="0" borderId="13" xfId="51" applyNumberFormat="1" applyFont="1" applyFill="1" applyBorder="1" applyAlignment="1">
      <alignment vertical="center"/>
    </xf>
    <xf numFmtId="3" fontId="16" fillId="0" borderId="13" xfId="51" applyNumberFormat="1" applyFont="1" applyFill="1" applyBorder="1" applyAlignment="1">
      <alignment vertical="center"/>
    </xf>
    <xf numFmtId="3" fontId="57" fillId="0" borderId="13" xfId="51" applyNumberFormat="1" applyFont="1" applyFill="1" applyBorder="1" applyAlignment="1">
      <alignment vertical="center"/>
    </xf>
    <xf numFmtId="0" fontId="16" fillId="0" borderId="13" xfId="51" applyFont="1" applyFill="1" applyBorder="1" applyAlignment="1">
      <alignment vertical="center"/>
    </xf>
    <xf numFmtId="0" fontId="18" fillId="0" borderId="13" xfId="5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vertical="center" wrapText="1"/>
    </xf>
    <xf numFmtId="0" fontId="18" fillId="0" borderId="13" xfId="51" applyFont="1" applyFill="1" applyBorder="1" applyAlignment="1">
      <alignment vertical="center"/>
    </xf>
    <xf numFmtId="3" fontId="18" fillId="0" borderId="13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vertical="center" wrapText="1"/>
    </xf>
    <xf numFmtId="0" fontId="20" fillId="0" borderId="13" xfId="51" applyFont="1" applyFill="1" applyBorder="1" applyAlignment="1">
      <alignment vertical="center"/>
    </xf>
    <xf numFmtId="3" fontId="58" fillId="0" borderId="13" xfId="51" applyNumberFormat="1" applyFont="1" applyFill="1" applyBorder="1" applyAlignment="1">
      <alignment vertical="center"/>
    </xf>
    <xf numFmtId="3" fontId="20" fillId="0" borderId="13" xfId="51" applyNumberFormat="1" applyFont="1" applyFill="1" applyBorder="1" applyAlignment="1">
      <alignment vertical="center"/>
    </xf>
    <xf numFmtId="165" fontId="18" fillId="0" borderId="13" xfId="51" applyNumberFormat="1" applyFont="1" applyFill="1" applyBorder="1" applyAlignment="1">
      <alignment vertical="center"/>
    </xf>
    <xf numFmtId="0" fontId="20" fillId="24" borderId="13" xfId="51" applyFont="1" applyFill="1" applyBorder="1" applyAlignment="1">
      <alignment horizontal="center" vertical="center"/>
    </xf>
    <xf numFmtId="0" fontId="20" fillId="24" borderId="13" xfId="51" applyFont="1" applyFill="1" applyBorder="1" applyAlignment="1">
      <alignment vertical="center"/>
    </xf>
    <xf numFmtId="0" fontId="20" fillId="0" borderId="13" xfId="144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/>
    <xf numFmtId="49" fontId="16" fillId="0" borderId="13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vertical="center" wrapText="1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164" fontId="20" fillId="0" borderId="13" xfId="0" applyNumberFormat="1" applyFont="1" applyFill="1" applyBorder="1" applyAlignment="1">
      <alignment vertical="center" wrapText="1"/>
    </xf>
    <xf numFmtId="164" fontId="20" fillId="24" borderId="13" xfId="0" applyNumberFormat="1" applyFont="1" applyFill="1" applyBorder="1" applyAlignment="1">
      <alignment horizontal="center" vertical="center" wrapText="1"/>
    </xf>
    <xf numFmtId="164" fontId="20" fillId="24" borderId="13" xfId="0" applyNumberFormat="1" applyFont="1" applyFill="1" applyBorder="1" applyAlignment="1">
      <alignment vertical="center" wrapText="1"/>
    </xf>
    <xf numFmtId="0" fontId="61" fillId="0" borderId="13" xfId="48" applyFont="1" applyBorder="1" applyAlignment="1">
      <alignment horizontal="center" vertical="center" wrapText="1"/>
    </xf>
    <xf numFmtId="166" fontId="61" fillId="0" borderId="13" xfId="35" applyNumberFormat="1" applyFont="1" applyBorder="1" applyAlignment="1">
      <alignment horizontal="center" vertical="center" wrapText="1"/>
    </xf>
    <xf numFmtId="0" fontId="59" fillId="0" borderId="13" xfId="48" applyFont="1" applyBorder="1" applyAlignment="1">
      <alignment horizontal="center" vertical="center"/>
    </xf>
    <xf numFmtId="166" fontId="59" fillId="0" borderId="13" xfId="35" applyNumberFormat="1" applyFont="1" applyFill="1" applyBorder="1" applyAlignment="1">
      <alignment vertical="center"/>
    </xf>
    <xf numFmtId="166" fontId="69" fillId="0" borderId="13" xfId="35" applyNumberFormat="1" applyFont="1" applyFill="1" applyBorder="1" applyAlignment="1">
      <alignment vertical="center"/>
    </xf>
    <xf numFmtId="166" fontId="59" fillId="0" borderId="13" xfId="35" applyNumberFormat="1" applyFont="1" applyBorder="1" applyAlignment="1">
      <alignment vertical="center"/>
    </xf>
    <xf numFmtId="166" fontId="61" fillId="0" borderId="13" xfId="35" applyNumberFormat="1" applyFont="1" applyBorder="1" applyAlignment="1">
      <alignment vertical="center"/>
    </xf>
    <xf numFmtId="0" fontId="61" fillId="0" borderId="13" xfId="178" applyFont="1" applyFill="1" applyBorder="1" applyAlignment="1">
      <alignment horizontal="center" vertical="center" wrapText="1"/>
    </xf>
    <xf numFmtId="0" fontId="59" fillId="0" borderId="13" xfId="178" applyFont="1" applyFill="1" applyBorder="1" applyAlignment="1">
      <alignment horizontal="center"/>
    </xf>
    <xf numFmtId="14" fontId="98" fillId="0" borderId="13" xfId="0" applyNumberFormat="1" applyFont="1" applyFill="1" applyBorder="1" applyAlignment="1"/>
    <xf numFmtId="3" fontId="59" fillId="0" borderId="13" xfId="178" applyNumberFormat="1" applyFont="1" applyFill="1" applyBorder="1" applyAlignment="1">
      <alignment horizontal="right"/>
    </xf>
    <xf numFmtId="0" fontId="61" fillId="0" borderId="13" xfId="178" applyFont="1" applyFill="1" applyBorder="1" applyAlignment="1">
      <alignment horizontal="center"/>
    </xf>
    <xf numFmtId="0" fontId="61" fillId="0" borderId="13" xfId="178" applyFont="1" applyFill="1" applyBorder="1" applyAlignment="1">
      <alignment horizontal="left"/>
    </xf>
    <xf numFmtId="3" fontId="61" fillId="0" borderId="13" xfId="178" applyNumberFormat="1" applyFont="1" applyFill="1" applyBorder="1" applyAlignment="1">
      <alignment horizontal="right"/>
    </xf>
    <xf numFmtId="164" fontId="16" fillId="0" borderId="13" xfId="67" applyNumberFormat="1" applyFont="1" applyBorder="1" applyAlignment="1">
      <alignment horizontal="center" vertical="center" wrapText="1"/>
    </xf>
    <xf numFmtId="164" fontId="16" fillId="0" borderId="13" xfId="67" applyNumberFormat="1" applyFont="1" applyFill="1" applyBorder="1" applyAlignment="1">
      <alignment horizontal="center" vertical="center" wrapText="1"/>
    </xf>
    <xf numFmtId="164" fontId="61" fillId="0" borderId="13" xfId="67" applyNumberFormat="1" applyFont="1" applyBorder="1" applyAlignment="1">
      <alignment vertical="center" wrapText="1"/>
    </xf>
    <xf numFmtId="164" fontId="20" fillId="0" borderId="13" xfId="67" applyNumberFormat="1" applyFont="1" applyBorder="1" applyAlignment="1">
      <alignment vertical="center"/>
    </xf>
    <xf numFmtId="164" fontId="20" fillId="0" borderId="13" xfId="160" applyNumberFormat="1" applyFont="1" applyFill="1" applyBorder="1" applyAlignment="1">
      <alignment horizontal="center" vertical="center"/>
    </xf>
    <xf numFmtId="164" fontId="20" fillId="0" borderId="13" xfId="160" applyNumberFormat="1" applyFont="1" applyFill="1" applyBorder="1" applyAlignment="1">
      <alignment horizontal="center" vertical="center" wrapText="1"/>
    </xf>
    <xf numFmtId="164" fontId="20" fillId="0" borderId="13" xfId="160" applyNumberFormat="1" applyFont="1" applyFill="1" applyBorder="1" applyAlignment="1">
      <alignment horizontal="right" vertical="center"/>
    </xf>
    <xf numFmtId="164" fontId="16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left" vertical="center" wrapText="1"/>
    </xf>
    <xf numFmtId="164" fontId="16" fillId="0" borderId="13" xfId="160" applyNumberFormat="1" applyFont="1" applyFill="1" applyBorder="1" applyAlignment="1">
      <alignment horizontal="right" vertical="center"/>
    </xf>
    <xf numFmtId="164" fontId="20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right" vertical="center" wrapText="1"/>
    </xf>
    <xf numFmtId="164" fontId="95" fillId="0" borderId="13" xfId="160" applyNumberFormat="1" applyFont="1" applyFill="1" applyBorder="1" applyAlignment="1">
      <alignment vertical="center" wrapText="1"/>
    </xf>
    <xf numFmtId="164" fontId="95" fillId="0" borderId="13" xfId="160" applyNumberFormat="1" applyFont="1" applyFill="1" applyBorder="1" applyAlignment="1">
      <alignment horizontal="right" vertical="center" wrapText="1"/>
    </xf>
    <xf numFmtId="164" fontId="95" fillId="0" borderId="13" xfId="160" applyNumberFormat="1" applyFont="1" applyFill="1" applyBorder="1" applyAlignment="1">
      <alignment horizontal="right" vertical="center"/>
    </xf>
    <xf numFmtId="3" fontId="16" fillId="0" borderId="13" xfId="0" applyNumberFormat="1" applyFont="1" applyBorder="1" applyAlignment="1" applyProtection="1">
      <alignment horizontal="right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3" xfId="1" applyNumberFormat="1" applyFont="1" applyFill="1" applyBorder="1" applyAlignment="1" applyProtection="1">
      <alignment horizontal="center" vertical="center" wrapText="1"/>
    </xf>
    <xf numFmtId="3" fontId="18" fillId="0" borderId="13" xfId="0" applyNumberFormat="1" applyFont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right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3" xfId="0" applyFont="1" applyBorder="1" applyAlignment="1" applyProtection="1">
      <alignment vertical="center" wrapText="1"/>
    </xf>
    <xf numFmtId="3" fontId="15" fillId="0" borderId="13" xfId="1" applyNumberFormat="1" applyFont="1" applyFill="1" applyBorder="1" applyAlignment="1" applyProtection="1">
      <alignment horizontal="right" vertical="center" wrapText="1"/>
    </xf>
    <xf numFmtId="3" fontId="23" fillId="0" borderId="13" xfId="1" applyNumberFormat="1" applyFont="1" applyFill="1" applyBorder="1" applyAlignment="1" applyProtection="1">
      <alignment horizontal="right" vertical="center"/>
    </xf>
    <xf numFmtId="164" fontId="23" fillId="0" borderId="13" xfId="1" applyNumberFormat="1" applyFont="1" applyFill="1" applyBorder="1" applyAlignment="1" applyProtection="1">
      <alignment vertical="center"/>
      <protection locked="0"/>
    </xf>
    <xf numFmtId="3" fontId="23" fillId="0" borderId="13" xfId="1" applyNumberFormat="1" applyFont="1" applyFill="1" applyBorder="1" applyAlignment="1" applyProtection="1">
      <alignment horizontal="right" vertical="center" wrapText="1"/>
    </xf>
    <xf numFmtId="3" fontId="0" fillId="0" borderId="13" xfId="1" applyNumberFormat="1" applyFont="1" applyFill="1" applyBorder="1" applyAlignment="1" applyProtection="1">
      <alignment horizontal="right" vertical="center" wrapText="1"/>
    </xf>
    <xf numFmtId="3" fontId="20" fillId="0" borderId="13" xfId="0" applyNumberFormat="1" applyFont="1" applyBorder="1" applyAlignment="1" applyProtection="1">
      <alignment vertical="center" wrapText="1"/>
    </xf>
    <xf numFmtId="3" fontId="11" fillId="25" borderId="13" xfId="1" applyNumberFormat="1" applyFont="1" applyFill="1" applyBorder="1" applyAlignment="1" applyProtection="1">
      <alignment horizontal="right" vertical="center"/>
    </xf>
    <xf numFmtId="164" fontId="20" fillId="0" borderId="13" xfId="161" applyNumberFormat="1" applyFont="1" applyFill="1" applyBorder="1" applyAlignment="1" applyProtection="1">
      <alignment horizontal="center" vertical="center" wrapText="1"/>
    </xf>
    <xf numFmtId="164" fontId="20" fillId="0" borderId="13" xfId="159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vertical="center" wrapText="1"/>
    </xf>
    <xf numFmtId="49" fontId="16" fillId="0" borderId="13" xfId="161" applyNumberFormat="1" applyFont="1" applyFill="1" applyBorder="1" applyAlignment="1" applyProtection="1">
      <alignment horizontal="left" vertical="center" wrapText="1" indent="2"/>
    </xf>
    <xf numFmtId="3" fontId="16" fillId="0" borderId="13" xfId="161" applyNumberFormat="1" applyFont="1" applyFill="1" applyBorder="1" applyAlignment="1" applyProtection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13" xfId="159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vertical="center" wrapText="1"/>
    </xf>
    <xf numFmtId="49" fontId="20" fillId="0" borderId="13" xfId="161" applyNumberFormat="1" applyFont="1" applyFill="1" applyBorder="1" applyAlignment="1" applyProtection="1">
      <alignment horizontal="left" vertical="center" wrapText="1" indent="2"/>
    </xf>
    <xf numFmtId="3" fontId="20" fillId="0" borderId="13" xfId="161" applyNumberFormat="1" applyFont="1" applyFill="1" applyBorder="1" applyAlignment="1" applyProtection="1">
      <alignment horizontal="right" vertical="center"/>
    </xf>
    <xf numFmtId="3" fontId="20" fillId="0" borderId="13" xfId="0" applyNumberFormat="1" applyFont="1" applyFill="1" applyBorder="1" applyAlignment="1">
      <alignment horizontal="right" vertical="center"/>
    </xf>
    <xf numFmtId="3" fontId="20" fillId="0" borderId="13" xfId="159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horizontal="left" vertical="center" wrapText="1"/>
    </xf>
    <xf numFmtId="164" fontId="20" fillId="0" borderId="13" xfId="161" applyNumberFormat="1" applyFont="1" applyFill="1" applyBorder="1" applyAlignment="1" applyProtection="1">
      <alignment vertical="center"/>
    </xf>
    <xf numFmtId="49" fontId="20" fillId="24" borderId="13" xfId="161" applyNumberFormat="1" applyFont="1" applyFill="1" applyBorder="1" applyAlignment="1" applyProtection="1">
      <alignment horizontal="left" vertical="center" wrapText="1" indent="2"/>
    </xf>
    <xf numFmtId="0" fontId="103" fillId="0" borderId="0" xfId="48" applyFont="1"/>
    <xf numFmtId="3" fontId="103" fillId="0" borderId="13" xfId="48" applyNumberFormat="1" applyFont="1" applyBorder="1" applyAlignment="1">
      <alignment wrapText="1"/>
    </xf>
    <xf numFmtId="3" fontId="62" fillId="0" borderId="13" xfId="48" applyNumberFormat="1" applyFont="1" applyBorder="1"/>
    <xf numFmtId="0" fontId="20" fillId="0" borderId="13" xfId="0" applyFont="1" applyBorder="1" applyAlignment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horizontal="right" vertical="center"/>
    </xf>
    <xf numFmtId="164" fontId="16" fillId="0" borderId="13" xfId="0" applyNumberFormat="1" applyFont="1" applyFill="1" applyBorder="1" applyAlignment="1">
      <alignment horizontal="right" vertical="center"/>
    </xf>
    <xf numFmtId="164" fontId="16" fillId="0" borderId="13" xfId="159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horizontal="right" vertical="center"/>
    </xf>
    <xf numFmtId="164" fontId="20" fillId="0" borderId="13" xfId="0" applyNumberFormat="1" applyFont="1" applyFill="1" applyBorder="1" applyAlignment="1">
      <alignment horizontal="right" vertical="center"/>
    </xf>
    <xf numFmtId="164" fontId="20" fillId="0" borderId="13" xfId="159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164" fontId="20" fillId="0" borderId="13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64" fontId="98" fillId="0" borderId="13" xfId="0" applyNumberFormat="1" applyFont="1" applyFill="1" applyBorder="1" applyAlignment="1" applyProtection="1">
      <alignment horizontal="right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64" fontId="15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3" xfId="0" applyFont="1" applyBorder="1" applyAlignment="1">
      <alignment horizontal="left" vertical="center" indent="2"/>
    </xf>
    <xf numFmtId="0" fontId="18" fillId="0" borderId="13" xfId="0" applyFont="1" applyBorder="1" applyAlignment="1">
      <alignment horizontal="center" vertical="center"/>
    </xf>
    <xf numFmtId="164" fontId="1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Fill="1" applyBorder="1" applyAlignment="1">
      <alignment vertical="center"/>
    </xf>
    <xf numFmtId="0" fontId="23" fillId="0" borderId="13" xfId="1" applyFont="1" applyFill="1" applyBorder="1" applyAlignment="1" applyProtection="1">
      <alignment horizontal="left" vertical="center" wrapText="1" indent="1"/>
    </xf>
    <xf numFmtId="0" fontId="23" fillId="0" borderId="13" xfId="1" applyFont="1" applyFill="1" applyBorder="1" applyAlignment="1" applyProtection="1">
      <alignment horizontal="left" vertical="center" wrapText="1" indent="6"/>
    </xf>
    <xf numFmtId="0" fontId="99" fillId="0" borderId="0" xfId="0" applyFont="1" applyFill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1" fillId="0" borderId="13" xfId="1" applyFont="1" applyFill="1" applyBorder="1" applyAlignment="1" applyProtection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0" fillId="0" borderId="13" xfId="0" applyFont="1" applyBorder="1" applyAlignment="1">
      <alignment horizontal="right" vertical="center"/>
    </xf>
    <xf numFmtId="164" fontId="0" fillId="0" borderId="13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164" fontId="17" fillId="0" borderId="13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vertical="center" wrapText="1"/>
    </xf>
    <xf numFmtId="0" fontId="61" fillId="0" borderId="13" xfId="0" applyFont="1" applyFill="1" applyBorder="1" applyAlignment="1">
      <alignment horizontal="left" vertical="center" wrapText="1"/>
    </xf>
    <xf numFmtId="0" fontId="61" fillId="0" borderId="13" xfId="0" applyFont="1" applyFill="1" applyBorder="1" applyAlignment="1">
      <alignment vertical="center" wrapText="1"/>
    </xf>
    <xf numFmtId="0" fontId="59" fillId="0" borderId="13" xfId="0" applyFont="1" applyBorder="1" applyAlignment="1">
      <alignment vertical="center"/>
    </xf>
    <xf numFmtId="0" fontId="69" fillId="0" borderId="13" xfId="0" applyFont="1" applyBorder="1" applyAlignment="1">
      <alignment horizontal="left" vertical="center" indent="2"/>
    </xf>
    <xf numFmtId="0" fontId="59" fillId="0" borderId="13" xfId="0" applyFont="1" applyBorder="1" applyAlignment="1">
      <alignment horizontal="left" vertical="center"/>
    </xf>
    <xf numFmtId="0" fontId="59" fillId="0" borderId="13" xfId="0" applyFont="1" applyFill="1" applyBorder="1" applyAlignment="1">
      <alignment vertical="center"/>
    </xf>
    <xf numFmtId="0" fontId="98" fillId="0" borderId="13" xfId="1" applyFont="1" applyFill="1" applyBorder="1" applyAlignment="1" applyProtection="1">
      <alignment horizontal="left" vertical="center" wrapText="1"/>
    </xf>
    <xf numFmtId="0" fontId="117" fillId="0" borderId="13" xfId="1" applyFont="1" applyFill="1" applyBorder="1" applyAlignment="1" applyProtection="1">
      <alignment horizontal="left" vertical="center" wrapText="1" indent="4"/>
    </xf>
    <xf numFmtId="0" fontId="117" fillId="0" borderId="13" xfId="1" applyFont="1" applyFill="1" applyBorder="1" applyAlignment="1" applyProtection="1">
      <alignment horizontal="left" vertical="center" wrapText="1" indent="1"/>
    </xf>
    <xf numFmtId="0" fontId="117" fillId="0" borderId="13" xfId="1" applyFont="1" applyFill="1" applyBorder="1" applyAlignment="1" applyProtection="1">
      <alignment horizontal="left" vertical="center" wrapText="1" indent="6"/>
    </xf>
    <xf numFmtId="164" fontId="23" fillId="25" borderId="13" xfId="1" applyNumberFormat="1" applyFont="1" applyFill="1" applyBorder="1" applyAlignment="1" applyProtection="1">
      <alignment horizontal="right" vertical="center" wrapText="1"/>
      <protection locked="0"/>
    </xf>
    <xf numFmtId="3" fontId="98" fillId="25" borderId="13" xfId="0" applyNumberFormat="1" applyFont="1" applyFill="1" applyBorder="1" applyAlignment="1">
      <alignment vertical="center" wrapText="1"/>
    </xf>
    <xf numFmtId="49" fontId="16" fillId="0" borderId="13" xfId="161" applyNumberFormat="1" applyFont="1" applyFill="1" applyBorder="1" applyAlignment="1" applyProtection="1">
      <alignment horizontal="center" vertical="center" wrapText="1"/>
    </xf>
    <xf numFmtId="49" fontId="20" fillId="0" borderId="13" xfId="161" applyNumberFormat="1" applyFont="1" applyFill="1" applyBorder="1" applyAlignment="1" applyProtection="1">
      <alignment horizontal="center" vertical="center" wrapText="1"/>
    </xf>
    <xf numFmtId="0" fontId="91" fillId="0" borderId="13" xfId="171" applyFont="1" applyFill="1" applyBorder="1" applyAlignment="1" applyProtection="1">
      <alignment horizontal="center" vertical="center" wrapText="1"/>
    </xf>
    <xf numFmtId="0" fontId="91" fillId="0" borderId="13" xfId="171" applyFont="1" applyFill="1" applyBorder="1" applyAlignment="1" applyProtection="1">
      <alignment horizontal="center" vertical="center"/>
    </xf>
    <xf numFmtId="0" fontId="14" fillId="0" borderId="13" xfId="171" applyFont="1" applyFill="1" applyBorder="1" applyAlignment="1" applyProtection="1">
      <alignment horizontal="left" vertical="center" indent="1"/>
    </xf>
    <xf numFmtId="164" fontId="14" fillId="0" borderId="13" xfId="171" applyNumberFormat="1" applyFont="1" applyFill="1" applyBorder="1" applyAlignment="1" applyProtection="1">
      <alignment vertical="center"/>
      <protection locked="0"/>
    </xf>
    <xf numFmtId="164" fontId="14" fillId="0" borderId="13" xfId="171" applyNumberFormat="1" applyFont="1" applyFill="1" applyBorder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wrapText="1" indent="1"/>
    </xf>
    <xf numFmtId="0" fontId="96" fillId="0" borderId="13" xfId="171" applyFont="1" applyFill="1" applyBorder="1" applyAlignment="1" applyProtection="1">
      <alignment horizontal="left" vertical="center" indent="1"/>
    </xf>
    <xf numFmtId="164" fontId="97" fillId="0" borderId="13" xfId="171" applyNumberFormat="1" applyFont="1" applyFill="1" applyBorder="1" applyAlignment="1" applyProtection="1">
      <alignment vertical="center"/>
    </xf>
    <xf numFmtId="0" fontId="97" fillId="0" borderId="13" xfId="171" applyFont="1" applyFill="1" applyBorder="1" applyAlignment="1" applyProtection="1">
      <alignment horizontal="left" vertical="center" indent="1"/>
    </xf>
    <xf numFmtId="164" fontId="97" fillId="0" borderId="13" xfId="171" applyNumberFormat="1" applyFont="1" applyFill="1" applyBorder="1" applyProtection="1"/>
    <xf numFmtId="0" fontId="20" fillId="0" borderId="13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16" fillId="0" borderId="13" xfId="2" applyFont="1" applyBorder="1" applyAlignment="1">
      <alignment vertical="center" wrapText="1"/>
    </xf>
    <xf numFmtId="0" fontId="16" fillId="0" borderId="13" xfId="2" applyFont="1" applyBorder="1" applyAlignment="1">
      <alignment horizontal="right" vertical="center"/>
    </xf>
    <xf numFmtId="3" fontId="16" fillId="0" borderId="13" xfId="2" applyNumberFormat="1" applyFont="1" applyBorder="1" applyAlignment="1">
      <alignment horizontal="right" vertical="center"/>
    </xf>
    <xf numFmtId="9" fontId="16" fillId="0" borderId="13" xfId="2" applyNumberFormat="1" applyFont="1" applyBorder="1" applyAlignment="1">
      <alignment vertical="center" wrapText="1"/>
    </xf>
    <xf numFmtId="0" fontId="16" fillId="0" borderId="13" xfId="2" applyFont="1" applyBorder="1" applyAlignment="1">
      <alignment wrapText="1"/>
    </xf>
    <xf numFmtId="0" fontId="16" fillId="0" borderId="13" xfId="2" applyFont="1" applyBorder="1"/>
    <xf numFmtId="3" fontId="16" fillId="0" borderId="13" xfId="2" applyNumberFormat="1" applyFont="1" applyBorder="1" applyAlignment="1">
      <alignment horizontal="right"/>
    </xf>
    <xf numFmtId="0" fontId="16" fillId="0" borderId="13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 wrapText="1"/>
    </xf>
    <xf numFmtId="0" fontId="20" fillId="0" borderId="13" xfId="2" applyFont="1" applyBorder="1"/>
    <xf numFmtId="3" fontId="20" fillId="0" borderId="13" xfId="2" applyNumberFormat="1" applyFont="1" applyBorder="1" applyAlignment="1">
      <alignment horizontal="right"/>
    </xf>
    <xf numFmtId="0" fontId="20" fillId="0" borderId="13" xfId="2" applyFont="1" applyBorder="1" applyAlignment="1">
      <alignment horizontal="right"/>
    </xf>
    <xf numFmtId="0" fontId="103" fillId="0" borderId="13" xfId="173" applyFont="1" applyBorder="1" applyAlignment="1">
      <alignment horizontal="center" vertical="center"/>
    </xf>
    <xf numFmtId="0" fontId="103" fillId="0" borderId="13" xfId="173" applyFont="1" applyFill="1" applyBorder="1" applyAlignment="1">
      <alignment horizontal="center" vertical="center" wrapText="1"/>
    </xf>
    <xf numFmtId="0" fontId="62" fillId="0" borderId="13" xfId="173" applyFont="1" applyBorder="1" applyAlignment="1">
      <alignment horizontal="center" vertical="center"/>
    </xf>
    <xf numFmtId="0" fontId="62" fillId="0" borderId="13" xfId="173" applyFont="1" applyBorder="1" applyAlignment="1">
      <alignment vertical="center" wrapText="1"/>
    </xf>
    <xf numFmtId="3" fontId="62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vertical="center"/>
    </xf>
    <xf numFmtId="0" fontId="61" fillId="0" borderId="13" xfId="173" applyFont="1" applyBorder="1" applyAlignment="1">
      <alignment vertical="center"/>
    </xf>
    <xf numFmtId="3" fontId="61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horizontal="left" vertical="center" wrapText="1"/>
    </xf>
    <xf numFmtId="0" fontId="103" fillId="0" borderId="13" xfId="173" applyFont="1" applyBorder="1" applyAlignment="1">
      <alignment horizontal="left" vertical="center"/>
    </xf>
    <xf numFmtId="3" fontId="103" fillId="0" borderId="13" xfId="173" applyNumberFormat="1" applyFont="1" applyBorder="1" applyAlignment="1">
      <alignment vertical="center"/>
    </xf>
    <xf numFmtId="0" fontId="103" fillId="0" borderId="13" xfId="173" applyFont="1" applyBorder="1" applyAlignment="1">
      <alignment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98" fillId="0" borderId="13" xfId="1" applyFont="1" applyFill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horizontal="left" vertical="center" wrapText="1" indent="1"/>
    </xf>
    <xf numFmtId="164" fontId="71" fillId="0" borderId="13" xfId="1" applyNumberFormat="1" applyFont="1" applyFill="1" applyBorder="1" applyAlignment="1" applyProtection="1">
      <alignment vertical="center" wrapText="1"/>
      <protection locked="0"/>
    </xf>
    <xf numFmtId="0" fontId="71" fillId="0" borderId="13" xfId="1" applyFont="1" applyFill="1" applyBorder="1" applyAlignment="1" applyProtection="1">
      <alignment horizontal="left" vertical="center" wrapText="1" indent="1"/>
    </xf>
    <xf numFmtId="164" fontId="98" fillId="0" borderId="13" xfId="1" applyNumberFormat="1" applyFont="1" applyFill="1" applyBorder="1" applyAlignment="1" applyProtection="1">
      <alignment vertical="center" wrapText="1"/>
    </xf>
    <xf numFmtId="164" fontId="98" fillId="0" borderId="13" xfId="1" applyNumberFormat="1" applyFont="1" applyFill="1" applyBorder="1" applyAlignment="1" applyProtection="1">
      <alignment vertical="center" wrapText="1"/>
      <protection locked="0"/>
    </xf>
    <xf numFmtId="0" fontId="15" fillId="0" borderId="13" xfId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vertical="center" wrapText="1" indent="1"/>
    </xf>
    <xf numFmtId="164" fontId="16" fillId="0" borderId="13" xfId="0" quotePrefix="1" applyNumberFormat="1" applyFont="1" applyBorder="1" applyAlignment="1" applyProtection="1">
      <alignment vertical="center" wrapText="1"/>
      <protection locked="0"/>
    </xf>
    <xf numFmtId="0" fontId="61" fillId="0" borderId="13" xfId="172" applyFont="1" applyBorder="1" applyAlignment="1">
      <alignment horizontal="center"/>
    </xf>
    <xf numFmtId="0" fontId="59" fillId="0" borderId="13" xfId="172" applyFont="1" applyBorder="1" applyAlignment="1">
      <alignment horizontal="left" vertical="center" wrapText="1"/>
    </xf>
    <xf numFmtId="3" fontId="59" fillId="0" borderId="13" xfId="172" applyNumberFormat="1" applyFont="1" applyBorder="1" applyAlignment="1">
      <alignment horizontal="center" vertical="center"/>
    </xf>
    <xf numFmtId="0" fontId="59" fillId="0" borderId="13" xfId="172" applyFont="1" applyBorder="1" applyAlignment="1">
      <alignment horizontal="center" vertical="center" wrapText="1"/>
    </xf>
    <xf numFmtId="3" fontId="61" fillId="0" borderId="13" xfId="172" applyNumberFormat="1" applyFont="1" applyBorder="1" applyAlignment="1">
      <alignment horizontal="center" vertical="center"/>
    </xf>
    <xf numFmtId="0" fontId="103" fillId="0" borderId="13" xfId="175" applyFont="1" applyBorder="1" applyAlignment="1">
      <alignment horizontal="center" vertical="center" wrapText="1"/>
    </xf>
    <xf numFmtId="0" fontId="62" fillId="0" borderId="13" xfId="175" applyFont="1" applyBorder="1" applyAlignment="1">
      <alignment horizontal="center" vertical="center"/>
    </xf>
    <xf numFmtId="0" fontId="111" fillId="0" borderId="13" xfId="0" applyFont="1" applyBorder="1" applyAlignment="1">
      <alignment horizontal="left" vertical="center" wrapText="1"/>
    </xf>
    <xf numFmtId="164" fontId="67" fillId="0" borderId="13" xfId="35" applyNumberFormat="1" applyFont="1" applyBorder="1" applyAlignment="1">
      <alignment horizontal="right" vertical="center"/>
    </xf>
    <xf numFmtId="0" fontId="112" fillId="0" borderId="13" xfId="0" applyFont="1" applyBorder="1" applyAlignment="1">
      <alignment horizontal="left" vertical="center" wrapText="1"/>
    </xf>
    <xf numFmtId="164" fontId="108" fillId="0" borderId="13" xfId="35" applyNumberFormat="1" applyFont="1" applyBorder="1" applyAlignment="1">
      <alignment horizontal="right" vertical="center"/>
    </xf>
    <xf numFmtId="164" fontId="103" fillId="0" borderId="13" xfId="175" applyNumberFormat="1" applyFont="1" applyBorder="1" applyAlignment="1">
      <alignment horizontal="right" vertical="center"/>
    </xf>
    <xf numFmtId="0" fontId="99" fillId="0" borderId="13" xfId="1" applyFont="1" applyFill="1" applyBorder="1" applyAlignment="1" applyProtection="1">
      <alignment horizontal="center" vertical="center" wrapText="1"/>
    </xf>
    <xf numFmtId="166" fontId="99" fillId="0" borderId="13" xfId="177" applyNumberFormat="1" applyFont="1" applyFill="1" applyBorder="1" applyAlignment="1" applyProtection="1">
      <alignment horizontal="center" vertical="center" wrapText="1"/>
    </xf>
    <xf numFmtId="1" fontId="98" fillId="0" borderId="13" xfId="1" applyNumberFormat="1" applyFont="1" applyFill="1" applyBorder="1" applyAlignment="1" applyProtection="1">
      <alignment horizontal="center" vertical="center"/>
    </xf>
    <xf numFmtId="1" fontId="98" fillId="0" borderId="13" xfId="177" applyNumberFormat="1" applyFont="1" applyFill="1" applyBorder="1" applyAlignment="1" applyProtection="1">
      <alignment horizontal="center" vertical="center"/>
    </xf>
    <xf numFmtId="0" fontId="98" fillId="0" borderId="13" xfId="1" applyFont="1" applyFill="1" applyBorder="1" applyAlignment="1" applyProtection="1">
      <alignment horizontal="center" vertical="center"/>
    </xf>
    <xf numFmtId="0" fontId="67" fillId="0" borderId="13" xfId="176" applyFont="1" applyFill="1" applyBorder="1" applyAlignment="1">
      <alignment wrapText="1"/>
    </xf>
    <xf numFmtId="166" fontId="67" fillId="0" borderId="13" xfId="177" applyNumberFormat="1" applyFont="1" applyFill="1" applyBorder="1" applyAlignment="1">
      <alignment horizontal="center" vertical="center"/>
    </xf>
    <xf numFmtId="166" fontId="98" fillId="0" borderId="13" xfId="177" applyNumberFormat="1" applyFont="1" applyFill="1" applyBorder="1" applyAlignment="1" applyProtection="1">
      <alignment vertical="center"/>
      <protection locked="0"/>
    </xf>
    <xf numFmtId="0" fontId="67" fillId="0" borderId="13" xfId="176" applyFont="1" applyBorder="1" applyAlignment="1">
      <alignment wrapText="1"/>
    </xf>
    <xf numFmtId="166" fontId="67" fillId="0" borderId="13" xfId="177" applyNumberFormat="1" applyFont="1" applyBorder="1" applyAlignment="1">
      <alignment vertical="center"/>
    </xf>
    <xf numFmtId="0" fontId="67" fillId="0" borderId="13" xfId="176" applyFont="1" applyBorder="1" applyAlignment="1">
      <alignment vertical="center" wrapText="1"/>
    </xf>
    <xf numFmtId="166" fontId="67" fillId="0" borderId="13" xfId="177" applyNumberFormat="1" applyFont="1" applyBorder="1" applyAlignment="1">
      <alignment horizontal="center" vertical="center"/>
    </xf>
    <xf numFmtId="0" fontId="67" fillId="0" borderId="13" xfId="176" applyFont="1" applyBorder="1" applyAlignment="1">
      <alignment vertical="center" wrapText="1" shrinkToFit="1"/>
    </xf>
    <xf numFmtId="0" fontId="99" fillId="0" borderId="13" xfId="1" applyFont="1" applyFill="1" applyBorder="1" applyAlignment="1" applyProtection="1">
      <alignment horizontal="center" vertical="center"/>
    </xf>
    <xf numFmtId="0" fontId="99" fillId="0" borderId="13" xfId="1" applyFont="1" applyFill="1" applyBorder="1" applyAlignment="1" applyProtection="1">
      <alignment vertical="center" wrapText="1"/>
      <protection locked="0"/>
    </xf>
    <xf numFmtId="166" fontId="99" fillId="0" borderId="13" xfId="177" applyNumberFormat="1" applyFont="1" applyFill="1" applyBorder="1" applyAlignment="1" applyProtection="1">
      <alignment vertical="center"/>
      <protection locked="0"/>
    </xf>
    <xf numFmtId="0" fontId="59" fillId="0" borderId="13" xfId="176" applyFont="1" applyFill="1" applyBorder="1" applyAlignment="1">
      <alignment wrapText="1"/>
    </xf>
    <xf numFmtId="166" fontId="59" fillId="0" borderId="13" xfId="177" applyNumberFormat="1" applyFont="1" applyBorder="1" applyAlignment="1">
      <alignment horizontal="center"/>
    </xf>
    <xf numFmtId="0" fontId="59" fillId="0" borderId="13" xfId="176" applyFont="1" applyBorder="1" applyAlignment="1">
      <alignment wrapText="1"/>
    </xf>
    <xf numFmtId="166" fontId="59" fillId="0" borderId="13" xfId="177" applyNumberFormat="1" applyFont="1" applyFill="1" applyBorder="1" applyAlignment="1">
      <alignment horizontal="center"/>
    </xf>
    <xf numFmtId="166" fontId="116" fillId="0" borderId="13" xfId="177" applyNumberFormat="1" applyFont="1" applyFill="1" applyBorder="1" applyAlignment="1"/>
    <xf numFmtId="166" fontId="99" fillId="0" borderId="13" xfId="177" applyNumberFormat="1" applyFont="1" applyFill="1" applyBorder="1" applyAlignment="1" applyProtection="1">
      <alignment vertical="center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3" fontId="68" fillId="0" borderId="0" xfId="35" applyNumberFormat="1" applyFont="1" applyFill="1" applyBorder="1" applyAlignment="1">
      <alignment horizontal="right"/>
    </xf>
    <xf numFmtId="3" fontId="61" fillId="0" borderId="13" xfId="35" applyNumberFormat="1" applyFont="1" applyBorder="1" applyAlignment="1">
      <alignment vertical="center"/>
    </xf>
    <xf numFmtId="0" fontId="17" fillId="0" borderId="0" xfId="1" applyFont="1" applyFill="1" applyProtection="1"/>
    <xf numFmtId="0" fontId="13" fillId="0" borderId="0" xfId="1" applyFont="1" applyFill="1" applyProtection="1"/>
    <xf numFmtId="164" fontId="18" fillId="0" borderId="13" xfId="67" applyNumberFormat="1" applyFont="1" applyBorder="1" applyAlignment="1">
      <alignment horizontal="left" vertical="center" wrapText="1"/>
    </xf>
    <xf numFmtId="164" fontId="18" fillId="0" borderId="13" xfId="67" applyNumberFormat="1" applyFont="1" applyBorder="1" applyAlignment="1">
      <alignment vertical="center"/>
    </xf>
    <xf numFmtId="165" fontId="18" fillId="0" borderId="13" xfId="67" applyNumberFormat="1" applyFont="1" applyBorder="1" applyAlignment="1">
      <alignment vertical="center"/>
    </xf>
    <xf numFmtId="0" fontId="120" fillId="0" borderId="0" xfId="0" applyFont="1"/>
    <xf numFmtId="0" fontId="63" fillId="0" borderId="0" xfId="0" applyFont="1"/>
    <xf numFmtId="3" fontId="20" fillId="0" borderId="14" xfId="51" applyNumberFormat="1" applyFont="1" applyBorder="1" applyAlignment="1">
      <alignment horizontal="center" vertical="center"/>
    </xf>
    <xf numFmtId="0" fontId="20" fillId="0" borderId="0" xfId="51" applyFont="1" applyFill="1"/>
    <xf numFmtId="3" fontId="16" fillId="0" borderId="13" xfId="51" applyNumberFormat="1" applyFont="1" applyBorder="1" applyAlignment="1">
      <alignment horizontal="center" vertical="center"/>
    </xf>
    <xf numFmtId="3" fontId="20" fillId="0" borderId="13" xfId="51" applyNumberFormat="1" applyFont="1" applyFill="1" applyBorder="1" applyAlignment="1">
      <alignment horizontal="center" vertical="center"/>
    </xf>
    <xf numFmtId="3" fontId="16" fillId="0" borderId="0" xfId="51" applyNumberFormat="1" applyFont="1" applyAlignment="1">
      <alignment horizontal="center" vertical="center"/>
    </xf>
    <xf numFmtId="3" fontId="16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wrapText="1"/>
    </xf>
    <xf numFmtId="3" fontId="18" fillId="0" borderId="0" xfId="0" applyNumberFormat="1" applyFont="1" applyBorder="1"/>
    <xf numFmtId="3" fontId="18" fillId="0" borderId="0" xfId="0" applyNumberFormat="1" applyFont="1" applyBorder="1" applyAlignment="1">
      <alignment horizont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18" fillId="0" borderId="13" xfId="0" applyNumberFormat="1" applyFont="1" applyFill="1" applyBorder="1" applyAlignment="1" applyProtection="1">
      <alignment vertical="center" wrapText="1"/>
      <protection locked="0"/>
    </xf>
    <xf numFmtId="164" fontId="119" fillId="0" borderId="13" xfId="0" applyNumberFormat="1" applyFont="1" applyFill="1" applyBorder="1" applyAlignment="1" applyProtection="1">
      <alignment vertical="center" wrapText="1"/>
      <protection locked="0"/>
    </xf>
    <xf numFmtId="0" fontId="23" fillId="0" borderId="13" xfId="1" applyFont="1" applyFill="1" applyBorder="1" applyAlignment="1" applyProtection="1">
      <alignment horizontal="left" vertical="center" wrapText="1" indent="2"/>
    </xf>
    <xf numFmtId="164" fontId="23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3" fontId="92" fillId="0" borderId="13" xfId="1" applyNumberFormat="1" applyFont="1" applyFill="1" applyBorder="1" applyAlignment="1" applyProtection="1">
      <alignment horizontal="center"/>
    </xf>
    <xf numFmtId="0" fontId="92" fillId="0" borderId="0" xfId="1" applyFont="1" applyFill="1" applyProtection="1"/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center" wrapText="1"/>
    </xf>
    <xf numFmtId="0" fontId="27" fillId="0" borderId="12" xfId="0" applyFont="1" applyFill="1" applyBorder="1" applyAlignment="1" applyProtection="1"/>
    <xf numFmtId="3" fontId="20" fillId="0" borderId="25" xfId="51" applyNumberFormat="1" applyFont="1" applyBorder="1" applyAlignment="1">
      <alignment horizontal="center" vertical="center"/>
    </xf>
    <xf numFmtId="3" fontId="16" fillId="0" borderId="10" xfId="51" applyNumberFormat="1" applyFont="1" applyBorder="1" applyAlignment="1">
      <alignment horizontal="center" vertical="center"/>
    </xf>
    <xf numFmtId="3" fontId="20" fillId="0" borderId="10" xfId="51" applyNumberFormat="1" applyFont="1" applyBorder="1" applyAlignment="1">
      <alignment horizontal="center" vertical="center"/>
    </xf>
    <xf numFmtId="0" fontId="20" fillId="0" borderId="13" xfId="51" applyFont="1" applyBorder="1"/>
    <xf numFmtId="0" fontId="16" fillId="0" borderId="13" xfId="51" applyFont="1" applyBorder="1"/>
    <xf numFmtId="0" fontId="66" fillId="0" borderId="12" xfId="51" applyFont="1" applyBorder="1" applyAlignment="1">
      <alignment vertical="center"/>
    </xf>
    <xf numFmtId="3" fontId="20" fillId="0" borderId="13" xfId="178" applyNumberFormat="1" applyFont="1" applyFill="1" applyBorder="1" applyAlignment="1">
      <alignment horizontal="center" vertical="center" wrapText="1"/>
    </xf>
    <xf numFmtId="0" fontId="20" fillId="0" borderId="0" xfId="178" applyFont="1" applyFill="1" applyAlignment="1">
      <alignment horizontal="center" vertical="top" wrapText="1"/>
    </xf>
    <xf numFmtId="0" fontId="16" fillId="0" borderId="13" xfId="178" applyFont="1" applyFill="1" applyBorder="1" applyAlignment="1">
      <alignment vertical="center"/>
    </xf>
    <xf numFmtId="0" fontId="20" fillId="0" borderId="13" xfId="178" applyFont="1" applyFill="1" applyBorder="1" applyAlignment="1">
      <alignment vertical="center"/>
    </xf>
    <xf numFmtId="0" fontId="20" fillId="0" borderId="13" xfId="178" applyFont="1" applyFill="1" applyBorder="1" applyAlignment="1">
      <alignment horizontal="center" vertical="center" wrapText="1"/>
    </xf>
    <xf numFmtId="0" fontId="17" fillId="0" borderId="26" xfId="1" applyFont="1" applyFill="1" applyBorder="1" applyAlignment="1" applyProtection="1">
      <alignment horizontal="center" vertical="center" wrapText="1"/>
    </xf>
    <xf numFmtId="0" fontId="28" fillId="0" borderId="0" xfId="1" applyFont="1" applyFill="1" applyProtection="1"/>
    <xf numFmtId="3" fontId="17" fillId="0" borderId="13" xfId="1" applyNumberFormat="1" applyFont="1" applyFill="1" applyBorder="1" applyAlignment="1" applyProtection="1">
      <alignment horizontal="center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97" fillId="0" borderId="0" xfId="0" applyFont="1" applyFill="1" applyAlignment="1">
      <alignment horizontal="center" vertical="center" wrapText="1"/>
    </xf>
    <xf numFmtId="0" fontId="28" fillId="0" borderId="13" xfId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7" fillId="0" borderId="0" xfId="0" applyFont="1" applyBorder="1"/>
    <xf numFmtId="164" fontId="20" fillId="0" borderId="13" xfId="159" applyNumberFormat="1" applyFont="1" applyBorder="1" applyAlignment="1">
      <alignment vertical="center"/>
    </xf>
    <xf numFmtId="164" fontId="20" fillId="0" borderId="13" xfId="159" applyNumberFormat="1" applyFont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 applyProtection="1">
      <alignment horizontal="center" vertical="center" wrapText="1"/>
    </xf>
    <xf numFmtId="3" fontId="99" fillId="0" borderId="13" xfId="0" applyNumberFormat="1" applyFont="1" applyFill="1" applyBorder="1" applyAlignment="1">
      <alignment vertical="center" wrapText="1"/>
    </xf>
    <xf numFmtId="3" fontId="0" fillId="0" borderId="13" xfId="1" applyNumberFormat="1" applyFont="1" applyFill="1" applyBorder="1" applyProtection="1"/>
    <xf numFmtId="164" fontId="0" fillId="0" borderId="0" xfId="0" applyNumberFormat="1" applyFont="1" applyFill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wrapText="1"/>
    </xf>
    <xf numFmtId="164" fontId="0" fillId="0" borderId="13" xfId="0" applyNumberFormat="1" applyFont="1" applyFill="1" applyBorder="1" applyAlignment="1" applyProtection="1">
      <alignment textRotation="180" wrapText="1"/>
    </xf>
    <xf numFmtId="164" fontId="0" fillId="0" borderId="0" xfId="0" applyNumberFormat="1" applyFont="1" applyFill="1" applyAlignment="1" applyProtection="1">
      <alignment vertical="center" wrapText="1"/>
    </xf>
    <xf numFmtId="3" fontId="0" fillId="0" borderId="13" xfId="1" applyNumberFormat="1" applyFont="1" applyFill="1" applyBorder="1" applyAlignment="1" applyProtection="1">
      <alignment horizontal="center" vertical="center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71" fillId="0" borderId="13" xfId="1" applyFont="1" applyFill="1" applyBorder="1" applyAlignment="1" applyProtection="1">
      <alignment horizontal="center" vertical="center" wrapText="1"/>
    </xf>
    <xf numFmtId="0" fontId="70" fillId="0" borderId="13" xfId="1" applyFont="1" applyFill="1" applyBorder="1" applyAlignment="1" applyProtection="1">
      <alignment vertical="center" wrapText="1"/>
    </xf>
    <xf numFmtId="164" fontId="70" fillId="0" borderId="13" xfId="1" applyNumberFormat="1" applyFont="1" applyFill="1" applyBorder="1" applyAlignment="1" applyProtection="1">
      <alignment vertical="center" wrapText="1"/>
      <protection locked="0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3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3" fillId="0" borderId="13" xfId="1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 applyProtection="1">
      <alignment horizontal="right"/>
    </xf>
    <xf numFmtId="10" fontId="0" fillId="0" borderId="0" xfId="0" applyNumberFormat="1" applyFont="1" applyFill="1" applyAlignment="1">
      <alignment vertical="center"/>
    </xf>
    <xf numFmtId="10" fontId="17" fillId="0" borderId="13" xfId="0" applyNumberFormat="1" applyFont="1" applyFill="1" applyBorder="1" applyAlignment="1">
      <alignment vertical="center" wrapText="1"/>
    </xf>
    <xf numFmtId="3" fontId="17" fillId="0" borderId="13" xfId="0" applyNumberFormat="1" applyFont="1" applyFill="1" applyBorder="1" applyAlignment="1">
      <alignment horizontal="center" vertical="center" wrapText="1"/>
    </xf>
    <xf numFmtId="10" fontId="17" fillId="0" borderId="13" xfId="0" applyNumberFormat="1" applyFont="1" applyFill="1" applyBorder="1" applyAlignment="1">
      <alignment horizontal="center" vertical="center" wrapText="1"/>
    </xf>
    <xf numFmtId="10" fontId="0" fillId="0" borderId="13" xfId="0" applyNumberFormat="1" applyFont="1" applyFill="1" applyBorder="1" applyAlignment="1">
      <alignment vertical="center" wrapText="1"/>
    </xf>
    <xf numFmtId="3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10" fontId="93" fillId="0" borderId="0" xfId="0" applyNumberFormat="1" applyFont="1" applyFill="1" applyAlignment="1">
      <alignment vertical="center"/>
    </xf>
    <xf numFmtId="10" fontId="99" fillId="0" borderId="13" xfId="0" applyNumberFormat="1" applyFont="1" applyFill="1" applyBorder="1" applyAlignment="1">
      <alignment vertical="center" wrapText="1"/>
    </xf>
    <xf numFmtId="10" fontId="98" fillId="0" borderId="13" xfId="0" applyNumberFormat="1" applyFont="1" applyFill="1" applyBorder="1" applyAlignment="1">
      <alignment vertical="center" wrapText="1"/>
    </xf>
    <xf numFmtId="10" fontId="98" fillId="0" borderId="0" xfId="0" applyNumberFormat="1" applyFont="1" applyFill="1" applyAlignment="1">
      <alignment vertical="center" wrapText="1"/>
    </xf>
    <xf numFmtId="10" fontId="92" fillId="0" borderId="13" xfId="0" applyNumberFormat="1" applyFont="1" applyFill="1" applyBorder="1" applyAlignment="1">
      <alignment horizontal="center" vertical="center" wrapText="1"/>
    </xf>
    <xf numFmtId="10" fontId="7" fillId="0" borderId="13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10" fontId="11" fillId="0" borderId="0" xfId="1" applyNumberFormat="1" applyFont="1" applyFill="1" applyProtection="1"/>
    <xf numFmtId="10" fontId="93" fillId="0" borderId="0" xfId="0" applyNumberFormat="1" applyFont="1" applyFill="1" applyBorder="1" applyAlignment="1" applyProtection="1">
      <alignment horizontal="right" vertical="center"/>
    </xf>
    <xf numFmtId="10" fontId="17" fillId="0" borderId="13" xfId="1" applyNumberFormat="1" applyFont="1" applyFill="1" applyBorder="1" applyAlignment="1" applyProtection="1">
      <alignment horizontal="center" vertical="center"/>
    </xf>
    <xf numFmtId="10" fontId="11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Protection="1"/>
    <xf numFmtId="10" fontId="11" fillId="0" borderId="0" xfId="1" applyNumberFormat="1" applyFont="1" applyFill="1" applyAlignment="1" applyProtection="1"/>
    <xf numFmtId="10" fontId="0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Alignment="1" applyProtection="1">
      <alignment horizontal="center"/>
    </xf>
    <xf numFmtId="10" fontId="13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Protection="1"/>
    <xf numFmtId="3" fontId="17" fillId="0" borderId="13" xfId="1" applyNumberFormat="1" applyFont="1" applyFill="1" applyBorder="1" applyAlignment="1" applyProtection="1">
      <alignment vertical="center" wrapText="1"/>
    </xf>
    <xf numFmtId="3" fontId="13" fillId="0" borderId="13" xfId="1" applyNumberFormat="1" applyFont="1" applyFill="1" applyBorder="1" applyAlignment="1" applyProtection="1">
      <alignment vertical="center" wrapText="1"/>
    </xf>
    <xf numFmtId="3" fontId="17" fillId="0" borderId="13" xfId="1" applyNumberFormat="1" applyFont="1" applyFill="1" applyBorder="1" applyAlignment="1" applyProtection="1">
      <alignment vertical="center" wrapText="1"/>
      <protection locked="0"/>
    </xf>
    <xf numFmtId="3" fontId="11" fillId="0" borderId="0" xfId="1" applyNumberFormat="1" applyFont="1" applyFill="1" applyAlignment="1" applyProtection="1"/>
    <xf numFmtId="3" fontId="0" fillId="0" borderId="13" xfId="1" applyNumberFormat="1" applyFont="1" applyFill="1" applyBorder="1" applyAlignment="1" applyProtection="1">
      <alignment vertical="center"/>
    </xf>
    <xf numFmtId="3" fontId="0" fillId="0" borderId="13" xfId="1" applyNumberFormat="1" applyFont="1" applyFill="1" applyBorder="1" applyAlignment="1" applyProtection="1">
      <alignment horizontal="center"/>
    </xf>
    <xf numFmtId="3" fontId="13" fillId="0" borderId="13" xfId="1" applyNumberFormat="1" applyFont="1" applyFill="1" applyBorder="1" applyAlignment="1" applyProtection="1">
      <alignment horizontal="right" vertical="center" wrapText="1" indent="1"/>
    </xf>
    <xf numFmtId="10" fontId="0" fillId="0" borderId="0" xfId="0" applyNumberFormat="1" applyFill="1" applyAlignment="1" applyProtection="1">
      <alignment vertical="center" wrapText="1"/>
    </xf>
    <xf numFmtId="10" fontId="17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 applyProtection="1">
      <alignment vertical="center" wrapText="1"/>
      <protection locked="0"/>
    </xf>
    <xf numFmtId="164" fontId="118" fillId="25" borderId="13" xfId="0" applyNumberFormat="1" applyFont="1" applyFill="1" applyBorder="1" applyAlignment="1" applyProtection="1">
      <alignment vertical="center" wrapText="1"/>
      <protection locked="0"/>
    </xf>
    <xf numFmtId="164" fontId="119" fillId="25" borderId="13" xfId="0" applyNumberFormat="1" applyFont="1" applyFill="1" applyBorder="1" applyAlignment="1" applyProtection="1">
      <alignment vertical="center" wrapText="1"/>
      <protection locked="0"/>
    </xf>
    <xf numFmtId="10" fontId="27" fillId="0" borderId="12" xfId="0" applyNumberFormat="1" applyFont="1" applyFill="1" applyBorder="1" applyAlignment="1" applyProtection="1"/>
    <xf numFmtId="10" fontId="13" fillId="0" borderId="13" xfId="0" applyNumberFormat="1" applyFont="1" applyFill="1" applyBorder="1" applyAlignment="1" applyProtection="1">
      <alignment horizontal="center" vertical="center" wrapText="1"/>
    </xf>
    <xf numFmtId="10" fontId="28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ill="1" applyBorder="1" applyAlignment="1" applyProtection="1">
      <alignment vertical="center" wrapText="1"/>
    </xf>
    <xf numFmtId="9" fontId="0" fillId="0" borderId="0" xfId="0" applyNumberFormat="1" applyFill="1" applyAlignment="1" applyProtection="1">
      <alignment vertical="center" wrapText="1"/>
    </xf>
    <xf numFmtId="9" fontId="17" fillId="0" borderId="13" xfId="0" applyNumberFormat="1" applyFont="1" applyFill="1" applyBorder="1" applyAlignment="1" applyProtection="1">
      <alignment horizontal="center" vertical="center" wrapText="1"/>
    </xf>
    <xf numFmtId="9" fontId="28" fillId="0" borderId="13" xfId="0" applyNumberFormat="1" applyFont="1" applyFill="1" applyBorder="1" applyAlignment="1" applyProtection="1">
      <alignment horizontal="center" vertical="center" wrapText="1"/>
    </xf>
    <xf numFmtId="9" fontId="0" fillId="0" borderId="13" xfId="0" applyNumberFormat="1" applyFont="1" applyFill="1" applyBorder="1" applyAlignment="1" applyProtection="1">
      <alignment vertical="center" wrapText="1"/>
      <protection locked="0"/>
    </xf>
    <xf numFmtId="9" fontId="17" fillId="0" borderId="13" xfId="0" applyNumberFormat="1" applyFont="1" applyFill="1" applyBorder="1" applyAlignment="1" applyProtection="1">
      <alignment vertical="center" wrapText="1"/>
    </xf>
    <xf numFmtId="10" fontId="93" fillId="0" borderId="0" xfId="0" applyNumberFormat="1" applyFont="1" applyFill="1" applyAlignment="1" applyProtection="1">
      <alignment vertical="center" wrapText="1"/>
    </xf>
    <xf numFmtId="10" fontId="94" fillId="0" borderId="0" xfId="51" applyNumberFormat="1" applyFont="1"/>
    <xf numFmtId="10" fontId="20" fillId="0" borderId="13" xfId="51" applyNumberFormat="1" applyFont="1" applyBorder="1"/>
    <xf numFmtId="10" fontId="20" fillId="0" borderId="13" xfId="51" applyNumberFormat="1" applyFont="1" applyBorder="1" applyAlignment="1">
      <alignment horizontal="center" vertical="center"/>
    </xf>
    <xf numFmtId="10" fontId="16" fillId="0" borderId="13" xfId="51" applyNumberFormat="1" applyFont="1" applyBorder="1"/>
    <xf numFmtId="10" fontId="16" fillId="0" borderId="0" xfId="51" applyNumberFormat="1" applyFont="1"/>
    <xf numFmtId="0" fontId="16" fillId="25" borderId="13" xfId="51" applyFont="1" applyFill="1" applyBorder="1"/>
    <xf numFmtId="10" fontId="94" fillId="0" borderId="0" xfId="178" applyNumberFormat="1" applyFont="1" applyFill="1"/>
    <xf numFmtId="10" fontId="20" fillId="0" borderId="13" xfId="178" applyNumberFormat="1" applyFont="1" applyFill="1" applyBorder="1" applyAlignment="1">
      <alignment horizontal="center" vertical="center" wrapText="1"/>
    </xf>
    <xf numFmtId="10" fontId="16" fillId="0" borderId="13" xfId="178" applyNumberFormat="1" applyFont="1" applyFill="1" applyBorder="1" applyAlignment="1">
      <alignment vertical="center"/>
    </xf>
    <xf numFmtId="10" fontId="20" fillId="0" borderId="13" xfId="178" applyNumberFormat="1" applyFont="1" applyFill="1" applyBorder="1" applyAlignment="1">
      <alignment vertical="center"/>
    </xf>
    <xf numFmtId="10" fontId="20" fillId="0" borderId="0" xfId="178" applyNumberFormat="1" applyFont="1" applyFill="1" applyAlignment="1">
      <alignment vertical="center"/>
    </xf>
    <xf numFmtId="10" fontId="16" fillId="0" borderId="13" xfId="178" applyNumberFormat="1" applyFont="1" applyFill="1" applyBorder="1"/>
    <xf numFmtId="10" fontId="16" fillId="0" borderId="0" xfId="178" applyNumberFormat="1" applyFont="1" applyFill="1"/>
    <xf numFmtId="3" fontId="103" fillId="0" borderId="13" xfId="48" applyNumberFormat="1" applyFont="1" applyBorder="1" applyAlignment="1">
      <alignment vertical="center"/>
    </xf>
    <xf numFmtId="10" fontId="62" fillId="0" borderId="0" xfId="48" applyNumberFormat="1" applyFont="1"/>
    <xf numFmtId="10" fontId="121" fillId="0" borderId="0" xfId="48" applyNumberFormat="1" applyFont="1"/>
    <xf numFmtId="10" fontId="103" fillId="0" borderId="13" xfId="48" applyNumberFormat="1" applyFont="1" applyBorder="1" applyAlignment="1">
      <alignment horizontal="center" vertical="center"/>
    </xf>
    <xf numFmtId="10" fontId="62" fillId="0" borderId="13" xfId="48" applyNumberFormat="1" applyFont="1" applyBorder="1"/>
    <xf numFmtId="166" fontId="61" fillId="0" borderId="13" xfId="35" applyNumberFormat="1" applyFont="1" applyFill="1" applyBorder="1" applyAlignment="1">
      <alignment vertical="center"/>
    </xf>
    <xf numFmtId="10" fontId="103" fillId="0" borderId="13" xfId="48" applyNumberFormat="1" applyFont="1" applyBorder="1"/>
    <xf numFmtId="49" fontId="103" fillId="0" borderId="0" xfId="48" applyNumberFormat="1" applyFont="1"/>
    <xf numFmtId="10" fontId="106" fillId="0" borderId="13" xfId="48" applyNumberFormat="1" applyFont="1" applyBorder="1"/>
    <xf numFmtId="0" fontId="106" fillId="0" borderId="0" xfId="48" applyFont="1"/>
    <xf numFmtId="10" fontId="20" fillId="0" borderId="13" xfId="51" applyNumberFormat="1" applyFont="1" applyFill="1" applyBorder="1" applyAlignment="1">
      <alignment horizontal="center" vertical="center"/>
    </xf>
    <xf numFmtId="3" fontId="20" fillId="25" borderId="10" xfId="51" applyNumberFormat="1" applyFont="1" applyFill="1" applyBorder="1" applyAlignment="1">
      <alignment horizontal="right" vertical="center"/>
    </xf>
    <xf numFmtId="10" fontId="16" fillId="0" borderId="13" xfId="51" applyNumberFormat="1" applyFont="1" applyBorder="1" applyAlignment="1">
      <alignment vertical="center"/>
    </xf>
    <xf numFmtId="168" fontId="61" fillId="0" borderId="13" xfId="35" applyNumberFormat="1" applyFont="1" applyFill="1" applyBorder="1" applyAlignment="1">
      <alignment horizontal="right" vertical="center"/>
    </xf>
    <xf numFmtId="168" fontId="61" fillId="0" borderId="13" xfId="35" applyNumberFormat="1" applyFont="1" applyFill="1" applyBorder="1" applyAlignment="1">
      <alignment vertical="center"/>
    </xf>
    <xf numFmtId="164" fontId="20" fillId="0" borderId="13" xfId="67" applyNumberFormat="1" applyFont="1" applyFill="1" applyBorder="1" applyAlignment="1">
      <alignment horizontal="left" vertical="center"/>
    </xf>
    <xf numFmtId="3" fontId="20" fillId="0" borderId="13" xfId="67" applyNumberFormat="1" applyFont="1" applyBorder="1" applyAlignment="1">
      <alignment vertical="center"/>
    </xf>
    <xf numFmtId="164" fontId="114" fillId="0" borderId="13" xfId="67" applyNumberFormat="1" applyFont="1" applyBorder="1" applyAlignment="1">
      <alignment vertical="center" wrapText="1"/>
    </xf>
    <xf numFmtId="164" fontId="95" fillId="0" borderId="13" xfId="67" applyNumberFormat="1" applyFont="1" applyBorder="1" applyAlignment="1">
      <alignment vertical="center"/>
    </xf>
    <xf numFmtId="164" fontId="95" fillId="0" borderId="13" xfId="67" applyNumberFormat="1" applyFont="1" applyFill="1" applyBorder="1" applyAlignment="1">
      <alignment vertical="center"/>
    </xf>
    <xf numFmtId="0" fontId="122" fillId="0" borderId="0" xfId="0" applyFont="1"/>
    <xf numFmtId="164" fontId="18" fillId="25" borderId="13" xfId="67" applyNumberFormat="1" applyFont="1" applyFill="1" applyBorder="1" applyAlignment="1">
      <alignment vertical="center"/>
    </xf>
    <xf numFmtId="10" fontId="93" fillId="0" borderId="0" xfId="1" applyNumberFormat="1" applyFont="1" applyFill="1" applyProtection="1"/>
    <xf numFmtId="10" fontId="28" fillId="0" borderId="13" xfId="1" applyNumberFormat="1" applyFont="1" applyFill="1" applyBorder="1" applyAlignment="1" applyProtection="1">
      <alignment horizontal="center"/>
    </xf>
    <xf numFmtId="10" fontId="28" fillId="0" borderId="13" xfId="1" applyNumberFormat="1" applyFont="1" applyFill="1" applyBorder="1" applyAlignment="1" applyProtection="1">
      <alignment horizontal="center" vertical="center"/>
    </xf>
    <xf numFmtId="10" fontId="92" fillId="0" borderId="13" xfId="1" applyNumberFormat="1" applyFont="1" applyFill="1" applyBorder="1" applyProtection="1"/>
    <xf numFmtId="10" fontId="92" fillId="0" borderId="13" xfId="1" applyNumberFormat="1" applyFont="1" applyFill="1" applyBorder="1" applyAlignment="1" applyProtection="1">
      <alignment horizontal="right" vertical="center"/>
    </xf>
    <xf numFmtId="10" fontId="92" fillId="0" borderId="0" xfId="1" applyNumberFormat="1" applyFont="1" applyFill="1" applyProtection="1"/>
    <xf numFmtId="10" fontId="92" fillId="0" borderId="0" xfId="1" applyNumberFormat="1" applyFont="1" applyFill="1" applyAlignment="1" applyProtection="1"/>
    <xf numFmtId="10" fontId="0" fillId="0" borderId="0" xfId="1" applyNumberFormat="1" applyFont="1" applyFill="1" applyBorder="1" applyProtection="1"/>
    <xf numFmtId="3" fontId="15" fillId="0" borderId="0" xfId="0" applyNumberFormat="1" applyFont="1" applyFill="1" applyAlignment="1">
      <alignment vertical="center"/>
    </xf>
    <xf numFmtId="3" fontId="13" fillId="0" borderId="13" xfId="0" applyNumberFormat="1" applyFont="1" applyFill="1" applyBorder="1" applyAlignment="1">
      <alignment vertical="center" wrapText="1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vertical="center" wrapText="1"/>
    </xf>
    <xf numFmtId="3" fontId="13" fillId="0" borderId="13" xfId="0" applyNumberFormat="1" applyFont="1" applyFill="1" applyBorder="1" applyAlignment="1">
      <alignment horizontal="center" vertical="center" wrapText="1"/>
    </xf>
    <xf numFmtId="3" fontId="15" fillId="0" borderId="13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164" fontId="20" fillId="25" borderId="13" xfId="67" applyNumberFormat="1" applyFont="1" applyFill="1" applyBorder="1" applyAlignment="1">
      <alignment vertical="center"/>
    </xf>
    <xf numFmtId="164" fontId="20" fillId="0" borderId="13" xfId="67" applyNumberFormat="1" applyFont="1" applyBorder="1" applyAlignment="1">
      <alignment horizontal="left" vertical="center" wrapText="1"/>
    </xf>
    <xf numFmtId="164" fontId="95" fillId="0" borderId="13" xfId="67" applyNumberFormat="1" applyFont="1" applyBorder="1" applyAlignment="1">
      <alignment horizontal="left" vertical="center" wrapText="1"/>
    </xf>
    <xf numFmtId="164" fontId="95" fillId="25" borderId="13" xfId="67" applyNumberFormat="1" applyFont="1" applyFill="1" applyBorder="1" applyAlignment="1">
      <alignment vertical="center"/>
    </xf>
    <xf numFmtId="3" fontId="95" fillId="0" borderId="13" xfId="67" applyNumberFormat="1" applyFont="1" applyBorder="1" applyAlignment="1">
      <alignment vertical="center"/>
    </xf>
    <xf numFmtId="4" fontId="18" fillId="0" borderId="13" xfId="67" applyNumberFormat="1" applyFont="1" applyBorder="1" applyAlignment="1">
      <alignment vertical="center"/>
    </xf>
    <xf numFmtId="164" fontId="18" fillId="0" borderId="13" xfId="67" applyNumberFormat="1" applyFont="1" applyFill="1" applyBorder="1" applyAlignment="1">
      <alignment horizontal="left" vertical="center"/>
    </xf>
    <xf numFmtId="3" fontId="20" fillId="25" borderId="13" xfId="67" applyNumberFormat="1" applyFont="1" applyFill="1" applyBorder="1" applyAlignment="1">
      <alignment vertical="center"/>
    </xf>
    <xf numFmtId="164" fontId="69" fillId="0" borderId="13" xfId="67" applyNumberFormat="1" applyFont="1" applyBorder="1" applyAlignment="1">
      <alignment vertical="center" wrapText="1"/>
    </xf>
    <xf numFmtId="3" fontId="18" fillId="25" borderId="13" xfId="67" applyNumberFormat="1" applyFont="1" applyFill="1" applyBorder="1" applyAlignment="1">
      <alignment vertical="center"/>
    </xf>
    <xf numFmtId="164" fontId="18" fillId="0" borderId="13" xfId="161" applyNumberFormat="1" applyFont="1" applyFill="1" applyBorder="1" applyAlignment="1" applyProtection="1">
      <alignment horizontal="center" vertical="center" wrapText="1"/>
    </xf>
    <xf numFmtId="164" fontId="18" fillId="0" borderId="13" xfId="161" applyNumberFormat="1" applyFont="1" applyFill="1" applyBorder="1" applyAlignment="1" applyProtection="1">
      <alignment vertical="center" wrapText="1"/>
    </xf>
    <xf numFmtId="49" fontId="18" fillId="0" borderId="13" xfId="161" applyNumberFormat="1" applyFont="1" applyFill="1" applyBorder="1" applyAlignment="1" applyProtection="1">
      <alignment horizontal="left" vertical="center" wrapText="1" indent="2"/>
    </xf>
    <xf numFmtId="3" fontId="18" fillId="0" borderId="13" xfId="161" applyNumberFormat="1" applyFont="1" applyFill="1" applyBorder="1" applyAlignment="1" applyProtection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13" xfId="159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4" fontId="18" fillId="0" borderId="13" xfId="161" applyNumberFormat="1" applyFont="1" applyFill="1" applyBorder="1" applyAlignment="1" applyProtection="1">
      <alignment horizontal="left" vertical="center" wrapText="1"/>
    </xf>
    <xf numFmtId="0" fontId="55" fillId="25" borderId="0" xfId="0" applyFont="1" applyFill="1" applyBorder="1"/>
    <xf numFmtId="164" fontId="18" fillId="25" borderId="0" xfId="159" applyNumberFormat="1" applyFont="1" applyFill="1" applyBorder="1" applyAlignment="1">
      <alignment horizontal="center" vertical="center" wrapText="1"/>
    </xf>
    <xf numFmtId="164" fontId="18" fillId="0" borderId="0" xfId="161" applyNumberFormat="1" applyFont="1" applyFill="1" applyBorder="1" applyAlignment="1" applyProtection="1">
      <alignment vertical="center"/>
    </xf>
    <xf numFmtId="164" fontId="18" fillId="0" borderId="0" xfId="161" applyNumberFormat="1" applyFont="1" applyFill="1" applyBorder="1" applyAlignment="1" applyProtection="1">
      <alignment horizontal="center" vertical="center"/>
    </xf>
    <xf numFmtId="168" fontId="18" fillId="0" borderId="13" xfId="161" applyNumberFormat="1" applyFont="1" applyFill="1" applyBorder="1" applyAlignment="1" applyProtection="1">
      <alignment horizontal="right" vertical="center"/>
    </xf>
    <xf numFmtId="168" fontId="18" fillId="0" borderId="13" xfId="0" applyNumberFormat="1" applyFont="1" applyFill="1" applyBorder="1" applyAlignment="1">
      <alignment horizontal="right" vertical="center"/>
    </xf>
    <xf numFmtId="168" fontId="18" fillId="0" borderId="13" xfId="159" applyNumberFormat="1" applyFont="1" applyBorder="1" applyAlignment="1">
      <alignment horizontal="right" vertical="center"/>
    </xf>
    <xf numFmtId="168" fontId="23" fillId="0" borderId="13" xfId="0" applyNumberFormat="1" applyFont="1" applyBorder="1" applyAlignment="1">
      <alignment horizontal="right" vertical="center"/>
    </xf>
    <xf numFmtId="168" fontId="20" fillId="0" borderId="13" xfId="161" applyNumberFormat="1" applyFont="1" applyFill="1" applyBorder="1" applyAlignment="1" applyProtection="1">
      <alignment horizontal="right" vertical="center"/>
    </xf>
    <xf numFmtId="168" fontId="17" fillId="0" borderId="13" xfId="0" applyNumberFormat="1" applyFont="1" applyBorder="1" applyAlignment="1">
      <alignment horizontal="right" vertical="center"/>
    </xf>
    <xf numFmtId="168" fontId="20" fillId="0" borderId="13" xfId="0" applyNumberFormat="1" applyFont="1" applyFill="1" applyBorder="1" applyAlignment="1">
      <alignment horizontal="right" vertical="center"/>
    </xf>
    <xf numFmtId="168" fontId="20" fillId="0" borderId="13" xfId="159" applyNumberFormat="1" applyFont="1" applyBorder="1" applyAlignment="1">
      <alignment horizontal="right" vertical="center"/>
    </xf>
    <xf numFmtId="168" fontId="23" fillId="0" borderId="0" xfId="0" applyNumberFormat="1" applyFont="1" applyBorder="1"/>
    <xf numFmtId="49" fontId="20" fillId="25" borderId="13" xfId="161" applyNumberFormat="1" applyFont="1" applyFill="1" applyBorder="1" applyAlignment="1" applyProtection="1">
      <alignment horizontal="left" vertical="center" wrapText="1" indent="2"/>
    </xf>
    <xf numFmtId="168" fontId="20" fillId="25" borderId="13" xfId="161" applyNumberFormat="1" applyFont="1" applyFill="1" applyBorder="1" applyAlignment="1" applyProtection="1">
      <alignment horizontal="right" vertical="center"/>
    </xf>
    <xf numFmtId="164" fontId="20" fillId="25" borderId="13" xfId="161" applyNumberFormat="1" applyFont="1" applyFill="1" applyBorder="1" applyAlignment="1" applyProtection="1">
      <alignment horizontal="center" vertical="center" wrapText="1"/>
    </xf>
    <xf numFmtId="164" fontId="20" fillId="25" borderId="13" xfId="161" applyNumberFormat="1" applyFont="1" applyFill="1" applyBorder="1" applyAlignment="1" applyProtection="1">
      <alignment vertical="center"/>
    </xf>
    <xf numFmtId="49" fontId="20" fillId="25" borderId="14" xfId="161" applyNumberFormat="1" applyFont="1" applyFill="1" applyBorder="1" applyAlignment="1" applyProtection="1">
      <alignment horizontal="left" vertical="center" wrapText="1" indent="2"/>
    </xf>
    <xf numFmtId="168" fontId="20" fillId="25" borderId="14" xfId="161" applyNumberFormat="1" applyFont="1" applyFill="1" applyBorder="1" applyAlignment="1" applyProtection="1">
      <alignment horizontal="right" vertical="center"/>
    </xf>
    <xf numFmtId="164" fontId="16" fillId="25" borderId="0" xfId="161" applyNumberFormat="1" applyFont="1" applyFill="1" applyBorder="1" applyAlignment="1" applyProtection="1">
      <alignment horizontal="center" vertical="center" wrapText="1"/>
    </xf>
    <xf numFmtId="164" fontId="18" fillId="25" borderId="0" xfId="159" applyNumberFormat="1" applyFont="1" applyFill="1" applyBorder="1" applyAlignment="1">
      <alignment vertical="center"/>
    </xf>
    <xf numFmtId="164" fontId="18" fillId="25" borderId="0" xfId="159" applyNumberFormat="1" applyFont="1" applyFill="1" applyBorder="1" applyAlignment="1">
      <alignment horizontal="center" vertical="center"/>
    </xf>
    <xf numFmtId="164" fontId="18" fillId="25" borderId="0" xfId="0" applyNumberFormat="1" applyFont="1" applyFill="1" applyBorder="1" applyAlignment="1">
      <alignment horizontal="center" vertical="center"/>
    </xf>
    <xf numFmtId="0" fontId="23" fillId="25" borderId="0" xfId="0" applyFont="1" applyFill="1" applyBorder="1"/>
    <xf numFmtId="164" fontId="18" fillId="25" borderId="0" xfId="159" applyNumberFormat="1" applyFont="1" applyFill="1" applyBorder="1" applyAlignment="1">
      <alignment vertical="center" wrapText="1"/>
    </xf>
    <xf numFmtId="168" fontId="23" fillId="25" borderId="0" xfId="0" applyNumberFormat="1" applyFont="1" applyFill="1" applyBorder="1"/>
    <xf numFmtId="164" fontId="18" fillId="25" borderId="14" xfId="161" applyNumberFormat="1" applyFont="1" applyFill="1" applyBorder="1" applyAlignment="1" applyProtection="1">
      <alignment horizontal="center" vertical="center" wrapText="1"/>
    </xf>
    <xf numFmtId="164" fontId="20" fillId="25" borderId="14" xfId="161" applyNumberFormat="1" applyFont="1" applyFill="1" applyBorder="1" applyAlignment="1" applyProtection="1">
      <alignment vertical="center" wrapText="1"/>
    </xf>
    <xf numFmtId="0" fontId="123" fillId="25" borderId="0" xfId="0" applyFont="1" applyFill="1" applyBorder="1"/>
    <xf numFmtId="164" fontId="18" fillId="0" borderId="13" xfId="161" applyNumberFormat="1" applyFont="1" applyFill="1" applyBorder="1" applyAlignment="1" applyProtection="1">
      <alignment horizontal="right" vertical="center"/>
    </xf>
    <xf numFmtId="164" fontId="18" fillId="0" borderId="13" xfId="0" applyNumberFormat="1" applyFont="1" applyFill="1" applyBorder="1" applyAlignment="1">
      <alignment horizontal="right" vertical="center"/>
    </xf>
    <xf numFmtId="164" fontId="18" fillId="0" borderId="13" xfId="159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164" fontId="18" fillId="0" borderId="13" xfId="0" applyNumberFormat="1" applyFont="1" applyBorder="1" applyAlignment="1">
      <alignment horizontal="right" vertical="center"/>
    </xf>
    <xf numFmtId="164" fontId="95" fillId="0" borderId="13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164" fontId="95" fillId="0" borderId="13" xfId="161" applyNumberFormat="1" applyFont="1" applyFill="1" applyBorder="1" applyAlignment="1" applyProtection="1">
      <alignment horizontal="center" vertical="center" wrapText="1"/>
    </xf>
    <xf numFmtId="0" fontId="18" fillId="0" borderId="12" xfId="0" applyFont="1" applyBorder="1" applyAlignment="1"/>
    <xf numFmtId="3" fontId="16" fillId="0" borderId="13" xfId="51" applyNumberFormat="1" applyFont="1" applyFill="1" applyBorder="1" applyAlignment="1">
      <alignment horizontal="center" vertical="center"/>
    </xf>
    <xf numFmtId="3" fontId="58" fillId="0" borderId="13" xfId="51" applyNumberFormat="1" applyFont="1" applyFill="1" applyBorder="1" applyAlignment="1">
      <alignment horizontal="center" vertical="center"/>
    </xf>
    <xf numFmtId="3" fontId="61" fillId="0" borderId="13" xfId="35" applyNumberFormat="1" applyFont="1" applyFill="1" applyBorder="1" applyAlignment="1">
      <alignment vertical="center"/>
    </xf>
    <xf numFmtId="0" fontId="65" fillId="0" borderId="25" xfId="178" applyFont="1" applyBorder="1" applyAlignment="1">
      <alignment horizontal="center" vertical="center" wrapText="1"/>
    </xf>
    <xf numFmtId="0" fontId="110" fillId="0" borderId="28" xfId="0" applyFont="1" applyBorder="1" applyAlignment="1">
      <alignment horizontal="center" vertical="center" wrapText="1"/>
    </xf>
    <xf numFmtId="0" fontId="110" fillId="0" borderId="29" xfId="0" applyFont="1" applyBorder="1" applyAlignment="1">
      <alignment horizontal="center" vertical="center" wrapText="1"/>
    </xf>
    <xf numFmtId="0" fontId="110" fillId="0" borderId="32" xfId="0" applyFont="1" applyBorder="1" applyAlignment="1">
      <alignment horizontal="center" vertical="center" wrapText="1"/>
    </xf>
    <xf numFmtId="0" fontId="110" fillId="0" borderId="12" xfId="0" applyFont="1" applyBorder="1" applyAlignment="1">
      <alignment horizontal="center" vertical="center" wrapText="1"/>
    </xf>
    <xf numFmtId="0" fontId="110" fillId="0" borderId="31" xfId="0" applyFont="1" applyBorder="1" applyAlignment="1">
      <alignment horizontal="center" vertical="center" wrapText="1"/>
    </xf>
    <xf numFmtId="3" fontId="8" fillId="0" borderId="0" xfId="1" applyNumberFormat="1" applyFont="1" applyFill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center" vertical="center" wrapText="1"/>
    </xf>
    <xf numFmtId="44" fontId="64" fillId="0" borderId="0" xfId="212" applyFont="1" applyFill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0" fontId="20" fillId="0" borderId="13" xfId="51" applyFont="1" applyBorder="1" applyAlignment="1">
      <alignment horizontal="center" vertical="center" wrapText="1"/>
    </xf>
    <xf numFmtId="0" fontId="20" fillId="0" borderId="10" xfId="51" applyFont="1" applyBorder="1" applyAlignment="1">
      <alignment horizontal="center" vertical="center"/>
    </xf>
    <xf numFmtId="0" fontId="20" fillId="0" borderId="27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wrapText="1"/>
    </xf>
    <xf numFmtId="0" fontId="20" fillId="0" borderId="13" xfId="144" applyFont="1" applyFill="1" applyBorder="1" applyAlignment="1">
      <alignment horizontal="center" vertical="center" wrapText="1"/>
    </xf>
    <xf numFmtId="0" fontId="20" fillId="0" borderId="13" xfId="144" applyFont="1" applyFill="1" applyBorder="1" applyAlignment="1">
      <alignment horizontal="center" vertical="center"/>
    </xf>
    <xf numFmtId="0" fontId="63" fillId="0" borderId="13" xfId="48" applyFont="1" applyBorder="1" applyAlignment="1">
      <alignment horizontal="center" vertical="center"/>
    </xf>
    <xf numFmtId="0" fontId="67" fillId="0" borderId="0" xfId="48" applyFont="1" applyBorder="1"/>
    <xf numFmtId="0" fontId="61" fillId="0" borderId="13" xfId="48" applyFont="1" applyBorder="1" applyAlignment="1">
      <alignment horizontal="left" vertical="center"/>
    </xf>
    <xf numFmtId="0" fontId="59" fillId="0" borderId="13" xfId="48" applyFont="1" applyBorder="1" applyAlignment="1">
      <alignment horizontal="left" vertical="center" wrapText="1"/>
    </xf>
    <xf numFmtId="0" fontId="61" fillId="0" borderId="13" xfId="48" applyFont="1" applyBorder="1" applyAlignment="1">
      <alignment vertical="center"/>
    </xf>
    <xf numFmtId="0" fontId="59" fillId="0" borderId="13" xfId="48" applyFont="1" applyBorder="1" applyAlignment="1">
      <alignment horizontal="left" vertical="center"/>
    </xf>
    <xf numFmtId="0" fontId="59" fillId="0" borderId="10" xfId="48" applyFont="1" applyBorder="1" applyAlignment="1">
      <alignment horizontal="left" vertical="top"/>
    </xf>
    <xf numFmtId="0" fontId="59" fillId="0" borderId="27" xfId="48" applyFont="1" applyBorder="1" applyAlignment="1">
      <alignment horizontal="left" vertical="top"/>
    </xf>
    <xf numFmtId="0" fontId="59" fillId="0" borderId="11" xfId="48" applyFont="1" applyBorder="1" applyAlignment="1">
      <alignment horizontal="left" vertical="top"/>
    </xf>
    <xf numFmtId="0" fontId="115" fillId="0" borderId="0" xfId="48" applyFont="1" applyAlignment="1">
      <alignment horizontal="center" vertical="center" wrapText="1"/>
    </xf>
    <xf numFmtId="0" fontId="61" fillId="0" borderId="13" xfId="48" applyFont="1" applyBorder="1" applyAlignment="1">
      <alignment horizontal="center" vertical="center" wrapText="1"/>
    </xf>
    <xf numFmtId="0" fontId="69" fillId="0" borderId="13" xfId="48" applyFont="1" applyBorder="1" applyAlignment="1">
      <alignment horizontal="left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3" xfId="67" applyNumberFormat="1" applyFont="1" applyBorder="1" applyAlignment="1">
      <alignment horizontal="center" vertical="center"/>
    </xf>
    <xf numFmtId="164" fontId="61" fillId="0" borderId="13" xfId="67" applyNumberFormat="1" applyFont="1" applyBorder="1" applyAlignment="1">
      <alignment vertical="center"/>
    </xf>
    <xf numFmtId="164" fontId="20" fillId="0" borderId="13" xfId="67" applyNumberFormat="1" applyFont="1" applyFill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 wrapText="1"/>
    </xf>
    <xf numFmtId="164" fontId="20" fillId="0" borderId="13" xfId="67" applyNumberFormat="1" applyFont="1" applyBorder="1" applyAlignment="1">
      <alignment vertical="center" wrapText="1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0" fontId="8" fillId="0" borderId="0" xfId="1" applyNumberFormat="1" applyFont="1" applyFill="1" applyAlignment="1" applyProtection="1">
      <alignment horizontal="center" vertical="center" wrapText="1"/>
    </xf>
    <xf numFmtId="164" fontId="10" fillId="0" borderId="12" xfId="1" applyNumberFormat="1" applyFont="1" applyFill="1" applyBorder="1" applyAlignment="1" applyProtection="1">
      <alignment horizontal="left" vertical="center"/>
    </xf>
    <xf numFmtId="164" fontId="9" fillId="0" borderId="28" xfId="1" applyNumberFormat="1" applyFont="1" applyFill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 wrapText="1"/>
    </xf>
    <xf numFmtId="3" fontId="65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horizontal="center" vertical="center"/>
    </xf>
    <xf numFmtId="164" fontId="99" fillId="0" borderId="12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10" xfId="0" applyFont="1" applyFill="1" applyBorder="1" applyAlignment="1" applyProtection="1">
      <alignment horizontal="center" vertical="center" wrapText="1"/>
    </xf>
    <xf numFmtId="0" fontId="70" fillId="0" borderId="27" xfId="0" applyFont="1" applyFill="1" applyBorder="1" applyAlignment="1" applyProtection="1">
      <alignment horizontal="center" vertical="center" wrapText="1"/>
    </xf>
    <xf numFmtId="0" fontId="70" fillId="0" borderId="11" xfId="0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13" xfId="171" applyFont="1" applyFill="1" applyBorder="1" applyAlignment="1" applyProtection="1">
      <alignment horizontal="left" vertical="center" indent="1"/>
    </xf>
    <xf numFmtId="0" fontId="16" fillId="0" borderId="13" xfId="2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62" fillId="0" borderId="13" xfId="0" applyFont="1" applyBorder="1" applyAlignment="1">
      <alignment vertical="center"/>
    </xf>
    <xf numFmtId="0" fontId="16" fillId="0" borderId="13" xfId="2" applyFont="1" applyBorder="1" applyAlignment="1"/>
    <xf numFmtId="0" fontId="62" fillId="0" borderId="13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9" fillId="0" borderId="0" xfId="174" applyFont="1" applyFill="1" applyBorder="1" applyAlignment="1">
      <alignment horizontal="center" vertical="center" wrapText="1"/>
    </xf>
    <xf numFmtId="0" fontId="106" fillId="0" borderId="0" xfId="173" applyFont="1" applyAlignment="1">
      <alignment horizontal="center" vertical="center" wrapText="1"/>
    </xf>
    <xf numFmtId="0" fontId="106" fillId="0" borderId="0" xfId="173" applyFont="1" applyAlignment="1">
      <alignment horizontal="center" vertical="center"/>
    </xf>
    <xf numFmtId="0" fontId="106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13" xfId="172" applyFont="1" applyBorder="1" applyAlignment="1">
      <alignment horizontal="center" vertical="center" wrapText="1"/>
    </xf>
    <xf numFmtId="0" fontId="106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" xfId="212" builtinId="4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7.&#233;vi%20k&#246;lts&#233;gvet&#233;s/K&#214;LTS&#201;GVET&#201;S%20TERVEZ&#201;S/&#214;NKORM&#193;NYZAT/Test&#252;leti%20anyag%20II/Test&#252;leti%20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58440500</v>
          </cell>
        </row>
        <row r="19">
          <cell r="G19">
            <v>123810571</v>
          </cell>
        </row>
      </sheetData>
      <sheetData sheetId="6">
        <row r="20">
          <cell r="E20">
            <v>431297184</v>
          </cell>
        </row>
      </sheetData>
      <sheetData sheetId="7"/>
      <sheetData sheetId="8"/>
      <sheetData sheetId="9">
        <row r="13">
          <cell r="F13">
            <v>55826180</v>
          </cell>
        </row>
        <row r="22">
          <cell r="D22">
            <v>8696669</v>
          </cell>
          <cell r="E22">
            <v>8449674</v>
          </cell>
        </row>
        <row r="24">
          <cell r="C24">
            <v>2840025</v>
          </cell>
        </row>
        <row r="25">
          <cell r="C25">
            <v>712800</v>
          </cell>
        </row>
        <row r="26">
          <cell r="C26">
            <v>31149012</v>
          </cell>
        </row>
      </sheetData>
      <sheetData sheetId="10"/>
      <sheetData sheetId="11"/>
      <sheetData sheetId="12"/>
      <sheetData sheetId="13">
        <row r="37">
          <cell r="G37">
            <v>273351171</v>
          </cell>
        </row>
      </sheetData>
      <sheetData sheetId="14"/>
      <sheetData sheetId="15"/>
      <sheetData sheetId="16">
        <row r="37">
          <cell r="F37">
            <v>27195291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D8">
            <v>23997938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workbookViewId="0">
      <selection activeCell="E5" sqref="E5"/>
    </sheetView>
  </sheetViews>
  <sheetFormatPr defaultColWidth="10.6640625" defaultRowHeight="13.2"/>
  <cols>
    <col min="1" max="2" width="8.77734375" style="202" customWidth="1"/>
    <col min="3" max="3" width="73.44140625" style="191" customWidth="1"/>
    <col min="4" max="256" width="10.6640625" style="191"/>
    <col min="257" max="258" width="8.77734375" style="191" customWidth="1"/>
    <col min="259" max="259" width="73.44140625" style="191" customWidth="1"/>
    <col min="260" max="512" width="10.6640625" style="191"/>
    <col min="513" max="514" width="8.77734375" style="191" customWidth="1"/>
    <col min="515" max="515" width="73.44140625" style="191" customWidth="1"/>
    <col min="516" max="768" width="10.6640625" style="191"/>
    <col min="769" max="770" width="8.77734375" style="191" customWidth="1"/>
    <col min="771" max="771" width="73.44140625" style="191" customWidth="1"/>
    <col min="772" max="1024" width="10.6640625" style="191"/>
    <col min="1025" max="1026" width="8.77734375" style="191" customWidth="1"/>
    <col min="1027" max="1027" width="73.44140625" style="191" customWidth="1"/>
    <col min="1028" max="1280" width="10.6640625" style="191"/>
    <col min="1281" max="1282" width="8.77734375" style="191" customWidth="1"/>
    <col min="1283" max="1283" width="73.44140625" style="191" customWidth="1"/>
    <col min="1284" max="1536" width="10.6640625" style="191"/>
    <col min="1537" max="1538" width="8.77734375" style="191" customWidth="1"/>
    <col min="1539" max="1539" width="73.44140625" style="191" customWidth="1"/>
    <col min="1540" max="1792" width="10.6640625" style="191"/>
    <col min="1793" max="1794" width="8.77734375" style="191" customWidth="1"/>
    <col min="1795" max="1795" width="73.44140625" style="191" customWidth="1"/>
    <col min="1796" max="2048" width="10.6640625" style="191"/>
    <col min="2049" max="2050" width="8.77734375" style="191" customWidth="1"/>
    <col min="2051" max="2051" width="73.44140625" style="191" customWidth="1"/>
    <col min="2052" max="2304" width="10.6640625" style="191"/>
    <col min="2305" max="2306" width="8.77734375" style="191" customWidth="1"/>
    <col min="2307" max="2307" width="73.44140625" style="191" customWidth="1"/>
    <col min="2308" max="2560" width="10.6640625" style="191"/>
    <col min="2561" max="2562" width="8.77734375" style="191" customWidth="1"/>
    <col min="2563" max="2563" width="73.44140625" style="191" customWidth="1"/>
    <col min="2564" max="2816" width="10.6640625" style="191"/>
    <col min="2817" max="2818" width="8.77734375" style="191" customWidth="1"/>
    <col min="2819" max="2819" width="73.44140625" style="191" customWidth="1"/>
    <col min="2820" max="3072" width="10.6640625" style="191"/>
    <col min="3073" max="3074" width="8.77734375" style="191" customWidth="1"/>
    <col min="3075" max="3075" width="73.44140625" style="191" customWidth="1"/>
    <col min="3076" max="3328" width="10.6640625" style="191"/>
    <col min="3329" max="3330" width="8.77734375" style="191" customWidth="1"/>
    <col min="3331" max="3331" width="73.44140625" style="191" customWidth="1"/>
    <col min="3332" max="3584" width="10.6640625" style="191"/>
    <col min="3585" max="3586" width="8.77734375" style="191" customWidth="1"/>
    <col min="3587" max="3587" width="73.44140625" style="191" customWidth="1"/>
    <col min="3588" max="3840" width="10.6640625" style="191"/>
    <col min="3841" max="3842" width="8.77734375" style="191" customWidth="1"/>
    <col min="3843" max="3843" width="73.44140625" style="191" customWidth="1"/>
    <col min="3844" max="4096" width="10.6640625" style="191"/>
    <col min="4097" max="4098" width="8.77734375" style="191" customWidth="1"/>
    <col min="4099" max="4099" width="73.44140625" style="191" customWidth="1"/>
    <col min="4100" max="4352" width="10.6640625" style="191"/>
    <col min="4353" max="4354" width="8.77734375" style="191" customWidth="1"/>
    <col min="4355" max="4355" width="73.44140625" style="191" customWidth="1"/>
    <col min="4356" max="4608" width="10.6640625" style="191"/>
    <col min="4609" max="4610" width="8.77734375" style="191" customWidth="1"/>
    <col min="4611" max="4611" width="73.44140625" style="191" customWidth="1"/>
    <col min="4612" max="4864" width="10.6640625" style="191"/>
    <col min="4865" max="4866" width="8.77734375" style="191" customWidth="1"/>
    <col min="4867" max="4867" width="73.44140625" style="191" customWidth="1"/>
    <col min="4868" max="5120" width="10.6640625" style="191"/>
    <col min="5121" max="5122" width="8.77734375" style="191" customWidth="1"/>
    <col min="5123" max="5123" width="73.44140625" style="191" customWidth="1"/>
    <col min="5124" max="5376" width="10.6640625" style="191"/>
    <col min="5377" max="5378" width="8.77734375" style="191" customWidth="1"/>
    <col min="5379" max="5379" width="73.44140625" style="191" customWidth="1"/>
    <col min="5380" max="5632" width="10.6640625" style="191"/>
    <col min="5633" max="5634" width="8.77734375" style="191" customWidth="1"/>
    <col min="5635" max="5635" width="73.44140625" style="191" customWidth="1"/>
    <col min="5636" max="5888" width="10.6640625" style="191"/>
    <col min="5889" max="5890" width="8.77734375" style="191" customWidth="1"/>
    <col min="5891" max="5891" width="73.44140625" style="191" customWidth="1"/>
    <col min="5892" max="6144" width="10.6640625" style="191"/>
    <col min="6145" max="6146" width="8.77734375" style="191" customWidth="1"/>
    <col min="6147" max="6147" width="73.44140625" style="191" customWidth="1"/>
    <col min="6148" max="6400" width="10.6640625" style="191"/>
    <col min="6401" max="6402" width="8.77734375" style="191" customWidth="1"/>
    <col min="6403" max="6403" width="73.44140625" style="191" customWidth="1"/>
    <col min="6404" max="6656" width="10.6640625" style="191"/>
    <col min="6657" max="6658" width="8.77734375" style="191" customWidth="1"/>
    <col min="6659" max="6659" width="73.44140625" style="191" customWidth="1"/>
    <col min="6660" max="6912" width="10.6640625" style="191"/>
    <col min="6913" max="6914" width="8.77734375" style="191" customWidth="1"/>
    <col min="6915" max="6915" width="73.44140625" style="191" customWidth="1"/>
    <col min="6916" max="7168" width="10.6640625" style="191"/>
    <col min="7169" max="7170" width="8.77734375" style="191" customWidth="1"/>
    <col min="7171" max="7171" width="73.44140625" style="191" customWidth="1"/>
    <col min="7172" max="7424" width="10.6640625" style="191"/>
    <col min="7425" max="7426" width="8.77734375" style="191" customWidth="1"/>
    <col min="7427" max="7427" width="73.44140625" style="191" customWidth="1"/>
    <col min="7428" max="7680" width="10.6640625" style="191"/>
    <col min="7681" max="7682" width="8.77734375" style="191" customWidth="1"/>
    <col min="7683" max="7683" width="73.44140625" style="191" customWidth="1"/>
    <col min="7684" max="7936" width="10.6640625" style="191"/>
    <col min="7937" max="7938" width="8.77734375" style="191" customWidth="1"/>
    <col min="7939" max="7939" width="73.44140625" style="191" customWidth="1"/>
    <col min="7940" max="8192" width="10.6640625" style="191"/>
    <col min="8193" max="8194" width="8.77734375" style="191" customWidth="1"/>
    <col min="8195" max="8195" width="73.44140625" style="191" customWidth="1"/>
    <col min="8196" max="8448" width="10.6640625" style="191"/>
    <col min="8449" max="8450" width="8.77734375" style="191" customWidth="1"/>
    <col min="8451" max="8451" width="73.44140625" style="191" customWidth="1"/>
    <col min="8452" max="8704" width="10.6640625" style="191"/>
    <col min="8705" max="8706" width="8.77734375" style="191" customWidth="1"/>
    <col min="8707" max="8707" width="73.44140625" style="191" customWidth="1"/>
    <col min="8708" max="8960" width="10.6640625" style="191"/>
    <col min="8961" max="8962" width="8.77734375" style="191" customWidth="1"/>
    <col min="8963" max="8963" width="73.44140625" style="191" customWidth="1"/>
    <col min="8964" max="9216" width="10.6640625" style="191"/>
    <col min="9217" max="9218" width="8.77734375" style="191" customWidth="1"/>
    <col min="9219" max="9219" width="73.44140625" style="191" customWidth="1"/>
    <col min="9220" max="9472" width="10.6640625" style="191"/>
    <col min="9473" max="9474" width="8.77734375" style="191" customWidth="1"/>
    <col min="9475" max="9475" width="73.44140625" style="191" customWidth="1"/>
    <col min="9476" max="9728" width="10.6640625" style="191"/>
    <col min="9729" max="9730" width="8.77734375" style="191" customWidth="1"/>
    <col min="9731" max="9731" width="73.44140625" style="191" customWidth="1"/>
    <col min="9732" max="9984" width="10.6640625" style="191"/>
    <col min="9985" max="9986" width="8.77734375" style="191" customWidth="1"/>
    <col min="9987" max="9987" width="73.44140625" style="191" customWidth="1"/>
    <col min="9988" max="10240" width="10.6640625" style="191"/>
    <col min="10241" max="10242" width="8.77734375" style="191" customWidth="1"/>
    <col min="10243" max="10243" width="73.44140625" style="191" customWidth="1"/>
    <col min="10244" max="10496" width="10.6640625" style="191"/>
    <col min="10497" max="10498" width="8.77734375" style="191" customWidth="1"/>
    <col min="10499" max="10499" width="73.44140625" style="191" customWidth="1"/>
    <col min="10500" max="10752" width="10.6640625" style="191"/>
    <col min="10753" max="10754" width="8.77734375" style="191" customWidth="1"/>
    <col min="10755" max="10755" width="73.44140625" style="191" customWidth="1"/>
    <col min="10756" max="11008" width="10.6640625" style="191"/>
    <col min="11009" max="11010" width="8.77734375" style="191" customWidth="1"/>
    <col min="11011" max="11011" width="73.44140625" style="191" customWidth="1"/>
    <col min="11012" max="11264" width="10.6640625" style="191"/>
    <col min="11265" max="11266" width="8.77734375" style="191" customWidth="1"/>
    <col min="11267" max="11267" width="73.44140625" style="191" customWidth="1"/>
    <col min="11268" max="11520" width="10.6640625" style="191"/>
    <col min="11521" max="11522" width="8.77734375" style="191" customWidth="1"/>
    <col min="11523" max="11523" width="73.44140625" style="191" customWidth="1"/>
    <col min="11524" max="11776" width="10.6640625" style="191"/>
    <col min="11777" max="11778" width="8.77734375" style="191" customWidth="1"/>
    <col min="11779" max="11779" width="73.44140625" style="191" customWidth="1"/>
    <col min="11780" max="12032" width="10.6640625" style="191"/>
    <col min="12033" max="12034" width="8.77734375" style="191" customWidth="1"/>
    <col min="12035" max="12035" width="73.44140625" style="191" customWidth="1"/>
    <col min="12036" max="12288" width="10.6640625" style="191"/>
    <col min="12289" max="12290" width="8.77734375" style="191" customWidth="1"/>
    <col min="12291" max="12291" width="73.44140625" style="191" customWidth="1"/>
    <col min="12292" max="12544" width="10.6640625" style="191"/>
    <col min="12545" max="12546" width="8.77734375" style="191" customWidth="1"/>
    <col min="12547" max="12547" width="73.44140625" style="191" customWidth="1"/>
    <col min="12548" max="12800" width="10.6640625" style="191"/>
    <col min="12801" max="12802" width="8.77734375" style="191" customWidth="1"/>
    <col min="12803" max="12803" width="73.44140625" style="191" customWidth="1"/>
    <col min="12804" max="13056" width="10.6640625" style="191"/>
    <col min="13057" max="13058" width="8.77734375" style="191" customWidth="1"/>
    <col min="13059" max="13059" width="73.44140625" style="191" customWidth="1"/>
    <col min="13060" max="13312" width="10.6640625" style="191"/>
    <col min="13313" max="13314" width="8.77734375" style="191" customWidth="1"/>
    <col min="13315" max="13315" width="73.44140625" style="191" customWidth="1"/>
    <col min="13316" max="13568" width="10.6640625" style="191"/>
    <col min="13569" max="13570" width="8.77734375" style="191" customWidth="1"/>
    <col min="13571" max="13571" width="73.44140625" style="191" customWidth="1"/>
    <col min="13572" max="13824" width="10.6640625" style="191"/>
    <col min="13825" max="13826" width="8.77734375" style="191" customWidth="1"/>
    <col min="13827" max="13827" width="73.44140625" style="191" customWidth="1"/>
    <col min="13828" max="14080" width="10.6640625" style="191"/>
    <col min="14081" max="14082" width="8.77734375" style="191" customWidth="1"/>
    <col min="14083" max="14083" width="73.44140625" style="191" customWidth="1"/>
    <col min="14084" max="14336" width="10.6640625" style="191"/>
    <col min="14337" max="14338" width="8.77734375" style="191" customWidth="1"/>
    <col min="14339" max="14339" width="73.44140625" style="191" customWidth="1"/>
    <col min="14340" max="14592" width="10.6640625" style="191"/>
    <col min="14593" max="14594" width="8.77734375" style="191" customWidth="1"/>
    <col min="14595" max="14595" width="73.44140625" style="191" customWidth="1"/>
    <col min="14596" max="14848" width="10.6640625" style="191"/>
    <col min="14849" max="14850" width="8.77734375" style="191" customWidth="1"/>
    <col min="14851" max="14851" width="73.44140625" style="191" customWidth="1"/>
    <col min="14852" max="15104" width="10.6640625" style="191"/>
    <col min="15105" max="15106" width="8.77734375" style="191" customWidth="1"/>
    <col min="15107" max="15107" width="73.44140625" style="191" customWidth="1"/>
    <col min="15108" max="15360" width="10.6640625" style="191"/>
    <col min="15361" max="15362" width="8.77734375" style="191" customWidth="1"/>
    <col min="15363" max="15363" width="73.44140625" style="191" customWidth="1"/>
    <col min="15364" max="15616" width="10.6640625" style="191"/>
    <col min="15617" max="15618" width="8.77734375" style="191" customWidth="1"/>
    <col min="15619" max="15619" width="73.44140625" style="191" customWidth="1"/>
    <col min="15620" max="15872" width="10.6640625" style="191"/>
    <col min="15873" max="15874" width="8.77734375" style="191" customWidth="1"/>
    <col min="15875" max="15875" width="73.44140625" style="191" customWidth="1"/>
    <col min="15876" max="16128" width="10.6640625" style="191"/>
    <col min="16129" max="16130" width="8.77734375" style="191" customWidth="1"/>
    <col min="16131" max="16131" width="73.44140625" style="191" customWidth="1"/>
    <col min="16132" max="16384" width="10.6640625" style="191"/>
  </cols>
  <sheetData>
    <row r="1" spans="1:3">
      <c r="A1" s="853" t="s">
        <v>643</v>
      </c>
      <c r="B1" s="854"/>
      <c r="C1" s="855"/>
    </row>
    <row r="2" spans="1:3" ht="41.25" customHeight="1">
      <c r="A2" s="856"/>
      <c r="B2" s="857"/>
      <c r="C2" s="858"/>
    </row>
    <row r="4" spans="1:3" s="203" customFormat="1" ht="31.2">
      <c r="A4" s="318" t="s">
        <v>638</v>
      </c>
      <c r="B4" s="318" t="s">
        <v>639</v>
      </c>
      <c r="C4" s="318" t="s">
        <v>640</v>
      </c>
    </row>
    <row r="5" spans="1:3" s="192" customFormat="1" ht="24" customHeight="1">
      <c r="A5" s="319" t="s">
        <v>641</v>
      </c>
      <c r="B5" s="320"/>
      <c r="C5" s="321" t="s">
        <v>384</v>
      </c>
    </row>
    <row r="6" spans="1:3" s="192" customFormat="1" ht="24" customHeight="1">
      <c r="A6" s="319" t="s">
        <v>642</v>
      </c>
      <c r="B6" s="320"/>
      <c r="C6" s="321" t="s">
        <v>644</v>
      </c>
    </row>
    <row r="7" spans="1:3" s="192" customFormat="1" ht="24" customHeight="1">
      <c r="A7" s="319"/>
      <c r="B7" s="320" t="s">
        <v>10</v>
      </c>
      <c r="C7" s="322" t="s">
        <v>403</v>
      </c>
    </row>
    <row r="8" spans="1:3" s="192" customFormat="1" ht="24" customHeight="1">
      <c r="A8" s="319" t="s">
        <v>391</v>
      </c>
      <c r="B8" s="320"/>
      <c r="C8" s="321" t="s">
        <v>645</v>
      </c>
    </row>
    <row r="9" spans="1:3" s="192" customFormat="1" ht="24" customHeight="1">
      <c r="A9" s="320"/>
      <c r="B9" s="320" t="s">
        <v>10</v>
      </c>
      <c r="C9" s="322" t="s">
        <v>430</v>
      </c>
    </row>
    <row r="10" spans="1:3" s="192" customFormat="1" ht="19.5" customHeight="1">
      <c r="A10" s="204"/>
      <c r="B10" s="204"/>
      <c r="C10" s="20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93"/>
  <sheetViews>
    <sheetView view="pageLayout" topLeftCell="B1" workbookViewId="0">
      <selection activeCell="J1" sqref="J1"/>
    </sheetView>
  </sheetViews>
  <sheetFormatPr defaultRowHeight="13.2"/>
  <cols>
    <col min="1" max="1" width="34.77734375" style="46" customWidth="1"/>
    <col min="2" max="2" width="16" style="46" customWidth="1"/>
    <col min="3" max="6" width="16.44140625" style="46" customWidth="1"/>
    <col min="7" max="7" width="13.77734375" style="46" customWidth="1"/>
    <col min="8" max="257" width="9.33203125" style="46"/>
    <col min="258" max="258" width="34.77734375" style="46" customWidth="1"/>
    <col min="259" max="262" width="16.44140625" style="46" customWidth="1"/>
    <col min="263" max="263" width="13.77734375" style="46" customWidth="1"/>
    <col min="264" max="513" width="9.33203125" style="46"/>
    <col min="514" max="514" width="34.77734375" style="46" customWidth="1"/>
    <col min="515" max="518" width="16.44140625" style="46" customWidth="1"/>
    <col min="519" max="519" width="13.77734375" style="46" customWidth="1"/>
    <col min="520" max="769" width="9.33203125" style="46"/>
    <col min="770" max="770" width="34.77734375" style="46" customWidth="1"/>
    <col min="771" max="774" width="16.44140625" style="46" customWidth="1"/>
    <col min="775" max="775" width="13.77734375" style="46" customWidth="1"/>
    <col min="776" max="1025" width="9.33203125" style="46"/>
    <col min="1026" max="1026" width="34.77734375" style="46" customWidth="1"/>
    <col min="1027" max="1030" width="16.44140625" style="46" customWidth="1"/>
    <col min="1031" max="1031" width="13.77734375" style="46" customWidth="1"/>
    <col min="1032" max="1281" width="9.33203125" style="46"/>
    <col min="1282" max="1282" width="34.77734375" style="46" customWidth="1"/>
    <col min="1283" max="1286" width="16.44140625" style="46" customWidth="1"/>
    <col min="1287" max="1287" width="13.77734375" style="46" customWidth="1"/>
    <col min="1288" max="1537" width="9.33203125" style="46"/>
    <col min="1538" max="1538" width="34.77734375" style="46" customWidth="1"/>
    <col min="1539" max="1542" width="16.44140625" style="46" customWidth="1"/>
    <col min="1543" max="1543" width="13.77734375" style="46" customWidth="1"/>
    <col min="1544" max="1793" width="9.33203125" style="46"/>
    <col min="1794" max="1794" width="34.77734375" style="46" customWidth="1"/>
    <col min="1795" max="1798" width="16.44140625" style="46" customWidth="1"/>
    <col min="1799" max="1799" width="13.77734375" style="46" customWidth="1"/>
    <col min="1800" max="2049" width="9.33203125" style="46"/>
    <col min="2050" max="2050" width="34.77734375" style="46" customWidth="1"/>
    <col min="2051" max="2054" width="16.44140625" style="46" customWidth="1"/>
    <col min="2055" max="2055" width="13.77734375" style="46" customWidth="1"/>
    <col min="2056" max="2305" width="9.33203125" style="46"/>
    <col min="2306" max="2306" width="34.77734375" style="46" customWidth="1"/>
    <col min="2307" max="2310" width="16.44140625" style="46" customWidth="1"/>
    <col min="2311" max="2311" width="13.77734375" style="46" customWidth="1"/>
    <col min="2312" max="2561" width="9.33203125" style="46"/>
    <col min="2562" max="2562" width="34.77734375" style="46" customWidth="1"/>
    <col min="2563" max="2566" width="16.44140625" style="46" customWidth="1"/>
    <col min="2567" max="2567" width="13.77734375" style="46" customWidth="1"/>
    <col min="2568" max="2817" width="9.33203125" style="46"/>
    <col min="2818" max="2818" width="34.77734375" style="46" customWidth="1"/>
    <col min="2819" max="2822" width="16.44140625" style="46" customWidth="1"/>
    <col min="2823" max="2823" width="13.77734375" style="46" customWidth="1"/>
    <col min="2824" max="3073" width="9.33203125" style="46"/>
    <col min="3074" max="3074" width="34.77734375" style="46" customWidth="1"/>
    <col min="3075" max="3078" width="16.44140625" style="46" customWidth="1"/>
    <col min="3079" max="3079" width="13.77734375" style="46" customWidth="1"/>
    <col min="3080" max="3329" width="9.33203125" style="46"/>
    <col min="3330" max="3330" width="34.77734375" style="46" customWidth="1"/>
    <col min="3331" max="3334" width="16.44140625" style="46" customWidth="1"/>
    <col min="3335" max="3335" width="13.77734375" style="46" customWidth="1"/>
    <col min="3336" max="3585" width="9.33203125" style="46"/>
    <col min="3586" max="3586" width="34.77734375" style="46" customWidth="1"/>
    <col min="3587" max="3590" width="16.44140625" style="46" customWidth="1"/>
    <col min="3591" max="3591" width="13.77734375" style="46" customWidth="1"/>
    <col min="3592" max="3841" width="9.33203125" style="46"/>
    <col min="3842" max="3842" width="34.77734375" style="46" customWidth="1"/>
    <col min="3843" max="3846" width="16.44140625" style="46" customWidth="1"/>
    <col min="3847" max="3847" width="13.77734375" style="46" customWidth="1"/>
    <col min="3848" max="4097" width="9.33203125" style="46"/>
    <col min="4098" max="4098" width="34.77734375" style="46" customWidth="1"/>
    <col min="4099" max="4102" width="16.44140625" style="46" customWidth="1"/>
    <col min="4103" max="4103" width="13.77734375" style="46" customWidth="1"/>
    <col min="4104" max="4353" width="9.33203125" style="46"/>
    <col min="4354" max="4354" width="34.77734375" style="46" customWidth="1"/>
    <col min="4355" max="4358" width="16.44140625" style="46" customWidth="1"/>
    <col min="4359" max="4359" width="13.77734375" style="46" customWidth="1"/>
    <col min="4360" max="4609" width="9.33203125" style="46"/>
    <col min="4610" max="4610" width="34.77734375" style="46" customWidth="1"/>
    <col min="4611" max="4614" width="16.44140625" style="46" customWidth="1"/>
    <col min="4615" max="4615" width="13.77734375" style="46" customWidth="1"/>
    <col min="4616" max="4865" width="9.33203125" style="46"/>
    <col min="4866" max="4866" width="34.77734375" style="46" customWidth="1"/>
    <col min="4867" max="4870" width="16.44140625" style="46" customWidth="1"/>
    <col min="4871" max="4871" width="13.77734375" style="46" customWidth="1"/>
    <col min="4872" max="5121" width="9.33203125" style="46"/>
    <col min="5122" max="5122" width="34.77734375" style="46" customWidth="1"/>
    <col min="5123" max="5126" width="16.44140625" style="46" customWidth="1"/>
    <col min="5127" max="5127" width="13.77734375" style="46" customWidth="1"/>
    <col min="5128" max="5377" width="9.33203125" style="46"/>
    <col min="5378" max="5378" width="34.77734375" style="46" customWidth="1"/>
    <col min="5379" max="5382" width="16.44140625" style="46" customWidth="1"/>
    <col min="5383" max="5383" width="13.77734375" style="46" customWidth="1"/>
    <col min="5384" max="5633" width="9.33203125" style="46"/>
    <col min="5634" max="5634" width="34.77734375" style="46" customWidth="1"/>
    <col min="5635" max="5638" width="16.44140625" style="46" customWidth="1"/>
    <col min="5639" max="5639" width="13.77734375" style="46" customWidth="1"/>
    <col min="5640" max="5889" width="9.33203125" style="46"/>
    <col min="5890" max="5890" width="34.77734375" style="46" customWidth="1"/>
    <col min="5891" max="5894" width="16.44140625" style="46" customWidth="1"/>
    <col min="5895" max="5895" width="13.77734375" style="46" customWidth="1"/>
    <col min="5896" max="6145" width="9.33203125" style="46"/>
    <col min="6146" max="6146" width="34.77734375" style="46" customWidth="1"/>
    <col min="6147" max="6150" width="16.44140625" style="46" customWidth="1"/>
    <col min="6151" max="6151" width="13.77734375" style="46" customWidth="1"/>
    <col min="6152" max="6401" width="9.33203125" style="46"/>
    <col min="6402" max="6402" width="34.77734375" style="46" customWidth="1"/>
    <col min="6403" max="6406" width="16.44140625" style="46" customWidth="1"/>
    <col min="6407" max="6407" width="13.77734375" style="46" customWidth="1"/>
    <col min="6408" max="6657" width="9.33203125" style="46"/>
    <col min="6658" max="6658" width="34.77734375" style="46" customWidth="1"/>
    <col min="6659" max="6662" width="16.44140625" style="46" customWidth="1"/>
    <col min="6663" max="6663" width="13.77734375" style="46" customWidth="1"/>
    <col min="6664" max="6913" width="9.33203125" style="46"/>
    <col min="6914" max="6914" width="34.77734375" style="46" customWidth="1"/>
    <col min="6915" max="6918" width="16.44140625" style="46" customWidth="1"/>
    <col min="6919" max="6919" width="13.77734375" style="46" customWidth="1"/>
    <col min="6920" max="7169" width="9.33203125" style="46"/>
    <col min="7170" max="7170" width="34.77734375" style="46" customWidth="1"/>
    <col min="7171" max="7174" width="16.44140625" style="46" customWidth="1"/>
    <col min="7175" max="7175" width="13.77734375" style="46" customWidth="1"/>
    <col min="7176" max="7425" width="9.33203125" style="46"/>
    <col min="7426" max="7426" width="34.77734375" style="46" customWidth="1"/>
    <col min="7427" max="7430" width="16.44140625" style="46" customWidth="1"/>
    <col min="7431" max="7431" width="13.77734375" style="46" customWidth="1"/>
    <col min="7432" max="7681" width="9.33203125" style="46"/>
    <col min="7682" max="7682" width="34.77734375" style="46" customWidth="1"/>
    <col min="7683" max="7686" width="16.44140625" style="46" customWidth="1"/>
    <col min="7687" max="7687" width="13.77734375" style="46" customWidth="1"/>
    <col min="7688" max="7937" width="9.33203125" style="46"/>
    <col min="7938" max="7938" width="34.77734375" style="46" customWidth="1"/>
    <col min="7939" max="7942" width="16.44140625" style="46" customWidth="1"/>
    <col min="7943" max="7943" width="13.77734375" style="46" customWidth="1"/>
    <col min="7944" max="8193" width="9.33203125" style="46"/>
    <col min="8194" max="8194" width="34.77734375" style="46" customWidth="1"/>
    <col min="8195" max="8198" width="16.44140625" style="46" customWidth="1"/>
    <col min="8199" max="8199" width="13.77734375" style="46" customWidth="1"/>
    <col min="8200" max="8449" width="9.33203125" style="46"/>
    <col min="8450" max="8450" width="34.77734375" style="46" customWidth="1"/>
    <col min="8451" max="8454" width="16.44140625" style="46" customWidth="1"/>
    <col min="8455" max="8455" width="13.77734375" style="46" customWidth="1"/>
    <col min="8456" max="8705" width="9.33203125" style="46"/>
    <col min="8706" max="8706" width="34.77734375" style="46" customWidth="1"/>
    <col min="8707" max="8710" width="16.44140625" style="46" customWidth="1"/>
    <col min="8711" max="8711" width="13.77734375" style="46" customWidth="1"/>
    <col min="8712" max="8961" width="9.33203125" style="46"/>
    <col min="8962" max="8962" width="34.77734375" style="46" customWidth="1"/>
    <col min="8963" max="8966" width="16.44140625" style="46" customWidth="1"/>
    <col min="8967" max="8967" width="13.77734375" style="46" customWidth="1"/>
    <col min="8968" max="9217" width="9.33203125" style="46"/>
    <col min="9218" max="9218" width="34.77734375" style="46" customWidth="1"/>
    <col min="9219" max="9222" width="16.44140625" style="46" customWidth="1"/>
    <col min="9223" max="9223" width="13.77734375" style="46" customWidth="1"/>
    <col min="9224" max="9473" width="9.33203125" style="46"/>
    <col min="9474" max="9474" width="34.77734375" style="46" customWidth="1"/>
    <col min="9475" max="9478" width="16.44140625" style="46" customWidth="1"/>
    <col min="9479" max="9479" width="13.77734375" style="46" customWidth="1"/>
    <col min="9480" max="9729" width="9.33203125" style="46"/>
    <col min="9730" max="9730" width="34.77734375" style="46" customWidth="1"/>
    <col min="9731" max="9734" width="16.44140625" style="46" customWidth="1"/>
    <col min="9735" max="9735" width="13.77734375" style="46" customWidth="1"/>
    <col min="9736" max="9985" width="9.33203125" style="46"/>
    <col min="9986" max="9986" width="34.77734375" style="46" customWidth="1"/>
    <col min="9987" max="9990" width="16.44140625" style="46" customWidth="1"/>
    <col min="9991" max="9991" width="13.77734375" style="46" customWidth="1"/>
    <col min="9992" max="10241" width="9.33203125" style="46"/>
    <col min="10242" max="10242" width="34.77734375" style="46" customWidth="1"/>
    <col min="10243" max="10246" width="16.44140625" style="46" customWidth="1"/>
    <col min="10247" max="10247" width="13.77734375" style="46" customWidth="1"/>
    <col min="10248" max="10497" width="9.33203125" style="46"/>
    <col min="10498" max="10498" width="34.77734375" style="46" customWidth="1"/>
    <col min="10499" max="10502" width="16.44140625" style="46" customWidth="1"/>
    <col min="10503" max="10503" width="13.77734375" style="46" customWidth="1"/>
    <col min="10504" max="10753" width="9.33203125" style="46"/>
    <col min="10754" max="10754" width="34.77734375" style="46" customWidth="1"/>
    <col min="10755" max="10758" width="16.44140625" style="46" customWidth="1"/>
    <col min="10759" max="10759" width="13.77734375" style="46" customWidth="1"/>
    <col min="10760" max="11009" width="9.33203125" style="46"/>
    <col min="11010" max="11010" width="34.77734375" style="46" customWidth="1"/>
    <col min="11011" max="11014" width="16.44140625" style="46" customWidth="1"/>
    <col min="11015" max="11015" width="13.77734375" style="46" customWidth="1"/>
    <col min="11016" max="11265" width="9.33203125" style="46"/>
    <col min="11266" max="11266" width="34.77734375" style="46" customWidth="1"/>
    <col min="11267" max="11270" width="16.44140625" style="46" customWidth="1"/>
    <col min="11271" max="11271" width="13.77734375" style="46" customWidth="1"/>
    <col min="11272" max="11521" width="9.33203125" style="46"/>
    <col min="11522" max="11522" width="34.77734375" style="46" customWidth="1"/>
    <col min="11523" max="11526" width="16.44140625" style="46" customWidth="1"/>
    <col min="11527" max="11527" width="13.77734375" style="46" customWidth="1"/>
    <col min="11528" max="11777" width="9.33203125" style="46"/>
    <col min="11778" max="11778" width="34.77734375" style="46" customWidth="1"/>
    <col min="11779" max="11782" width="16.44140625" style="46" customWidth="1"/>
    <col min="11783" max="11783" width="13.77734375" style="46" customWidth="1"/>
    <col min="11784" max="12033" width="9.33203125" style="46"/>
    <col min="12034" max="12034" width="34.77734375" style="46" customWidth="1"/>
    <col min="12035" max="12038" width="16.44140625" style="46" customWidth="1"/>
    <col min="12039" max="12039" width="13.77734375" style="46" customWidth="1"/>
    <col min="12040" max="12289" width="9.33203125" style="46"/>
    <col min="12290" max="12290" width="34.77734375" style="46" customWidth="1"/>
    <col min="12291" max="12294" width="16.44140625" style="46" customWidth="1"/>
    <col min="12295" max="12295" width="13.77734375" style="46" customWidth="1"/>
    <col min="12296" max="12545" width="9.33203125" style="46"/>
    <col min="12546" max="12546" width="34.77734375" style="46" customWidth="1"/>
    <col min="12547" max="12550" width="16.44140625" style="46" customWidth="1"/>
    <col min="12551" max="12551" width="13.77734375" style="46" customWidth="1"/>
    <col min="12552" max="12801" width="9.33203125" style="46"/>
    <col min="12802" max="12802" width="34.77734375" style="46" customWidth="1"/>
    <col min="12803" max="12806" width="16.44140625" style="46" customWidth="1"/>
    <col min="12807" max="12807" width="13.77734375" style="46" customWidth="1"/>
    <col min="12808" max="13057" width="9.33203125" style="46"/>
    <col min="13058" max="13058" width="34.77734375" style="46" customWidth="1"/>
    <col min="13059" max="13062" width="16.44140625" style="46" customWidth="1"/>
    <col min="13063" max="13063" width="13.77734375" style="46" customWidth="1"/>
    <col min="13064" max="13313" width="9.33203125" style="46"/>
    <col min="13314" max="13314" width="34.77734375" style="46" customWidth="1"/>
    <col min="13315" max="13318" width="16.44140625" style="46" customWidth="1"/>
    <col min="13319" max="13319" width="13.77734375" style="46" customWidth="1"/>
    <col min="13320" max="13569" width="9.33203125" style="46"/>
    <col min="13570" max="13570" width="34.77734375" style="46" customWidth="1"/>
    <col min="13571" max="13574" width="16.44140625" style="46" customWidth="1"/>
    <col min="13575" max="13575" width="13.77734375" style="46" customWidth="1"/>
    <col min="13576" max="13825" width="9.33203125" style="46"/>
    <col min="13826" max="13826" width="34.77734375" style="46" customWidth="1"/>
    <col min="13827" max="13830" width="16.44140625" style="46" customWidth="1"/>
    <col min="13831" max="13831" width="13.77734375" style="46" customWidth="1"/>
    <col min="13832" max="14081" width="9.33203125" style="46"/>
    <col min="14082" max="14082" width="34.77734375" style="46" customWidth="1"/>
    <col min="14083" max="14086" width="16.44140625" style="46" customWidth="1"/>
    <col min="14087" max="14087" width="13.77734375" style="46" customWidth="1"/>
    <col min="14088" max="14337" width="9.33203125" style="46"/>
    <col min="14338" max="14338" width="34.77734375" style="46" customWidth="1"/>
    <col min="14339" max="14342" width="16.44140625" style="46" customWidth="1"/>
    <col min="14343" max="14343" width="13.77734375" style="46" customWidth="1"/>
    <col min="14344" max="14593" width="9.33203125" style="46"/>
    <col min="14594" max="14594" width="34.77734375" style="46" customWidth="1"/>
    <col min="14595" max="14598" width="16.44140625" style="46" customWidth="1"/>
    <col min="14599" max="14599" width="13.77734375" style="46" customWidth="1"/>
    <col min="14600" max="14849" width="9.33203125" style="46"/>
    <col min="14850" max="14850" width="34.77734375" style="46" customWidth="1"/>
    <col min="14851" max="14854" width="16.44140625" style="46" customWidth="1"/>
    <col min="14855" max="14855" width="13.77734375" style="46" customWidth="1"/>
    <col min="14856" max="15105" width="9.33203125" style="46"/>
    <col min="15106" max="15106" width="34.77734375" style="46" customWidth="1"/>
    <col min="15107" max="15110" width="16.44140625" style="46" customWidth="1"/>
    <col min="15111" max="15111" width="13.77734375" style="46" customWidth="1"/>
    <col min="15112" max="15361" width="9.33203125" style="46"/>
    <col min="15362" max="15362" width="34.77734375" style="46" customWidth="1"/>
    <col min="15363" max="15366" width="16.44140625" style="46" customWidth="1"/>
    <col min="15367" max="15367" width="13.77734375" style="46" customWidth="1"/>
    <col min="15368" max="15617" width="9.33203125" style="46"/>
    <col min="15618" max="15618" width="34.77734375" style="46" customWidth="1"/>
    <col min="15619" max="15622" width="16.44140625" style="46" customWidth="1"/>
    <col min="15623" max="15623" width="13.77734375" style="46" customWidth="1"/>
    <col min="15624" max="15873" width="9.33203125" style="46"/>
    <col min="15874" max="15874" width="34.77734375" style="46" customWidth="1"/>
    <col min="15875" max="15878" width="16.44140625" style="46" customWidth="1"/>
    <col min="15879" max="15879" width="13.77734375" style="46" customWidth="1"/>
    <col min="15880" max="16129" width="9.33203125" style="46"/>
    <col min="16130" max="16130" width="34.77734375" style="46" customWidth="1"/>
    <col min="16131" max="16134" width="16.44140625" style="46" customWidth="1"/>
    <col min="16135" max="16135" width="13.77734375" style="46" customWidth="1"/>
    <col min="16136" max="16384" width="9.33203125" style="46"/>
  </cols>
  <sheetData>
    <row r="1" spans="1:11" ht="39.75" customHeight="1">
      <c r="A1" s="904" t="s">
        <v>451</v>
      </c>
      <c r="B1" s="904"/>
      <c r="C1" s="904"/>
      <c r="D1" s="904"/>
      <c r="E1" s="904"/>
      <c r="F1" s="904"/>
      <c r="G1" s="45"/>
    </row>
    <row r="2" spans="1:11" ht="16.5" customHeight="1">
      <c r="A2" s="47"/>
      <c r="B2" s="905"/>
      <c r="C2" s="905"/>
      <c r="D2" s="48"/>
      <c r="E2" s="48"/>
      <c r="F2" s="48"/>
      <c r="G2" s="48"/>
    </row>
    <row r="3" spans="1:11" ht="15.75" customHeight="1">
      <c r="A3" s="49" t="s">
        <v>431</v>
      </c>
      <c r="B3" s="902" t="s">
        <v>607</v>
      </c>
      <c r="C3" s="902"/>
      <c r="D3" s="902"/>
      <c r="E3" s="902"/>
      <c r="F3" s="902"/>
      <c r="G3" s="51"/>
      <c r="H3" s="52"/>
      <c r="I3" s="52"/>
      <c r="J3" s="52"/>
      <c r="K3" s="52"/>
    </row>
    <row r="4" spans="1:11" ht="15" customHeight="1">
      <c r="A4" s="49" t="s">
        <v>432</v>
      </c>
      <c r="B4" s="902" t="s">
        <v>608</v>
      </c>
      <c r="C4" s="902"/>
      <c r="D4" s="902"/>
      <c r="E4" s="902"/>
      <c r="F4" s="902"/>
      <c r="G4" s="53"/>
      <c r="H4" s="52"/>
      <c r="I4" s="52"/>
      <c r="J4" s="52"/>
      <c r="K4" s="52"/>
    </row>
    <row r="5" spans="1:11" ht="15.6">
      <c r="A5" s="49" t="s">
        <v>901</v>
      </c>
      <c r="B5" s="901">
        <v>322750000</v>
      </c>
      <c r="C5" s="901"/>
      <c r="D5" s="178"/>
      <c r="E5" s="176"/>
      <c r="F5" s="50"/>
      <c r="G5" s="54"/>
      <c r="H5" s="52"/>
      <c r="I5" s="52"/>
      <c r="J5" s="52"/>
      <c r="K5" s="52"/>
    </row>
    <row r="6" spans="1:11" ht="15.75" customHeight="1">
      <c r="A6" s="49" t="s">
        <v>612</v>
      </c>
      <c r="B6" s="901" t="s">
        <v>613</v>
      </c>
      <c r="C6" s="901"/>
      <c r="D6" s="901"/>
      <c r="E6" s="68">
        <f>B5-E7</f>
        <v>266923820</v>
      </c>
      <c r="F6" s="50" t="s">
        <v>395</v>
      </c>
      <c r="G6" s="54"/>
      <c r="H6" s="52"/>
      <c r="I6" s="52"/>
      <c r="J6" s="52"/>
      <c r="K6" s="52"/>
    </row>
    <row r="7" spans="1:11" ht="15.6">
      <c r="A7" s="49"/>
      <c r="B7" s="901" t="s">
        <v>384</v>
      </c>
      <c r="C7" s="901"/>
      <c r="D7" s="901"/>
      <c r="E7" s="68">
        <v>55826180</v>
      </c>
      <c r="F7" s="50" t="s">
        <v>395</v>
      </c>
      <c r="G7" s="54"/>
      <c r="H7" s="52"/>
      <c r="I7" s="52"/>
      <c r="J7" s="52"/>
      <c r="K7" s="52"/>
    </row>
    <row r="8" spans="1:11" ht="15.6">
      <c r="A8" s="49" t="s">
        <v>433</v>
      </c>
      <c r="B8" s="903">
        <v>1</v>
      </c>
      <c r="C8" s="903"/>
      <c r="D8" s="55"/>
      <c r="E8" s="175"/>
      <c r="F8" s="50"/>
      <c r="G8" s="56"/>
      <c r="H8" s="52"/>
      <c r="I8" s="52"/>
      <c r="J8" s="52"/>
      <c r="K8" s="52"/>
    </row>
    <row r="9" spans="1:11" ht="15.6">
      <c r="A9" s="49" t="s">
        <v>434</v>
      </c>
      <c r="B9" s="899">
        <v>42736</v>
      </c>
      <c r="C9" s="900"/>
      <c r="D9" s="57"/>
      <c r="E9" s="177"/>
      <c r="F9" s="50"/>
      <c r="G9" s="54"/>
      <c r="H9" s="52"/>
      <c r="I9" s="52"/>
      <c r="J9" s="52"/>
      <c r="K9" s="52"/>
    </row>
    <row r="10" spans="1:11" ht="15.6">
      <c r="A10" s="49" t="s">
        <v>435</v>
      </c>
      <c r="B10" s="899">
        <v>43830</v>
      </c>
      <c r="C10" s="900"/>
      <c r="D10" s="57"/>
      <c r="E10" s="177"/>
      <c r="F10" s="50"/>
      <c r="G10" s="54"/>
      <c r="H10" s="52"/>
      <c r="I10" s="52"/>
      <c r="J10" s="52"/>
      <c r="K10" s="52"/>
    </row>
    <row r="11" spans="1:11">
      <c r="A11" s="58"/>
      <c r="B11" s="59"/>
      <c r="C11" s="59"/>
      <c r="D11" s="59"/>
      <c r="E11" s="59"/>
      <c r="F11" s="60" t="s">
        <v>861</v>
      </c>
      <c r="G11" s="54"/>
      <c r="H11" s="52"/>
      <c r="I11" s="52"/>
      <c r="J11" s="52"/>
      <c r="K11" s="52"/>
    </row>
    <row r="12" spans="1:11" ht="26.4">
      <c r="A12" s="425" t="s">
        <v>267</v>
      </c>
      <c r="B12" s="426" t="s">
        <v>436</v>
      </c>
      <c r="C12" s="425" t="s">
        <v>437</v>
      </c>
      <c r="D12" s="425" t="s">
        <v>438</v>
      </c>
      <c r="E12" s="425" t="s">
        <v>609</v>
      </c>
      <c r="F12" s="425" t="s">
        <v>408</v>
      </c>
      <c r="G12" s="54"/>
      <c r="H12" s="52"/>
      <c r="I12" s="52"/>
      <c r="J12" s="52"/>
      <c r="K12" s="52"/>
    </row>
    <row r="13" spans="1:11">
      <c r="A13" s="426" t="s">
        <v>439</v>
      </c>
      <c r="B13" s="427">
        <f>SUM(B15:B20)</f>
        <v>2857500</v>
      </c>
      <c r="C13" s="427">
        <f>SUM(C15:C20)</f>
        <v>52968680</v>
      </c>
      <c r="D13" s="427"/>
      <c r="E13" s="427"/>
      <c r="F13" s="427">
        <f>SUM(B13:C13)</f>
        <v>55826180</v>
      </c>
      <c r="G13" s="54"/>
      <c r="H13" s="52"/>
      <c r="I13" s="52"/>
      <c r="J13" s="52"/>
      <c r="K13" s="52"/>
    </row>
    <row r="14" spans="1:11">
      <c r="A14" s="428" t="s">
        <v>440</v>
      </c>
      <c r="B14" s="428"/>
      <c r="C14" s="428"/>
      <c r="D14" s="428"/>
      <c r="E14" s="428"/>
      <c r="F14" s="428"/>
      <c r="G14" s="54"/>
      <c r="H14" s="52"/>
      <c r="I14" s="52"/>
      <c r="J14" s="52"/>
      <c r="K14" s="52"/>
    </row>
    <row r="15" spans="1:11">
      <c r="A15" s="429" t="s">
        <v>429</v>
      </c>
      <c r="B15" s="430"/>
      <c r="C15" s="430"/>
      <c r="D15" s="430"/>
      <c r="E15" s="430"/>
      <c r="F15" s="430">
        <f>SUM(B15:E15)</f>
        <v>0</v>
      </c>
      <c r="G15" s="61"/>
      <c r="H15" s="52"/>
      <c r="I15" s="52"/>
      <c r="J15" s="52"/>
      <c r="K15" s="52"/>
    </row>
    <row r="16" spans="1:11" ht="15" customHeight="1">
      <c r="A16" s="429" t="s">
        <v>441</v>
      </c>
      <c r="B16" s="430"/>
      <c r="C16" s="430">
        <v>55826180</v>
      </c>
      <c r="D16" s="430"/>
      <c r="E16" s="430"/>
      <c r="F16" s="430">
        <f t="shared" ref="F16:F20" si="0">SUM(B16:E16)</f>
        <v>55826180</v>
      </c>
      <c r="G16" s="53"/>
      <c r="H16" s="52"/>
      <c r="I16" s="52"/>
      <c r="J16" s="52"/>
      <c r="K16" s="52"/>
    </row>
    <row r="17" spans="1:11" ht="26.4">
      <c r="A17" s="429" t="s">
        <v>610</v>
      </c>
      <c r="B17" s="430">
        <v>2857500</v>
      </c>
      <c r="C17" s="430">
        <v>-2857500</v>
      </c>
      <c r="D17" s="430"/>
      <c r="E17" s="430"/>
      <c r="F17" s="430">
        <f t="shared" si="0"/>
        <v>0</v>
      </c>
      <c r="G17" s="54"/>
      <c r="H17" s="52"/>
      <c r="I17" s="52"/>
      <c r="J17" s="52"/>
      <c r="K17" s="52"/>
    </row>
    <row r="18" spans="1:11" ht="26.4">
      <c r="A18" s="429" t="s">
        <v>611</v>
      </c>
      <c r="B18" s="430"/>
      <c r="C18" s="430"/>
      <c r="D18" s="430"/>
      <c r="E18" s="430"/>
      <c r="F18" s="430">
        <f t="shared" si="0"/>
        <v>0</v>
      </c>
      <c r="G18" s="54"/>
      <c r="H18" s="52"/>
      <c r="I18" s="52"/>
      <c r="J18" s="52"/>
      <c r="K18" s="52"/>
    </row>
    <row r="19" spans="1:11">
      <c r="A19" s="429" t="s">
        <v>442</v>
      </c>
      <c r="B19" s="430"/>
      <c r="C19" s="430"/>
      <c r="D19" s="430"/>
      <c r="E19" s="430"/>
      <c r="F19" s="430">
        <f t="shared" si="0"/>
        <v>0</v>
      </c>
      <c r="G19" s="54"/>
      <c r="H19" s="52"/>
      <c r="I19" s="52"/>
      <c r="J19" s="52"/>
      <c r="K19" s="52"/>
    </row>
    <row r="20" spans="1:11">
      <c r="A20" s="429" t="s">
        <v>443</v>
      </c>
      <c r="B20" s="430"/>
      <c r="C20" s="430"/>
      <c r="D20" s="430"/>
      <c r="E20" s="430"/>
      <c r="F20" s="430">
        <f t="shared" si="0"/>
        <v>0</v>
      </c>
      <c r="G20" s="54"/>
      <c r="H20" s="52"/>
      <c r="I20" s="52"/>
      <c r="J20" s="52"/>
      <c r="K20" s="52"/>
    </row>
    <row r="21" spans="1:11">
      <c r="A21" s="429"/>
      <c r="B21" s="430"/>
      <c r="C21" s="430"/>
      <c r="D21" s="430"/>
      <c r="E21" s="430"/>
      <c r="F21" s="430"/>
      <c r="G21" s="54"/>
      <c r="H21" s="52"/>
      <c r="I21" s="52"/>
      <c r="J21" s="52"/>
      <c r="K21" s="52"/>
    </row>
    <row r="22" spans="1:11">
      <c r="A22" s="426" t="s">
        <v>444</v>
      </c>
      <c r="B22" s="431">
        <f>SUM(B24:B29)</f>
        <v>2857500</v>
      </c>
      <c r="C22" s="431">
        <f>SUM(C24:C29)</f>
        <v>35822337</v>
      </c>
      <c r="D22" s="431">
        <f t="shared" ref="D22:E22" si="1">SUM(D24:D29)</f>
        <v>8696669</v>
      </c>
      <c r="E22" s="431">
        <f t="shared" si="1"/>
        <v>8449674</v>
      </c>
      <c r="F22" s="431">
        <f>SUM(F24:F29)</f>
        <v>55826180</v>
      </c>
      <c r="G22" s="54"/>
      <c r="H22" s="52"/>
      <c r="I22" s="52"/>
      <c r="J22" s="52"/>
      <c r="K22" s="52"/>
    </row>
    <row r="23" spans="1:11">
      <c r="A23" s="428" t="s">
        <v>440</v>
      </c>
      <c r="B23" s="428"/>
      <c r="C23" s="428"/>
      <c r="D23" s="428"/>
      <c r="E23" s="428"/>
      <c r="F23" s="428"/>
      <c r="G23" s="54"/>
      <c r="H23" s="52"/>
      <c r="I23" s="52"/>
      <c r="J23" s="52"/>
      <c r="K23" s="52"/>
    </row>
    <row r="24" spans="1:11">
      <c r="A24" s="429" t="s">
        <v>445</v>
      </c>
      <c r="B24" s="432"/>
      <c r="C24" s="432">
        <v>2840025</v>
      </c>
      <c r="D24" s="432">
        <v>2840025</v>
      </c>
      <c r="E24" s="432">
        <v>2840025</v>
      </c>
      <c r="F24" s="430">
        <f>SUM(B24:E24)</f>
        <v>8520075</v>
      </c>
      <c r="G24" s="54"/>
      <c r="H24" s="52"/>
      <c r="I24" s="52"/>
      <c r="J24" s="52"/>
      <c r="K24" s="52"/>
    </row>
    <row r="25" spans="1:11" ht="26.4">
      <c r="A25" s="429" t="s">
        <v>206</v>
      </c>
      <c r="B25" s="432"/>
      <c r="C25" s="432">
        <v>712800</v>
      </c>
      <c r="D25" s="432">
        <v>712800</v>
      </c>
      <c r="E25" s="432">
        <v>712800</v>
      </c>
      <c r="F25" s="430">
        <f t="shared" ref="F25:F29" si="2">SUM(B25:E25)</f>
        <v>2138400</v>
      </c>
      <c r="G25" s="62"/>
      <c r="H25" s="52"/>
      <c r="I25" s="52"/>
      <c r="J25" s="52"/>
      <c r="K25" s="52"/>
    </row>
    <row r="26" spans="1:11">
      <c r="A26" s="429" t="s">
        <v>446</v>
      </c>
      <c r="B26" s="432">
        <v>2857500</v>
      </c>
      <c r="C26" s="432">
        <f>28291512+2857500</f>
        <v>31149012</v>
      </c>
      <c r="D26" s="432">
        <v>5143844</v>
      </c>
      <c r="E26" s="432">
        <v>4896849</v>
      </c>
      <c r="F26" s="430">
        <f t="shared" si="2"/>
        <v>44047205</v>
      </c>
      <c r="G26" s="63"/>
      <c r="H26" s="52"/>
      <c r="I26" s="52"/>
      <c r="J26" s="52"/>
      <c r="K26" s="52"/>
    </row>
    <row r="27" spans="1:11" ht="13.8">
      <c r="A27" s="429" t="s">
        <v>447</v>
      </c>
      <c r="B27" s="432"/>
      <c r="C27" s="432">
        <v>1120500</v>
      </c>
      <c r="D27" s="432"/>
      <c r="E27" s="432"/>
      <c r="F27" s="430">
        <f t="shared" si="2"/>
        <v>1120500</v>
      </c>
      <c r="G27" s="51"/>
      <c r="H27" s="52"/>
      <c r="I27" s="52"/>
      <c r="J27" s="52"/>
      <c r="K27" s="52"/>
    </row>
    <row r="28" spans="1:11">
      <c r="A28" s="429" t="s">
        <v>448</v>
      </c>
      <c r="B28" s="432"/>
      <c r="C28" s="432"/>
      <c r="D28" s="432"/>
      <c r="E28" s="432"/>
      <c r="F28" s="430">
        <f t="shared" si="2"/>
        <v>0</v>
      </c>
      <c r="G28" s="53"/>
      <c r="H28" s="52"/>
      <c r="I28" s="52"/>
      <c r="J28" s="52"/>
      <c r="K28" s="52"/>
    </row>
    <row r="29" spans="1:11">
      <c r="A29" s="429" t="s">
        <v>235</v>
      </c>
      <c r="B29" s="432"/>
      <c r="C29" s="432"/>
      <c r="D29" s="432"/>
      <c r="E29" s="432"/>
      <c r="F29" s="430">
        <f t="shared" si="2"/>
        <v>0</v>
      </c>
      <c r="G29" s="54"/>
      <c r="H29" s="52"/>
      <c r="I29" s="52"/>
      <c r="J29" s="52"/>
      <c r="K29" s="52"/>
    </row>
    <row r="30" spans="1:11" ht="13.8">
      <c r="A30" s="433" t="s">
        <v>449</v>
      </c>
      <c r="B30" s="434">
        <f>SUM(B15:B17)</f>
        <v>2857500</v>
      </c>
      <c r="C30" s="434">
        <f t="shared" ref="C30:F30" si="3">SUM(C15:C17)</f>
        <v>52968680</v>
      </c>
      <c r="D30" s="434">
        <f t="shared" si="3"/>
        <v>0</v>
      </c>
      <c r="E30" s="434">
        <f t="shared" si="3"/>
        <v>0</v>
      </c>
      <c r="F30" s="434">
        <f t="shared" si="3"/>
        <v>55826180</v>
      </c>
      <c r="G30" s="56"/>
      <c r="H30" s="52"/>
      <c r="I30" s="52"/>
      <c r="J30" s="52"/>
      <c r="K30" s="52"/>
    </row>
    <row r="31" spans="1:11" ht="27.6">
      <c r="A31" s="433" t="s">
        <v>450</v>
      </c>
      <c r="B31" s="434">
        <f>SUM(B18)</f>
        <v>0</v>
      </c>
      <c r="C31" s="434">
        <f>SUM(C18)</f>
        <v>0</v>
      </c>
      <c r="D31" s="434"/>
      <c r="E31" s="434"/>
      <c r="F31" s="435">
        <f>SUM(B31:C31)</f>
        <v>0</v>
      </c>
      <c r="G31" s="54"/>
      <c r="H31" s="52"/>
      <c r="I31" s="52"/>
      <c r="J31" s="52"/>
      <c r="K31" s="52"/>
    </row>
    <row r="32" spans="1:11" ht="13.8">
      <c r="A32" s="64"/>
      <c r="B32" s="65"/>
      <c r="C32" s="65"/>
      <c r="D32" s="65"/>
      <c r="E32" s="65"/>
      <c r="F32" s="66"/>
      <c r="G32" s="54"/>
      <c r="H32" s="52"/>
      <c r="I32" s="52"/>
      <c r="J32" s="52"/>
      <c r="K32" s="52"/>
    </row>
    <row r="33" spans="1:11">
      <c r="A33" s="49"/>
      <c r="B33" s="901"/>
      <c r="C33" s="901"/>
      <c r="D33" s="901"/>
      <c r="E33" s="901"/>
      <c r="F33" s="901"/>
      <c r="G33" s="54"/>
      <c r="H33" s="52"/>
      <c r="I33" s="52"/>
      <c r="J33" s="52"/>
      <c r="K33" s="52"/>
    </row>
    <row r="34" spans="1:11" ht="12.75" customHeight="1">
      <c r="A34" s="49" t="s">
        <v>431</v>
      </c>
      <c r="B34" s="902" t="s">
        <v>886</v>
      </c>
      <c r="C34" s="902"/>
      <c r="D34" s="902"/>
      <c r="E34" s="902"/>
      <c r="F34" s="902"/>
      <c r="G34" s="54"/>
      <c r="H34" s="52"/>
      <c r="I34" s="52"/>
      <c r="J34" s="52"/>
      <c r="K34" s="52"/>
    </row>
    <row r="35" spans="1:11" ht="12.75" customHeight="1">
      <c r="A35" s="49" t="s">
        <v>432</v>
      </c>
      <c r="B35" s="902" t="s">
        <v>887</v>
      </c>
      <c r="C35" s="902"/>
      <c r="D35" s="902"/>
      <c r="E35" s="902"/>
      <c r="F35" s="902"/>
      <c r="G35" s="54"/>
      <c r="H35" s="52"/>
      <c r="I35" s="52"/>
      <c r="J35" s="52"/>
      <c r="K35" s="52"/>
    </row>
    <row r="36" spans="1:11" ht="12.75" customHeight="1">
      <c r="A36" s="49" t="s">
        <v>897</v>
      </c>
      <c r="B36" s="902" t="s">
        <v>898</v>
      </c>
      <c r="C36" s="902"/>
      <c r="D36" s="902"/>
      <c r="E36" s="902"/>
      <c r="F36" s="610"/>
      <c r="G36" s="54"/>
      <c r="H36" s="52"/>
      <c r="I36" s="52"/>
      <c r="J36" s="52"/>
      <c r="K36" s="52"/>
    </row>
    <row r="37" spans="1:11" ht="15.6">
      <c r="A37" s="49" t="s">
        <v>901</v>
      </c>
      <c r="B37" s="901">
        <v>60000000</v>
      </c>
      <c r="C37" s="901"/>
      <c r="D37" s="178"/>
      <c r="E37" s="609"/>
      <c r="F37" s="50"/>
      <c r="G37" s="54"/>
      <c r="H37" s="52"/>
      <c r="I37" s="52"/>
      <c r="J37" s="52"/>
      <c r="K37" s="52"/>
    </row>
    <row r="38" spans="1:11" ht="15.6">
      <c r="A38" s="49" t="s">
        <v>890</v>
      </c>
      <c r="B38" s="901" t="s">
        <v>384</v>
      </c>
      <c r="C38" s="901"/>
      <c r="D38" s="178"/>
      <c r="E38" s="609"/>
      <c r="F38" s="50"/>
      <c r="G38" s="54"/>
      <c r="H38" s="52"/>
      <c r="I38" s="52"/>
      <c r="J38" s="52"/>
      <c r="K38" s="52"/>
    </row>
    <row r="39" spans="1:11" ht="15.6">
      <c r="A39" s="49" t="s">
        <v>433</v>
      </c>
      <c r="B39" s="903">
        <v>1</v>
      </c>
      <c r="C39" s="903"/>
      <c r="D39" s="608"/>
      <c r="E39" s="608"/>
      <c r="F39" s="50"/>
      <c r="G39" s="54"/>
      <c r="H39" s="52"/>
      <c r="I39" s="52"/>
      <c r="J39" s="52"/>
      <c r="K39" s="52"/>
    </row>
    <row r="40" spans="1:11" ht="15.6">
      <c r="A40" s="49" t="s">
        <v>434</v>
      </c>
      <c r="B40" s="899" t="s">
        <v>888</v>
      </c>
      <c r="C40" s="900"/>
      <c r="D40" s="611"/>
      <c r="E40" s="611"/>
      <c r="F40" s="50"/>
      <c r="G40" s="54"/>
      <c r="H40" s="52"/>
      <c r="I40" s="52"/>
      <c r="J40" s="52"/>
      <c r="K40" s="52"/>
    </row>
    <row r="41" spans="1:11" ht="15.6">
      <c r="A41" s="49" t="s">
        <v>435</v>
      </c>
      <c r="B41" s="899" t="s">
        <v>889</v>
      </c>
      <c r="C41" s="900"/>
      <c r="D41" s="611"/>
      <c r="E41" s="611"/>
      <c r="F41" s="50"/>
      <c r="G41" s="54"/>
      <c r="H41" s="52"/>
      <c r="I41" s="52"/>
      <c r="J41" s="52"/>
      <c r="K41" s="52"/>
    </row>
    <row r="42" spans="1:11">
      <c r="A42" s="58"/>
      <c r="B42" s="59"/>
      <c r="C42" s="59"/>
      <c r="D42" s="59"/>
      <c r="E42" s="60" t="s">
        <v>861</v>
      </c>
      <c r="G42" s="54"/>
      <c r="H42" s="52"/>
      <c r="I42" s="52"/>
      <c r="J42" s="52"/>
      <c r="K42" s="52"/>
    </row>
    <row r="43" spans="1:11" ht="26.4">
      <c r="A43" s="425" t="s">
        <v>267</v>
      </c>
      <c r="B43" s="426" t="s">
        <v>436</v>
      </c>
      <c r="C43" s="425" t="s">
        <v>437</v>
      </c>
      <c r="D43" s="425" t="s">
        <v>438</v>
      </c>
      <c r="E43" s="425" t="s">
        <v>408</v>
      </c>
      <c r="F43" s="54"/>
      <c r="G43" s="52"/>
      <c r="H43" s="52"/>
      <c r="I43" s="52"/>
      <c r="J43" s="52"/>
    </row>
    <row r="44" spans="1:11">
      <c r="A44" s="426" t="s">
        <v>439</v>
      </c>
      <c r="B44" s="427" t="s">
        <v>861</v>
      </c>
      <c r="C44" s="427">
        <v>60000000</v>
      </c>
      <c r="D44" s="427"/>
      <c r="E44" s="427">
        <f>SUM(B44:C44)</f>
        <v>60000000</v>
      </c>
      <c r="F44" s="54"/>
      <c r="G44" s="52"/>
      <c r="H44" s="52"/>
      <c r="I44" s="52"/>
      <c r="J44" s="52"/>
    </row>
    <row r="45" spans="1:11">
      <c r="A45" s="428" t="s">
        <v>440</v>
      </c>
      <c r="B45" s="428"/>
      <c r="C45" s="428"/>
      <c r="D45" s="428"/>
      <c r="E45" s="428"/>
      <c r="F45" s="54"/>
      <c r="G45" s="52"/>
      <c r="H45" s="52"/>
      <c r="I45" s="52"/>
      <c r="J45" s="52"/>
    </row>
    <row r="46" spans="1:11">
      <c r="A46" s="429" t="s">
        <v>441</v>
      </c>
      <c r="B46" s="430"/>
      <c r="C46" s="430">
        <v>60000000</v>
      </c>
      <c r="D46" s="430"/>
      <c r="E46" s="430">
        <f>SUM(B46:D46)</f>
        <v>60000000</v>
      </c>
      <c r="F46" s="62"/>
      <c r="G46" s="52"/>
      <c r="H46" s="52"/>
      <c r="I46" s="52"/>
      <c r="J46" s="52"/>
    </row>
    <row r="47" spans="1:11">
      <c r="A47" s="429"/>
      <c r="B47" s="430"/>
      <c r="C47" s="430"/>
      <c r="D47" s="430"/>
      <c r="E47" s="430"/>
      <c r="F47" s="67"/>
      <c r="G47" s="52"/>
      <c r="H47" s="52"/>
      <c r="I47" s="52"/>
      <c r="J47" s="52"/>
    </row>
    <row r="48" spans="1:11">
      <c r="A48" s="426" t="s">
        <v>444</v>
      </c>
      <c r="B48" s="431">
        <v>2603500</v>
      </c>
      <c r="C48" s="431">
        <v>1326968</v>
      </c>
      <c r="D48" s="431">
        <v>56069532</v>
      </c>
      <c r="E48" s="431">
        <v>60000000</v>
      </c>
      <c r="F48" s="69"/>
      <c r="G48" s="52"/>
      <c r="H48" s="52"/>
      <c r="I48" s="52"/>
      <c r="J48" s="52"/>
    </row>
    <row r="49" spans="1:10">
      <c r="A49" s="428" t="s">
        <v>440</v>
      </c>
      <c r="B49" s="428"/>
      <c r="C49" s="428"/>
      <c r="D49" s="428"/>
      <c r="E49" s="428"/>
      <c r="F49" s="52"/>
      <c r="G49" s="52"/>
      <c r="H49" s="52"/>
      <c r="I49" s="52"/>
      <c r="J49" s="52"/>
    </row>
    <row r="50" spans="1:10">
      <c r="A50" s="429" t="s">
        <v>445</v>
      </c>
      <c r="B50" s="432"/>
      <c r="C50" s="432"/>
      <c r="D50" s="432"/>
      <c r="E50" s="430"/>
    </row>
    <row r="51" spans="1:10" ht="26.4">
      <c r="A51" s="429" t="s">
        <v>206</v>
      </c>
      <c r="B51" s="432"/>
      <c r="C51" s="432"/>
      <c r="D51" s="432"/>
      <c r="E51" s="430"/>
    </row>
    <row r="52" spans="1:10">
      <c r="A52" s="429" t="s">
        <v>446</v>
      </c>
      <c r="B52" s="432">
        <v>2603500</v>
      </c>
      <c r="C52" s="432">
        <v>13269685</v>
      </c>
      <c r="D52" s="432">
        <v>1504768</v>
      </c>
      <c r="E52" s="430">
        <v>5435236</v>
      </c>
    </row>
    <row r="53" spans="1:10">
      <c r="A53" s="429" t="s">
        <v>447</v>
      </c>
      <c r="B53" s="432"/>
      <c r="C53" s="432" t="s">
        <v>861</v>
      </c>
      <c r="D53" s="432">
        <v>44900000</v>
      </c>
      <c r="E53" s="430">
        <f>SUM(B53:D53)</f>
        <v>44900000</v>
      </c>
    </row>
    <row r="54" spans="1:10">
      <c r="A54" s="429" t="s">
        <v>448</v>
      </c>
      <c r="B54" s="432"/>
      <c r="C54" s="432"/>
      <c r="D54" s="432"/>
      <c r="E54" s="430">
        <f>SUM(B54:D54)</f>
        <v>0</v>
      </c>
    </row>
    <row r="55" spans="1:10">
      <c r="A55" s="429" t="s">
        <v>235</v>
      </c>
      <c r="B55" s="432"/>
      <c r="C55" s="432"/>
      <c r="D55" s="432"/>
      <c r="E55" s="430">
        <f>SUM(B55:D55)</f>
        <v>0</v>
      </c>
    </row>
    <row r="56" spans="1:10" ht="13.8">
      <c r="A56" s="433" t="s">
        <v>449</v>
      </c>
      <c r="B56" s="434">
        <v>2603500</v>
      </c>
      <c r="C56" s="434">
        <v>1326968</v>
      </c>
      <c r="D56" s="434">
        <v>56069532</v>
      </c>
      <c r="E56" s="434">
        <f>SUM(E46:E46)</f>
        <v>60000000</v>
      </c>
    </row>
    <row r="57" spans="1:10" ht="27.6">
      <c r="A57" s="433" t="s">
        <v>450</v>
      </c>
      <c r="B57" s="434" t="s">
        <v>891</v>
      </c>
      <c r="C57" s="434" t="s">
        <v>861</v>
      </c>
      <c r="D57" s="434"/>
      <c r="E57" s="435" t="s">
        <v>861</v>
      </c>
    </row>
    <row r="58" spans="1:10" ht="13.8">
      <c r="A58" s="64"/>
      <c r="B58" s="65"/>
      <c r="C58" s="65"/>
      <c r="D58" s="65"/>
      <c r="E58" s="65"/>
      <c r="F58" s="66"/>
    </row>
    <row r="60" spans="1:10" ht="12.75" customHeight="1">
      <c r="A60" s="49" t="s">
        <v>431</v>
      </c>
      <c r="B60" s="902" t="s">
        <v>892</v>
      </c>
      <c r="C60" s="902"/>
      <c r="D60" s="902"/>
      <c r="E60" s="902"/>
      <c r="F60" s="902"/>
    </row>
    <row r="61" spans="1:10" ht="12.75" customHeight="1">
      <c r="A61" s="49" t="s">
        <v>432</v>
      </c>
      <c r="B61" s="902" t="s">
        <v>893</v>
      </c>
      <c r="C61" s="902"/>
      <c r="D61" s="902"/>
      <c r="E61" s="902"/>
      <c r="F61" s="902"/>
    </row>
    <row r="62" spans="1:10" ht="12.75" customHeight="1">
      <c r="A62" s="49" t="s">
        <v>897</v>
      </c>
      <c r="B62" s="902" t="s">
        <v>899</v>
      </c>
      <c r="C62" s="902"/>
      <c r="D62" s="902"/>
      <c r="E62" s="902"/>
      <c r="F62" s="610"/>
    </row>
    <row r="63" spans="1:10" ht="15.6">
      <c r="A63" s="49" t="s">
        <v>901</v>
      </c>
      <c r="B63" s="901">
        <v>90000</v>
      </c>
      <c r="C63" s="901"/>
      <c r="D63" s="178"/>
      <c r="E63" s="609"/>
      <c r="F63" s="50"/>
    </row>
    <row r="64" spans="1:10" ht="15.75" customHeight="1">
      <c r="A64" s="49" t="s">
        <v>890</v>
      </c>
      <c r="B64" s="901" t="s">
        <v>384</v>
      </c>
      <c r="C64" s="901"/>
      <c r="D64" s="178"/>
      <c r="E64" s="609"/>
      <c r="F64" s="50"/>
    </row>
    <row r="65" spans="1:6" ht="15.75" customHeight="1">
      <c r="A65" s="49" t="s">
        <v>433</v>
      </c>
      <c r="B65" s="903">
        <v>1</v>
      </c>
      <c r="C65" s="903"/>
      <c r="D65" s="608"/>
      <c r="E65" s="608"/>
      <c r="F65" s="50"/>
    </row>
    <row r="66" spans="1:6" ht="15.6">
      <c r="A66" s="49" t="s">
        <v>434</v>
      </c>
      <c r="B66" s="899">
        <v>42917</v>
      </c>
      <c r="C66" s="900"/>
      <c r="D66" s="611"/>
      <c r="E66" s="611"/>
      <c r="F66" s="50"/>
    </row>
    <row r="67" spans="1:6" ht="15.6">
      <c r="A67" s="49" t="s">
        <v>435</v>
      </c>
      <c r="B67" s="899">
        <v>43465</v>
      </c>
      <c r="C67" s="900"/>
      <c r="D67" s="611"/>
      <c r="E67" s="611"/>
      <c r="F67" s="50"/>
    </row>
    <row r="68" spans="1:6">
      <c r="A68" s="58"/>
      <c r="B68" s="59"/>
      <c r="C68" s="59"/>
      <c r="D68" s="59"/>
      <c r="E68" s="60" t="s">
        <v>861</v>
      </c>
    </row>
    <row r="69" spans="1:6" ht="26.4">
      <c r="A69" s="425" t="s">
        <v>267</v>
      </c>
      <c r="B69" s="426" t="s">
        <v>436</v>
      </c>
      <c r="C69" s="425" t="s">
        <v>437</v>
      </c>
      <c r="D69" s="425" t="s">
        <v>438</v>
      </c>
      <c r="E69" s="425" t="s">
        <v>408</v>
      </c>
      <c r="F69" s="54"/>
    </row>
    <row r="70" spans="1:6">
      <c r="A70" s="426" t="s">
        <v>439</v>
      </c>
      <c r="B70" s="427" t="s">
        <v>861</v>
      </c>
      <c r="C70" s="427">
        <v>90000000</v>
      </c>
      <c r="D70" s="427"/>
      <c r="E70" s="427">
        <f>SUM(B70:C70)</f>
        <v>90000000</v>
      </c>
      <c r="F70" s="54"/>
    </row>
    <row r="71" spans="1:6">
      <c r="A71" s="428" t="s">
        <v>440</v>
      </c>
      <c r="B71" s="428"/>
      <c r="C71" s="428"/>
      <c r="D71" s="428"/>
      <c r="E71" s="428"/>
      <c r="F71" s="54"/>
    </row>
    <row r="72" spans="1:6">
      <c r="A72" s="429" t="s">
        <v>441</v>
      </c>
      <c r="B72" s="430"/>
      <c r="C72" s="430">
        <v>90000000</v>
      </c>
      <c r="D72" s="430"/>
      <c r="E72" s="430">
        <f>SUM(B72:D72)</f>
        <v>90000000</v>
      </c>
      <c r="F72" s="62"/>
    </row>
    <row r="73" spans="1:6">
      <c r="A73" s="429"/>
      <c r="B73" s="430"/>
      <c r="C73" s="430"/>
      <c r="D73" s="430"/>
      <c r="E73" s="430"/>
      <c r="F73" s="67"/>
    </row>
    <row r="74" spans="1:6">
      <c r="A74" s="426" t="s">
        <v>444</v>
      </c>
      <c r="B74" s="431">
        <v>4424000</v>
      </c>
      <c r="C74" s="431">
        <v>2529997</v>
      </c>
      <c r="D74" s="431">
        <v>83046003</v>
      </c>
      <c r="E74" s="431">
        <v>90000000</v>
      </c>
      <c r="F74" s="69"/>
    </row>
    <row r="75" spans="1:6">
      <c r="A75" s="428" t="s">
        <v>440</v>
      </c>
      <c r="B75" s="428"/>
      <c r="C75" s="428"/>
      <c r="D75" s="428"/>
      <c r="E75" s="428"/>
      <c r="F75" s="52"/>
    </row>
    <row r="76" spans="1:6">
      <c r="A76" s="429" t="s">
        <v>445</v>
      </c>
      <c r="B76" s="432"/>
      <c r="C76" s="432"/>
      <c r="D76" s="432"/>
      <c r="E76" s="430"/>
    </row>
    <row r="77" spans="1:6" ht="26.4">
      <c r="A77" s="429" t="s">
        <v>206</v>
      </c>
      <c r="B77" s="432"/>
      <c r="C77" s="432"/>
      <c r="D77" s="432"/>
      <c r="E77" s="430"/>
    </row>
    <row r="78" spans="1:6">
      <c r="A78" s="429" t="s">
        <v>446</v>
      </c>
      <c r="B78" s="432">
        <v>4424000</v>
      </c>
      <c r="C78" s="432">
        <v>2529997</v>
      </c>
      <c r="D78" s="432">
        <v>1630000</v>
      </c>
      <c r="E78" s="430">
        <v>8583997</v>
      </c>
    </row>
    <row r="79" spans="1:6">
      <c r="A79" s="429" t="s">
        <v>447</v>
      </c>
      <c r="B79" s="432"/>
      <c r="C79" s="432" t="s">
        <v>861</v>
      </c>
      <c r="D79" s="432">
        <v>78929513</v>
      </c>
      <c r="E79" s="430">
        <v>78929513</v>
      </c>
    </row>
    <row r="80" spans="1:6">
      <c r="A80" s="429" t="s">
        <v>894</v>
      </c>
      <c r="B80" s="432"/>
      <c r="C80" s="432"/>
      <c r="D80" s="432">
        <v>2486490</v>
      </c>
      <c r="E80" s="430">
        <v>2486490</v>
      </c>
    </row>
    <row r="81" spans="1:6">
      <c r="A81" s="429" t="s">
        <v>448</v>
      </c>
      <c r="B81" s="432"/>
      <c r="C81" s="432"/>
      <c r="D81" s="432"/>
      <c r="E81" s="430">
        <f>SUM(B81:D81)</f>
        <v>0</v>
      </c>
    </row>
    <row r="82" spans="1:6">
      <c r="A82" s="429" t="s">
        <v>235</v>
      </c>
      <c r="B82" s="432"/>
      <c r="C82" s="432"/>
      <c r="D82" s="432"/>
      <c r="E82" s="430">
        <f>SUM(B82:D82)</f>
        <v>0</v>
      </c>
    </row>
    <row r="83" spans="1:6" ht="13.8">
      <c r="A83" s="433" t="s">
        <v>449</v>
      </c>
      <c r="B83" s="434">
        <v>4424000</v>
      </c>
      <c r="C83" s="434">
        <v>2529997</v>
      </c>
      <c r="D83" s="434">
        <v>83046003</v>
      </c>
      <c r="E83" s="434">
        <f>SUM(E72:E72)</f>
        <v>90000000</v>
      </c>
    </row>
    <row r="84" spans="1:6" ht="27.6">
      <c r="A84" s="433" t="s">
        <v>450</v>
      </c>
      <c r="B84" s="434" t="s">
        <v>891</v>
      </c>
      <c r="C84" s="434" t="s">
        <v>861</v>
      </c>
      <c r="D84" s="434"/>
      <c r="E84" s="435" t="s">
        <v>861</v>
      </c>
    </row>
    <row r="85" spans="1:6" ht="13.8">
      <c r="A85" s="64"/>
      <c r="B85" s="65"/>
      <c r="C85" s="65"/>
      <c r="D85" s="65"/>
      <c r="E85" s="65"/>
      <c r="F85" s="66"/>
    </row>
    <row r="87" spans="1:6">
      <c r="A87" s="49" t="s">
        <v>431</v>
      </c>
      <c r="B87" s="902" t="s">
        <v>895</v>
      </c>
      <c r="C87" s="902"/>
      <c r="D87" s="902"/>
      <c r="E87" s="902"/>
      <c r="F87" s="902"/>
    </row>
    <row r="88" spans="1:6">
      <c r="A88" s="49" t="s">
        <v>432</v>
      </c>
      <c r="B88" s="902" t="s">
        <v>896</v>
      </c>
      <c r="C88" s="902"/>
      <c r="D88" s="902"/>
      <c r="E88" s="902"/>
      <c r="F88" s="902"/>
    </row>
    <row r="89" spans="1:6">
      <c r="A89" s="49" t="s">
        <v>897</v>
      </c>
      <c r="B89" s="902" t="s">
        <v>900</v>
      </c>
      <c r="C89" s="902"/>
      <c r="D89" s="902"/>
      <c r="E89" s="902"/>
      <c r="F89" s="610"/>
    </row>
    <row r="90" spans="1:6" ht="15.6">
      <c r="A90" s="49" t="s">
        <v>901</v>
      </c>
      <c r="B90" s="901">
        <v>60348839</v>
      </c>
      <c r="C90" s="901"/>
      <c r="D90" s="178"/>
      <c r="E90" s="609"/>
      <c r="F90" s="50"/>
    </row>
    <row r="91" spans="1:6" ht="15.6">
      <c r="A91" s="49" t="s">
        <v>890</v>
      </c>
      <c r="B91" s="901" t="s">
        <v>384</v>
      </c>
      <c r="C91" s="901"/>
      <c r="D91" s="178"/>
      <c r="E91" s="609"/>
      <c r="F91" s="50"/>
    </row>
    <row r="92" spans="1:6" ht="15.6">
      <c r="A92" s="49" t="s">
        <v>433</v>
      </c>
      <c r="B92" s="903">
        <v>1</v>
      </c>
      <c r="C92" s="903"/>
      <c r="D92" s="608"/>
      <c r="E92" s="608"/>
      <c r="F92" s="50"/>
    </row>
    <row r="93" spans="1:6" ht="15.6">
      <c r="A93" s="49" t="s">
        <v>434</v>
      </c>
      <c r="B93" s="899" t="s">
        <v>888</v>
      </c>
      <c r="C93" s="900"/>
      <c r="D93" s="611"/>
      <c r="E93" s="611"/>
      <c r="F93" s="50"/>
    </row>
    <row r="94" spans="1:6" ht="12.75" customHeight="1">
      <c r="A94" s="49" t="s">
        <v>435</v>
      </c>
      <c r="B94" s="899" t="s">
        <v>889</v>
      </c>
      <c r="C94" s="900"/>
      <c r="D94" s="611"/>
      <c r="E94" s="611"/>
      <c r="F94" s="50"/>
    </row>
    <row r="95" spans="1:6" ht="12.75" customHeight="1">
      <c r="A95" s="58"/>
      <c r="B95" s="59"/>
      <c r="C95" s="59"/>
      <c r="D95" s="59"/>
      <c r="E95" s="60" t="s">
        <v>861</v>
      </c>
    </row>
    <row r="96" spans="1:6" ht="26.4">
      <c r="A96" s="425" t="s">
        <v>267</v>
      </c>
      <c r="B96" s="426" t="s">
        <v>436</v>
      </c>
      <c r="C96" s="425" t="s">
        <v>437</v>
      </c>
      <c r="D96" s="425" t="s">
        <v>438</v>
      </c>
      <c r="E96" s="425" t="s">
        <v>408</v>
      </c>
      <c r="F96" s="54"/>
    </row>
    <row r="97" spans="1:6" ht="15.75" customHeight="1">
      <c r="A97" s="426" t="s">
        <v>439</v>
      </c>
      <c r="B97" s="427" t="s">
        <v>861</v>
      </c>
      <c r="C97" s="427">
        <v>60348839</v>
      </c>
      <c r="D97" s="427"/>
      <c r="E97" s="427">
        <f>SUM(B97:C97)</f>
        <v>60348839</v>
      </c>
      <c r="F97" s="54"/>
    </row>
    <row r="98" spans="1:6" ht="15.75" customHeight="1">
      <c r="A98" s="428" t="s">
        <v>440</v>
      </c>
      <c r="B98" s="428"/>
      <c r="C98" s="428"/>
      <c r="D98" s="428"/>
      <c r="E98" s="428"/>
      <c r="F98" s="54"/>
    </row>
    <row r="99" spans="1:6">
      <c r="A99" s="429" t="s">
        <v>441</v>
      </c>
      <c r="B99" s="430"/>
      <c r="C99" s="430">
        <v>60348839</v>
      </c>
      <c r="D99" s="430"/>
      <c r="E99" s="430">
        <f>SUM(B99:D99)</f>
        <v>60348839</v>
      </c>
      <c r="F99" s="62"/>
    </row>
    <row r="100" spans="1:6">
      <c r="A100" s="429"/>
      <c r="B100" s="430"/>
      <c r="C100" s="430"/>
      <c r="D100" s="430"/>
      <c r="E100" s="430"/>
      <c r="F100" s="67"/>
    </row>
    <row r="101" spans="1:6">
      <c r="A101" s="426" t="s">
        <v>444</v>
      </c>
      <c r="B101" s="431">
        <v>2976999</v>
      </c>
      <c r="C101" s="431">
        <v>2365140</v>
      </c>
      <c r="D101" s="431">
        <v>55006700</v>
      </c>
      <c r="E101" s="431">
        <v>60348839</v>
      </c>
      <c r="F101" s="69"/>
    </row>
    <row r="102" spans="1:6">
      <c r="A102" s="428" t="s">
        <v>440</v>
      </c>
      <c r="B102" s="428"/>
      <c r="C102" s="428"/>
      <c r="D102" s="428"/>
      <c r="E102" s="428"/>
      <c r="F102" s="52"/>
    </row>
    <row r="103" spans="1:6">
      <c r="A103" s="429" t="s">
        <v>445</v>
      </c>
      <c r="B103" s="432"/>
      <c r="C103" s="432"/>
      <c r="D103" s="432"/>
      <c r="E103" s="430"/>
    </row>
    <row r="104" spans="1:6" ht="26.4">
      <c r="A104" s="429" t="s">
        <v>206</v>
      </c>
      <c r="B104" s="432"/>
      <c r="C104" s="432"/>
      <c r="D104" s="432"/>
      <c r="E104" s="430"/>
    </row>
    <row r="105" spans="1:6">
      <c r="A105" s="429" t="s">
        <v>446</v>
      </c>
      <c r="B105" s="432">
        <v>2976999</v>
      </c>
      <c r="C105" s="432">
        <v>1412640</v>
      </c>
      <c r="D105" s="432">
        <v>1412610</v>
      </c>
      <c r="E105" s="430">
        <v>5802249</v>
      </c>
    </row>
    <row r="106" spans="1:6">
      <c r="A106" s="429" t="s">
        <v>447</v>
      </c>
      <c r="B106" s="432"/>
      <c r="C106" s="432">
        <v>952500</v>
      </c>
      <c r="D106" s="432">
        <v>53346350</v>
      </c>
      <c r="E106" s="430">
        <f>SUM(B106:D106)</f>
        <v>54298850</v>
      </c>
    </row>
    <row r="107" spans="1:6">
      <c r="A107" s="429" t="s">
        <v>902</v>
      </c>
      <c r="B107" s="432"/>
      <c r="C107" s="432"/>
      <c r="D107" s="432">
        <v>247740</v>
      </c>
      <c r="E107" s="430">
        <v>247740</v>
      </c>
    </row>
    <row r="108" spans="1:6">
      <c r="A108" s="429" t="s">
        <v>448</v>
      </c>
      <c r="B108" s="432"/>
      <c r="C108" s="432"/>
      <c r="D108" s="432"/>
      <c r="E108" s="430">
        <f>SUM(B108:D108)</f>
        <v>0</v>
      </c>
    </row>
    <row r="109" spans="1:6">
      <c r="A109" s="429" t="s">
        <v>235</v>
      </c>
      <c r="B109" s="432"/>
      <c r="C109" s="432"/>
      <c r="D109" s="432"/>
      <c r="E109" s="430">
        <f>SUM(B109:D109)</f>
        <v>0</v>
      </c>
    </row>
    <row r="110" spans="1:6" ht="13.8">
      <c r="A110" s="433" t="s">
        <v>449</v>
      </c>
      <c r="B110" s="434">
        <v>2976999</v>
      </c>
      <c r="C110" s="434">
        <v>2365140</v>
      </c>
      <c r="D110" s="434">
        <v>55006700</v>
      </c>
      <c r="E110" s="434">
        <v>60348839</v>
      </c>
    </row>
    <row r="111" spans="1:6" ht="27.6">
      <c r="A111" s="433" t="s">
        <v>450</v>
      </c>
      <c r="B111" s="434" t="s">
        <v>891</v>
      </c>
      <c r="C111" s="434" t="s">
        <v>861</v>
      </c>
      <c r="D111" s="434"/>
      <c r="E111" s="435" t="s">
        <v>861</v>
      </c>
    </row>
    <row r="112" spans="1:6" ht="13.8">
      <c r="A112" s="64"/>
      <c r="B112" s="65"/>
      <c r="C112" s="65"/>
      <c r="D112" s="65"/>
      <c r="E112" s="65"/>
      <c r="F112" s="66"/>
    </row>
    <row r="113" spans="1:7">
      <c r="A113" s="49" t="s">
        <v>431</v>
      </c>
      <c r="B113" s="902" t="s">
        <v>903</v>
      </c>
      <c r="C113" s="902"/>
      <c r="D113" s="902"/>
      <c r="E113" s="902"/>
      <c r="F113" s="902"/>
    </row>
    <row r="114" spans="1:7">
      <c r="A114" s="49" t="s">
        <v>432</v>
      </c>
      <c r="B114" s="902" t="s">
        <v>904</v>
      </c>
      <c r="C114" s="902"/>
      <c r="D114" s="902"/>
      <c r="E114" s="902"/>
      <c r="F114" s="902"/>
    </row>
    <row r="115" spans="1:7">
      <c r="A115" s="49" t="s">
        <v>897</v>
      </c>
      <c r="B115" s="902" t="s">
        <v>905</v>
      </c>
      <c r="C115" s="902"/>
      <c r="D115" s="902"/>
      <c r="E115" s="902"/>
      <c r="F115" s="610"/>
    </row>
    <row r="116" spans="1:7" ht="15.6">
      <c r="A116" s="49" t="s">
        <v>901</v>
      </c>
      <c r="B116" s="901">
        <v>448162650</v>
      </c>
      <c r="C116" s="901"/>
      <c r="D116" s="178"/>
      <c r="E116" s="609"/>
      <c r="F116" s="50"/>
    </row>
    <row r="117" spans="1:7" ht="15.6">
      <c r="A117" s="49" t="s">
        <v>890</v>
      </c>
      <c r="B117" s="901" t="s">
        <v>384</v>
      </c>
      <c r="C117" s="901"/>
      <c r="D117" s="178"/>
      <c r="E117" s="609"/>
      <c r="F117" s="50"/>
    </row>
    <row r="118" spans="1:7" ht="15.6">
      <c r="A118" s="49" t="s">
        <v>612</v>
      </c>
      <c r="B118" s="901" t="s">
        <v>906</v>
      </c>
      <c r="C118" s="901"/>
      <c r="D118" s="901"/>
      <c r="E118" s="901"/>
      <c r="F118" s="50"/>
    </row>
    <row r="119" spans="1:7" ht="15.6">
      <c r="A119" s="49" t="s">
        <v>433</v>
      </c>
      <c r="B119" s="903">
        <v>1</v>
      </c>
      <c r="C119" s="903"/>
      <c r="D119" s="608"/>
      <c r="E119" s="608"/>
      <c r="F119" s="50"/>
    </row>
    <row r="120" spans="1:7" ht="15.6">
      <c r="A120" s="49" t="s">
        <v>434</v>
      </c>
      <c r="B120" s="899" t="s">
        <v>888</v>
      </c>
      <c r="C120" s="900"/>
      <c r="D120" s="611"/>
      <c r="E120" s="611"/>
      <c r="F120" s="50"/>
    </row>
    <row r="121" spans="1:7" ht="15.6">
      <c r="A121" s="49" t="s">
        <v>435</v>
      </c>
      <c r="B121" s="899">
        <v>43646</v>
      </c>
      <c r="C121" s="900"/>
      <c r="D121" s="611"/>
      <c r="E121" s="611"/>
      <c r="F121" s="50"/>
    </row>
    <row r="122" spans="1:7">
      <c r="A122" s="58"/>
      <c r="B122" s="59"/>
      <c r="C122" s="59"/>
      <c r="D122" s="59"/>
      <c r="E122" s="59"/>
      <c r="F122" s="60" t="s">
        <v>861</v>
      </c>
    </row>
    <row r="123" spans="1:7" ht="26.4">
      <c r="A123" s="425" t="s">
        <v>267</v>
      </c>
      <c r="B123" s="426" t="s">
        <v>436</v>
      </c>
      <c r="C123" s="425" t="s">
        <v>437</v>
      </c>
      <c r="D123" s="425" t="s">
        <v>438</v>
      </c>
      <c r="E123" s="425" t="s">
        <v>609</v>
      </c>
      <c r="F123" s="425" t="s">
        <v>408</v>
      </c>
      <c r="G123" s="54"/>
    </row>
    <row r="124" spans="1:7">
      <c r="A124" s="426" t="s">
        <v>439</v>
      </c>
      <c r="B124" s="427" t="s">
        <v>861</v>
      </c>
      <c r="C124" s="427">
        <v>448010250</v>
      </c>
      <c r="D124" s="427"/>
      <c r="E124" s="427"/>
      <c r="F124" s="427">
        <f>SUM(B124:C124)</f>
        <v>448010250</v>
      </c>
      <c r="G124" s="54"/>
    </row>
    <row r="125" spans="1:7">
      <c r="A125" s="428" t="s">
        <v>440</v>
      </c>
      <c r="B125" s="428"/>
      <c r="C125" s="428"/>
      <c r="D125" s="428"/>
      <c r="E125" s="428"/>
      <c r="F125" s="428"/>
      <c r="G125" s="54"/>
    </row>
    <row r="126" spans="1:7">
      <c r="A126" s="429" t="s">
        <v>441</v>
      </c>
      <c r="B126" s="430"/>
      <c r="C126" s="430">
        <v>448010250</v>
      </c>
      <c r="D126" s="430"/>
      <c r="E126" s="430"/>
      <c r="F126" s="430">
        <f>SUM(B126:D126)</f>
        <v>448010250</v>
      </c>
      <c r="G126" s="62"/>
    </row>
    <row r="127" spans="1:7" ht="12.75" customHeight="1">
      <c r="A127" s="429"/>
      <c r="B127" s="430"/>
      <c r="C127" s="430"/>
      <c r="D127" s="430"/>
      <c r="E127" s="430"/>
      <c r="F127" s="430"/>
      <c r="G127" s="67"/>
    </row>
    <row r="128" spans="1:7" ht="12.75" customHeight="1">
      <c r="A128" s="426" t="s">
        <v>444</v>
      </c>
      <c r="B128" s="431" t="s">
        <v>861</v>
      </c>
      <c r="C128" s="431">
        <v>31406333</v>
      </c>
      <c r="D128" s="431">
        <v>203827658</v>
      </c>
      <c r="E128" s="431">
        <v>212776259</v>
      </c>
      <c r="F128" s="431">
        <f>SUM(C128:E128)</f>
        <v>448010250</v>
      </c>
      <c r="G128" s="69"/>
    </row>
    <row r="129" spans="1:7">
      <c r="A129" s="428" t="s">
        <v>440</v>
      </c>
      <c r="B129" s="428"/>
      <c r="C129" s="428"/>
      <c r="D129" s="428"/>
      <c r="E129" s="428"/>
      <c r="F129" s="431">
        <f t="shared" ref="F129:F138" si="4">SUM(C129:E129)</f>
        <v>0</v>
      </c>
      <c r="G129" s="52"/>
    </row>
    <row r="130" spans="1:7" ht="15.75" customHeight="1">
      <c r="A130" s="429" t="s">
        <v>445</v>
      </c>
      <c r="B130" s="432"/>
      <c r="C130" s="432"/>
      <c r="D130" s="432"/>
      <c r="E130" s="432"/>
      <c r="F130" s="431">
        <f t="shared" si="4"/>
        <v>0</v>
      </c>
    </row>
    <row r="131" spans="1:7" ht="15.75" customHeight="1">
      <c r="A131" s="429" t="s">
        <v>206</v>
      </c>
      <c r="B131" s="432"/>
      <c r="C131" s="432"/>
      <c r="D131" s="432"/>
      <c r="E131" s="432"/>
      <c r="F131" s="431">
        <f t="shared" si="4"/>
        <v>0</v>
      </c>
    </row>
    <row r="132" spans="1:7">
      <c r="A132" s="429" t="s">
        <v>446</v>
      </c>
      <c r="B132" s="432" t="s">
        <v>861</v>
      </c>
      <c r="C132" s="432">
        <v>31406333</v>
      </c>
      <c r="D132" s="432">
        <v>6091833</v>
      </c>
      <c r="E132" s="432">
        <v>15040434</v>
      </c>
      <c r="F132" s="431">
        <f t="shared" si="4"/>
        <v>52538600</v>
      </c>
    </row>
    <row r="133" spans="1:7">
      <c r="A133" s="429" t="s">
        <v>447</v>
      </c>
      <c r="B133" s="432"/>
      <c r="C133" s="432" t="s">
        <v>861</v>
      </c>
      <c r="D133" s="432">
        <v>197735825</v>
      </c>
      <c r="E133" s="432">
        <v>197735825</v>
      </c>
      <c r="F133" s="431">
        <f t="shared" si="4"/>
        <v>395471650</v>
      </c>
    </row>
    <row r="134" spans="1:7">
      <c r="A134" s="429" t="s">
        <v>902</v>
      </c>
      <c r="B134" s="432"/>
      <c r="C134" s="432"/>
      <c r="D134" s="432">
        <v>247740</v>
      </c>
      <c r="E134" s="432"/>
      <c r="F134" s="431">
        <f t="shared" si="4"/>
        <v>247740</v>
      </c>
    </row>
    <row r="135" spans="1:7">
      <c r="A135" s="429" t="s">
        <v>448</v>
      </c>
      <c r="B135" s="432"/>
      <c r="C135" s="432"/>
      <c r="D135" s="432"/>
      <c r="E135" s="432"/>
      <c r="F135" s="431">
        <f t="shared" si="4"/>
        <v>0</v>
      </c>
    </row>
    <row r="136" spans="1:7">
      <c r="A136" s="429" t="s">
        <v>235</v>
      </c>
      <c r="B136" s="432"/>
      <c r="C136" s="432"/>
      <c r="D136" s="432"/>
      <c r="E136" s="432"/>
      <c r="F136" s="431">
        <f t="shared" si="4"/>
        <v>0</v>
      </c>
    </row>
    <row r="137" spans="1:7" ht="13.8">
      <c r="A137" s="433" t="s">
        <v>449</v>
      </c>
      <c r="B137" s="434" t="s">
        <v>861</v>
      </c>
      <c r="C137" s="434">
        <v>31406333</v>
      </c>
      <c r="D137" s="434">
        <v>203827658</v>
      </c>
      <c r="E137" s="434">
        <v>212776259</v>
      </c>
      <c r="F137" s="431">
        <f t="shared" si="4"/>
        <v>448010250</v>
      </c>
    </row>
    <row r="138" spans="1:7" ht="27.6">
      <c r="A138" s="433" t="s">
        <v>450</v>
      </c>
      <c r="B138" s="434" t="s">
        <v>891</v>
      </c>
      <c r="C138" s="434" t="s">
        <v>861</v>
      </c>
      <c r="D138" s="434"/>
      <c r="E138" s="434"/>
      <c r="F138" s="431">
        <f t="shared" si="4"/>
        <v>0</v>
      </c>
    </row>
    <row r="139" spans="1:7" ht="13.8">
      <c r="A139" s="64"/>
      <c r="B139" s="65"/>
      <c r="C139" s="65"/>
      <c r="D139" s="65"/>
      <c r="E139" s="65"/>
      <c r="F139" s="66"/>
    </row>
    <row r="141" spans="1:7">
      <c r="A141" s="49" t="s">
        <v>431</v>
      </c>
      <c r="B141" s="902" t="s">
        <v>907</v>
      </c>
      <c r="C141" s="902"/>
      <c r="D141" s="902"/>
      <c r="E141" s="902"/>
      <c r="F141" s="902"/>
    </row>
    <row r="142" spans="1:7">
      <c r="A142" s="49" t="s">
        <v>432</v>
      </c>
      <c r="B142" s="902" t="s">
        <v>908</v>
      </c>
      <c r="C142" s="902"/>
      <c r="D142" s="902"/>
      <c r="E142" s="902"/>
      <c r="F142" s="902"/>
    </row>
    <row r="143" spans="1:7">
      <c r="A143" s="49" t="s">
        <v>897</v>
      </c>
      <c r="B143" s="902" t="s">
        <v>909</v>
      </c>
      <c r="C143" s="902"/>
      <c r="D143" s="902"/>
      <c r="E143" s="902"/>
      <c r="F143" s="610"/>
    </row>
    <row r="144" spans="1:7" ht="15.6">
      <c r="A144" s="49" t="s">
        <v>901</v>
      </c>
      <c r="B144" s="901">
        <v>499444098</v>
      </c>
      <c r="C144" s="901"/>
      <c r="D144" s="178"/>
      <c r="E144" s="609"/>
      <c r="F144" s="50"/>
    </row>
    <row r="145" spans="1:8" ht="15.6">
      <c r="A145" s="49" t="s">
        <v>890</v>
      </c>
      <c r="B145" s="901" t="s">
        <v>384</v>
      </c>
      <c r="C145" s="901"/>
      <c r="D145" s="178"/>
      <c r="E145" s="609"/>
      <c r="F145" s="50"/>
    </row>
    <row r="146" spans="1:8" ht="15.6">
      <c r="A146" s="49" t="s">
        <v>433</v>
      </c>
      <c r="B146" s="903">
        <v>1</v>
      </c>
      <c r="C146" s="903"/>
      <c r="D146" s="608"/>
      <c r="E146" s="608"/>
      <c r="F146" s="50"/>
    </row>
    <row r="147" spans="1:8" ht="15.6">
      <c r="A147" s="49" t="s">
        <v>434</v>
      </c>
      <c r="B147" s="899" t="s">
        <v>888</v>
      </c>
      <c r="C147" s="900"/>
      <c r="D147" s="611"/>
      <c r="E147" s="611"/>
      <c r="F147" s="50"/>
    </row>
    <row r="148" spans="1:8" ht="15.6">
      <c r="A148" s="49" t="s">
        <v>435</v>
      </c>
      <c r="B148" s="899">
        <v>43951</v>
      </c>
      <c r="C148" s="900"/>
      <c r="D148" s="611"/>
      <c r="E148" s="611"/>
      <c r="F148" s="50"/>
    </row>
    <row r="149" spans="1:8">
      <c r="A149" s="58"/>
      <c r="B149" s="59"/>
      <c r="C149" s="59"/>
      <c r="D149" s="59"/>
      <c r="E149" s="60" t="s">
        <v>861</v>
      </c>
    </row>
    <row r="150" spans="1:8" ht="26.4">
      <c r="A150" s="425" t="s">
        <v>267</v>
      </c>
      <c r="B150" s="426" t="s">
        <v>436</v>
      </c>
      <c r="C150" s="425" t="s">
        <v>437</v>
      </c>
      <c r="D150" s="425" t="s">
        <v>438</v>
      </c>
      <c r="E150" s="425" t="s">
        <v>609</v>
      </c>
      <c r="F150" s="425" t="s">
        <v>910</v>
      </c>
      <c r="G150" s="425" t="s">
        <v>408</v>
      </c>
      <c r="H150" s="54"/>
    </row>
    <row r="151" spans="1:8">
      <c r="A151" s="426" t="s">
        <v>439</v>
      </c>
      <c r="B151" s="427" t="s">
        <v>861</v>
      </c>
      <c r="C151" s="427">
        <v>499444098</v>
      </c>
      <c r="D151" s="427"/>
      <c r="E151" s="427"/>
      <c r="F151" s="427"/>
      <c r="G151" s="427">
        <f>SUM(B151:C151)</f>
        <v>499444098</v>
      </c>
      <c r="H151" s="54"/>
    </row>
    <row r="152" spans="1:8">
      <c r="A152" s="428" t="s">
        <v>440</v>
      </c>
      <c r="B152" s="428"/>
      <c r="C152" s="428"/>
      <c r="D152" s="428"/>
      <c r="E152" s="428"/>
      <c r="F152" s="428"/>
      <c r="G152" s="428"/>
      <c r="H152" s="54"/>
    </row>
    <row r="153" spans="1:8">
      <c r="A153" s="429" t="s">
        <v>441</v>
      </c>
      <c r="B153" s="430"/>
      <c r="C153" s="430">
        <v>499444098</v>
      </c>
      <c r="D153" s="430"/>
      <c r="E153" s="430"/>
      <c r="F153" s="430"/>
      <c r="G153" s="430">
        <f>SUM(B153:D153)</f>
        <v>499444098</v>
      </c>
      <c r="H153" s="62"/>
    </row>
    <row r="154" spans="1:8">
      <c r="A154" s="429"/>
      <c r="B154" s="430"/>
      <c r="C154" s="430"/>
      <c r="D154" s="430"/>
      <c r="E154" s="430"/>
      <c r="F154" s="430"/>
      <c r="G154" s="430"/>
      <c r="H154" s="67"/>
    </row>
    <row r="155" spans="1:8">
      <c r="A155" s="426" t="s">
        <v>444</v>
      </c>
      <c r="B155" s="431">
        <v>5150500</v>
      </c>
      <c r="C155" s="431">
        <v>13414500</v>
      </c>
      <c r="D155" s="431">
        <v>124383525</v>
      </c>
      <c r="E155" s="431">
        <v>278727063</v>
      </c>
      <c r="F155" s="431">
        <v>77768510</v>
      </c>
      <c r="G155" s="431">
        <f>SUM(B155:F155)</f>
        <v>499444098</v>
      </c>
      <c r="H155" s="69"/>
    </row>
    <row r="156" spans="1:8">
      <c r="A156" s="428" t="s">
        <v>440</v>
      </c>
      <c r="B156" s="428"/>
      <c r="C156" s="428"/>
      <c r="D156" s="428"/>
      <c r="E156" s="428"/>
      <c r="F156" s="428"/>
      <c r="G156" s="431">
        <f t="shared" ref="G156:G164" si="5">SUM(B156:F156)</f>
        <v>0</v>
      </c>
      <c r="H156" s="52"/>
    </row>
    <row r="157" spans="1:8">
      <c r="A157" s="429" t="s">
        <v>445</v>
      </c>
      <c r="B157" s="432"/>
      <c r="C157" s="432"/>
      <c r="D157" s="432"/>
      <c r="E157" s="432"/>
      <c r="F157" s="432"/>
      <c r="G157" s="431">
        <f t="shared" si="5"/>
        <v>0</v>
      </c>
    </row>
    <row r="158" spans="1:8" ht="12.75" customHeight="1">
      <c r="A158" s="429" t="s">
        <v>206</v>
      </c>
      <c r="B158" s="432"/>
      <c r="C158" s="432"/>
      <c r="D158" s="432"/>
      <c r="E158" s="432"/>
      <c r="F158" s="432"/>
      <c r="G158" s="431">
        <f t="shared" si="5"/>
        <v>0</v>
      </c>
    </row>
    <row r="159" spans="1:8" ht="12.75" customHeight="1">
      <c r="A159" s="429" t="s">
        <v>446</v>
      </c>
      <c r="B159" s="432">
        <v>5150500</v>
      </c>
      <c r="C159" s="432">
        <v>13414500</v>
      </c>
      <c r="D159" s="432">
        <v>17381500</v>
      </c>
      <c r="E159" s="432">
        <v>11222000</v>
      </c>
      <c r="F159" s="432">
        <v>5535000</v>
      </c>
      <c r="G159" s="431">
        <f t="shared" si="5"/>
        <v>52703500</v>
      </c>
    </row>
    <row r="160" spans="1:8">
      <c r="A160" s="429" t="s">
        <v>447</v>
      </c>
      <c r="B160" s="432"/>
      <c r="C160" s="432" t="s">
        <v>861</v>
      </c>
      <c r="D160" s="432">
        <v>107002025</v>
      </c>
      <c r="E160" s="432">
        <v>267505063</v>
      </c>
      <c r="F160" s="432">
        <v>72233510</v>
      </c>
      <c r="G160" s="431">
        <f t="shared" si="5"/>
        <v>446740598</v>
      </c>
    </row>
    <row r="161" spans="1:7" ht="15.75" customHeight="1">
      <c r="A161" s="429" t="s">
        <v>902</v>
      </c>
      <c r="B161" s="432"/>
      <c r="C161" s="432"/>
      <c r="D161" s="432" t="s">
        <v>861</v>
      </c>
      <c r="E161" s="432"/>
      <c r="F161" s="432">
        <v>18732500</v>
      </c>
      <c r="G161" s="431">
        <f t="shared" si="5"/>
        <v>18732500</v>
      </c>
    </row>
    <row r="162" spans="1:7" ht="15.75" customHeight="1">
      <c r="A162" s="429" t="s">
        <v>448</v>
      </c>
      <c r="B162" s="432"/>
      <c r="C162" s="432"/>
      <c r="D162" s="432"/>
      <c r="E162" s="432"/>
      <c r="F162" s="432"/>
      <c r="G162" s="431">
        <f t="shared" si="5"/>
        <v>0</v>
      </c>
    </row>
    <row r="163" spans="1:7">
      <c r="A163" s="429" t="s">
        <v>235</v>
      </c>
      <c r="B163" s="432"/>
      <c r="C163" s="432"/>
      <c r="D163" s="432"/>
      <c r="E163" s="432"/>
      <c r="F163" s="432"/>
      <c r="G163" s="431">
        <f t="shared" si="5"/>
        <v>0</v>
      </c>
    </row>
    <row r="164" spans="1:7" ht="13.8">
      <c r="A164" s="433" t="s">
        <v>449</v>
      </c>
      <c r="B164" s="434">
        <v>5150500</v>
      </c>
      <c r="C164" s="434">
        <v>13414500</v>
      </c>
      <c r="D164" s="434">
        <v>124383525</v>
      </c>
      <c r="E164" s="434">
        <v>278727063</v>
      </c>
      <c r="F164" s="434">
        <v>77768510</v>
      </c>
      <c r="G164" s="431">
        <f t="shared" si="5"/>
        <v>499444098</v>
      </c>
    </row>
    <row r="165" spans="1:7" ht="27.6">
      <c r="A165" s="433" t="s">
        <v>450</v>
      </c>
      <c r="B165" s="434" t="s">
        <v>891</v>
      </c>
      <c r="C165" s="434" t="s">
        <v>861</v>
      </c>
      <c r="D165" s="434"/>
      <c r="E165" s="434"/>
      <c r="F165" s="434"/>
      <c r="G165" s="435" t="s">
        <v>861</v>
      </c>
    </row>
    <row r="166" spans="1:7" ht="13.8">
      <c r="A166" s="64"/>
      <c r="B166" s="65"/>
      <c r="C166" s="65"/>
      <c r="D166" s="65"/>
      <c r="E166" s="65"/>
      <c r="F166" s="66"/>
    </row>
    <row r="168" spans="1:7" ht="25.5" customHeight="1">
      <c r="A168" s="49" t="s">
        <v>431</v>
      </c>
      <c r="B168" s="902" t="s">
        <v>911</v>
      </c>
      <c r="C168" s="902"/>
      <c r="D168" s="902"/>
      <c r="E168" s="902"/>
      <c r="F168" s="902"/>
      <c r="G168" s="902"/>
    </row>
    <row r="169" spans="1:7">
      <c r="A169" s="49" t="s">
        <v>432</v>
      </c>
      <c r="B169" s="902" t="s">
        <v>912</v>
      </c>
      <c r="C169" s="902"/>
      <c r="D169" s="902"/>
      <c r="E169" s="902"/>
      <c r="F169" s="902"/>
    </row>
    <row r="170" spans="1:7">
      <c r="A170" s="49" t="s">
        <v>897</v>
      </c>
      <c r="B170" s="902" t="s">
        <v>913</v>
      </c>
      <c r="C170" s="902"/>
      <c r="D170" s="902"/>
      <c r="E170" s="902"/>
      <c r="F170" s="610"/>
    </row>
    <row r="171" spans="1:7" ht="15.6">
      <c r="A171" s="49" t="s">
        <v>901</v>
      </c>
      <c r="B171" s="901">
        <v>277000000</v>
      </c>
      <c r="C171" s="901"/>
      <c r="D171" s="178"/>
      <c r="E171" s="609"/>
      <c r="F171" s="50"/>
    </row>
    <row r="172" spans="1:7" ht="15.6">
      <c r="A172" s="49" t="s">
        <v>890</v>
      </c>
      <c r="B172" s="901" t="s">
        <v>384</v>
      </c>
      <c r="C172" s="901"/>
      <c r="D172" s="178"/>
      <c r="E172" s="609"/>
      <c r="F172" s="50"/>
    </row>
    <row r="173" spans="1:7" ht="15.6">
      <c r="A173" s="49" t="s">
        <v>433</v>
      </c>
      <c r="B173" s="903">
        <v>1</v>
      </c>
      <c r="C173" s="903"/>
      <c r="D173" s="608"/>
      <c r="E173" s="608"/>
      <c r="F173" s="50"/>
    </row>
    <row r="174" spans="1:7" ht="15.6">
      <c r="A174" s="49" t="s">
        <v>434</v>
      </c>
      <c r="B174" s="899" t="s">
        <v>888</v>
      </c>
      <c r="C174" s="900"/>
      <c r="D174" s="611"/>
      <c r="E174" s="611"/>
      <c r="F174" s="50"/>
    </row>
    <row r="175" spans="1:7" ht="15.6">
      <c r="A175" s="49" t="s">
        <v>435</v>
      </c>
      <c r="B175" s="899">
        <v>43921</v>
      </c>
      <c r="C175" s="900"/>
      <c r="D175" s="611"/>
      <c r="E175" s="611"/>
      <c r="F175" s="50"/>
    </row>
    <row r="176" spans="1:7">
      <c r="A176" s="58"/>
      <c r="B176" s="59"/>
      <c r="C176" s="59"/>
      <c r="D176" s="59"/>
      <c r="E176" s="60" t="s">
        <v>861</v>
      </c>
    </row>
    <row r="177" spans="1:8" ht="26.4">
      <c r="A177" s="425" t="s">
        <v>267</v>
      </c>
      <c r="B177" s="426" t="s">
        <v>436</v>
      </c>
      <c r="C177" s="425" t="s">
        <v>437</v>
      </c>
      <c r="D177" s="425" t="s">
        <v>438</v>
      </c>
      <c r="E177" s="425"/>
      <c r="F177" s="425"/>
      <c r="G177" s="425" t="s">
        <v>408</v>
      </c>
      <c r="H177" s="54"/>
    </row>
    <row r="178" spans="1:8">
      <c r="A178" s="426" t="s">
        <v>439</v>
      </c>
      <c r="B178" s="427" t="s">
        <v>861</v>
      </c>
      <c r="C178" s="427">
        <v>277000000</v>
      </c>
      <c r="D178" s="427"/>
      <c r="E178" s="427"/>
      <c r="F178" s="427"/>
      <c r="G178" s="427">
        <f>SUM(B178:C178)</f>
        <v>277000000</v>
      </c>
      <c r="H178" s="54"/>
    </row>
    <row r="179" spans="1:8">
      <c r="A179" s="428" t="s">
        <v>440</v>
      </c>
      <c r="B179" s="428"/>
      <c r="C179" s="428"/>
      <c r="D179" s="428"/>
      <c r="E179" s="428"/>
      <c r="F179" s="428"/>
      <c r="G179" s="428"/>
      <c r="H179" s="54"/>
    </row>
    <row r="180" spans="1:8">
      <c r="A180" s="429" t="s">
        <v>441</v>
      </c>
      <c r="B180" s="430"/>
      <c r="C180" s="430">
        <v>277000000</v>
      </c>
      <c r="D180" s="430"/>
      <c r="E180" s="430"/>
      <c r="F180" s="430"/>
      <c r="G180" s="430">
        <f>SUM(B180:D180)</f>
        <v>277000000</v>
      </c>
      <c r="H180" s="62"/>
    </row>
    <row r="181" spans="1:8">
      <c r="A181" s="429"/>
      <c r="B181" s="430"/>
      <c r="C181" s="430"/>
      <c r="D181" s="430"/>
      <c r="E181" s="430"/>
      <c r="F181" s="430"/>
      <c r="G181" s="430"/>
      <c r="H181" s="67"/>
    </row>
    <row r="182" spans="1:8">
      <c r="A182" s="426" t="s">
        <v>444</v>
      </c>
      <c r="B182" s="431">
        <v>0</v>
      </c>
      <c r="C182" s="431">
        <v>5405991</v>
      </c>
      <c r="D182" s="431">
        <v>77069949</v>
      </c>
      <c r="E182" s="431">
        <v>129222732</v>
      </c>
      <c r="F182" s="431">
        <v>65301328</v>
      </c>
      <c r="G182" s="431">
        <f>SUM(B182:F182)</f>
        <v>277000000</v>
      </c>
      <c r="H182" s="69"/>
    </row>
    <row r="183" spans="1:8">
      <c r="A183" s="428" t="s">
        <v>440</v>
      </c>
      <c r="B183" s="428"/>
      <c r="C183" s="428"/>
      <c r="D183" s="428"/>
      <c r="E183" s="428"/>
      <c r="F183" s="428"/>
      <c r="G183" s="431">
        <f t="shared" ref="G183:G191" si="6">SUM(B183:F183)</f>
        <v>0</v>
      </c>
      <c r="H183" s="52"/>
    </row>
    <row r="184" spans="1:8">
      <c r="A184" s="429" t="s">
        <v>445</v>
      </c>
      <c r="B184" s="432"/>
      <c r="C184" s="432"/>
      <c r="D184" s="432"/>
      <c r="E184" s="432"/>
      <c r="F184" s="432"/>
      <c r="G184" s="431">
        <f t="shared" si="6"/>
        <v>0</v>
      </c>
    </row>
    <row r="185" spans="1:8" ht="26.4">
      <c r="A185" s="429" t="s">
        <v>206</v>
      </c>
      <c r="B185" s="432"/>
      <c r="C185" s="432"/>
      <c r="D185" s="432"/>
      <c r="E185" s="432"/>
      <c r="F185" s="432"/>
      <c r="G185" s="431">
        <f t="shared" si="6"/>
        <v>0</v>
      </c>
    </row>
    <row r="186" spans="1:8">
      <c r="A186" s="429" t="s">
        <v>446</v>
      </c>
      <c r="B186" s="432" t="s">
        <v>861</v>
      </c>
      <c r="C186" s="432">
        <v>5405991</v>
      </c>
      <c r="D186" s="432">
        <v>13537182</v>
      </c>
      <c r="E186" s="432">
        <v>5157198</v>
      </c>
      <c r="F186" s="432">
        <v>3268561</v>
      </c>
      <c r="G186" s="431">
        <f t="shared" si="6"/>
        <v>27368932</v>
      </c>
    </row>
    <row r="187" spans="1:8">
      <c r="A187" s="429" t="s">
        <v>447</v>
      </c>
      <c r="B187" s="432"/>
      <c r="C187" s="432" t="s">
        <v>861</v>
      </c>
      <c r="D187" s="432">
        <v>63532767</v>
      </c>
      <c r="E187" s="432">
        <v>124065534</v>
      </c>
      <c r="F187" s="432">
        <v>62032767</v>
      </c>
      <c r="G187" s="431">
        <f t="shared" si="6"/>
        <v>249631068</v>
      </c>
    </row>
    <row r="188" spans="1:8">
      <c r="A188" s="429" t="s">
        <v>902</v>
      </c>
      <c r="B188" s="432"/>
      <c r="C188" s="432"/>
      <c r="D188" s="432" t="s">
        <v>861</v>
      </c>
      <c r="E188" s="432"/>
      <c r="F188" s="432"/>
      <c r="G188" s="431">
        <f t="shared" si="6"/>
        <v>0</v>
      </c>
    </row>
    <row r="189" spans="1:8" ht="12.75" customHeight="1">
      <c r="A189" s="429" t="s">
        <v>448</v>
      </c>
      <c r="B189" s="432"/>
      <c r="C189" s="432"/>
      <c r="D189" s="432"/>
      <c r="E189" s="432"/>
      <c r="F189" s="432"/>
      <c r="G189" s="431">
        <f t="shared" si="6"/>
        <v>0</v>
      </c>
    </row>
    <row r="190" spans="1:8" ht="12.75" customHeight="1">
      <c r="A190" s="429" t="s">
        <v>235</v>
      </c>
      <c r="B190" s="432"/>
      <c r="C190" s="432"/>
      <c r="D190" s="432"/>
      <c r="E190" s="432"/>
      <c r="F190" s="432"/>
      <c r="G190" s="431">
        <f t="shared" si="6"/>
        <v>0</v>
      </c>
    </row>
    <row r="191" spans="1:8" ht="13.8">
      <c r="A191" s="433" t="s">
        <v>449</v>
      </c>
      <c r="B191" s="434" t="s">
        <v>861</v>
      </c>
      <c r="C191" s="434">
        <v>5405991</v>
      </c>
      <c r="D191" s="434">
        <v>77069949</v>
      </c>
      <c r="E191" s="434">
        <v>129222732</v>
      </c>
      <c r="F191" s="434">
        <v>65301328</v>
      </c>
      <c r="G191" s="431">
        <f t="shared" si="6"/>
        <v>277000000</v>
      </c>
    </row>
    <row r="192" spans="1:8" ht="27.75" customHeight="1">
      <c r="A192" s="433" t="s">
        <v>450</v>
      </c>
      <c r="B192" s="434" t="s">
        <v>891</v>
      </c>
      <c r="C192" s="434" t="s">
        <v>861</v>
      </c>
      <c r="D192" s="434"/>
      <c r="E192" s="434"/>
      <c r="F192" s="434"/>
      <c r="G192" s="435" t="s">
        <v>861</v>
      </c>
    </row>
    <row r="193" spans="1:6" ht="15.75" customHeight="1">
      <c r="A193" s="64"/>
      <c r="B193" s="65"/>
      <c r="C193" s="65"/>
      <c r="D193" s="65"/>
      <c r="E193" s="65"/>
      <c r="F193" s="66"/>
    </row>
  </sheetData>
  <mergeCells count="60">
    <mergeCell ref="B39:C39"/>
    <mergeCell ref="B40:C40"/>
    <mergeCell ref="B41:C41"/>
    <mergeCell ref="B8:C8"/>
    <mergeCell ref="A1:F1"/>
    <mergeCell ref="B2:C2"/>
    <mergeCell ref="B5:C5"/>
    <mergeCell ref="B3:F3"/>
    <mergeCell ref="B4:F4"/>
    <mergeCell ref="B6:D6"/>
    <mergeCell ref="B7:D7"/>
    <mergeCell ref="B38:C38"/>
    <mergeCell ref="B9:C9"/>
    <mergeCell ref="B10:C10"/>
    <mergeCell ref="B33:F33"/>
    <mergeCell ref="B37:C37"/>
    <mergeCell ref="B34:F34"/>
    <mergeCell ref="B35:F35"/>
    <mergeCell ref="B36:E36"/>
    <mergeCell ref="B94:C94"/>
    <mergeCell ref="B62:E62"/>
    <mergeCell ref="B89:E89"/>
    <mergeCell ref="B63:C63"/>
    <mergeCell ref="B66:C66"/>
    <mergeCell ref="B67:C67"/>
    <mergeCell ref="B88:F88"/>
    <mergeCell ref="B90:C90"/>
    <mergeCell ref="B91:C91"/>
    <mergeCell ref="B92:C92"/>
    <mergeCell ref="B93:C93"/>
    <mergeCell ref="B60:F60"/>
    <mergeCell ref="B61:F61"/>
    <mergeCell ref="B64:C64"/>
    <mergeCell ref="B65:C65"/>
    <mergeCell ref="B87:F87"/>
    <mergeCell ref="B173:C173"/>
    <mergeCell ref="B174:C174"/>
    <mergeCell ref="B141:F141"/>
    <mergeCell ref="B142:F142"/>
    <mergeCell ref="B113:F113"/>
    <mergeCell ref="B114:F114"/>
    <mergeCell ref="B115:E115"/>
    <mergeCell ref="B116:C116"/>
    <mergeCell ref="B117:C117"/>
    <mergeCell ref="B119:C119"/>
    <mergeCell ref="B120:C120"/>
    <mergeCell ref="B121:C121"/>
    <mergeCell ref="B175:C175"/>
    <mergeCell ref="B118:E118"/>
    <mergeCell ref="B168:G168"/>
    <mergeCell ref="B169:F169"/>
    <mergeCell ref="B170:E170"/>
    <mergeCell ref="B171:C171"/>
    <mergeCell ref="B172:C172"/>
    <mergeCell ref="B143:E143"/>
    <mergeCell ref="B144:C144"/>
    <mergeCell ref="B145:C145"/>
    <mergeCell ref="B146:C146"/>
    <mergeCell ref="B147:C147"/>
    <mergeCell ref="B148:C148"/>
  </mergeCells>
  <conditionalFormatting sqref="F48 G5:G14 B14:F14 G17:G23 B24:G24 F25:F29 G29:G42 F43:F45 B45:E45 B50:E50 B125:F125 B130:E130 B152:G152 B157:F157 B179:G179 B184:F184">
    <cfRule type="cellIs" dxfId="8" priority="18" stopIfTrue="1" operator="equal">
      <formula>0</formula>
    </cfRule>
  </conditionalFormatting>
  <conditionalFormatting sqref="E51:E55">
    <cfRule type="cellIs" dxfId="7" priority="16" stopIfTrue="1" operator="equal">
      <formula>0</formula>
    </cfRule>
  </conditionalFormatting>
  <conditionalFormatting sqref="F74 F69:F71 B71:E71 B76:E76">
    <cfRule type="cellIs" dxfId="6" priority="10" stopIfTrue="1" operator="equal">
      <formula>0</formula>
    </cfRule>
  </conditionalFormatting>
  <conditionalFormatting sqref="E77:E82">
    <cfRule type="cellIs" dxfId="5" priority="9" stopIfTrue="1" operator="equal">
      <formula>0</formula>
    </cfRule>
  </conditionalFormatting>
  <conditionalFormatting sqref="F101 F96:F98 B98:E98 B103:E103">
    <cfRule type="cellIs" dxfId="4" priority="8" stopIfTrue="1" operator="equal">
      <formula>0</formula>
    </cfRule>
  </conditionalFormatting>
  <conditionalFormatting sqref="E104:E109">
    <cfRule type="cellIs" dxfId="3" priority="7" stopIfTrue="1" operator="equal">
      <formula>0</formula>
    </cfRule>
  </conditionalFormatting>
  <conditionalFormatting sqref="G128 G123:G125">
    <cfRule type="cellIs" dxfId="2" priority="6" stopIfTrue="1" operator="equal">
      <formula>0</formula>
    </cfRule>
  </conditionalFormatting>
  <conditionalFormatting sqref="H155 H150:H152">
    <cfRule type="cellIs" dxfId="1" priority="4" stopIfTrue="1" operator="equal">
      <formula>0</formula>
    </cfRule>
  </conditionalFormatting>
  <conditionalFormatting sqref="H182 H177:H179">
    <cfRule type="cellIs" dxfId="0" priority="2" stopIfTrue="1" operator="equal">
      <formula>0</formula>
    </cfRule>
  </conditionalFormatting>
  <printOptions horizontalCentered="1"/>
  <pageMargins left="0.25" right="0.25" top="0.75" bottom="0.75" header="0.3" footer="0.3"/>
  <pageSetup paperSize="9" scale="86" orientation="landscape" r:id="rId1"/>
  <headerFooter alignWithMargins="0">
    <oddHeader>&amp;R&amp;"Times New Roman CE,Félkövér dőlt"&amp;11 8. melléklet a 22/2017. (XII.04.)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115"/>
  <sheetViews>
    <sheetView view="pageLayout" topLeftCell="C42" zoomScaleSheetLayoutView="100" workbookViewId="0">
      <selection activeCell="J43" sqref="J43"/>
    </sheetView>
  </sheetViews>
  <sheetFormatPr defaultColWidth="9.33203125" defaultRowHeight="15.6"/>
  <cols>
    <col min="1" max="1" width="6.33203125" style="8" customWidth="1"/>
    <col min="2" max="2" width="70.77734375" style="8" customWidth="1"/>
    <col min="3" max="3" width="12.33203125" style="8" customWidth="1"/>
    <col min="4" max="4" width="16.77734375" style="8" customWidth="1"/>
    <col min="5" max="5" width="15" style="8" customWidth="1"/>
    <col min="6" max="6" width="17.6640625" style="9" customWidth="1"/>
    <col min="7" max="7" width="14.44140625" style="299" bestFit="1" customWidth="1"/>
    <col min="8" max="8" width="14.44140625" style="299" customWidth="1"/>
    <col min="9" max="9" width="14.33203125" style="301" bestFit="1" customWidth="1"/>
    <col min="10" max="10" width="14.44140625" style="721" bestFit="1" customWidth="1"/>
    <col min="11" max="11" width="12" style="784" customWidth="1"/>
    <col min="12" max="15" width="9.33203125" style="1"/>
    <col min="16" max="16" width="20.33203125" style="1" customWidth="1"/>
    <col min="17" max="16384" width="9.33203125" style="1"/>
  </cols>
  <sheetData>
    <row r="1" spans="1:11" ht="51" customHeight="1">
      <c r="A1" s="906" t="s">
        <v>634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</row>
    <row r="2" spans="1:11" ht="16.05" customHeight="1">
      <c r="A2" s="860" t="s">
        <v>0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</row>
    <row r="3" spans="1:11" ht="16.05" customHeight="1">
      <c r="A3" s="907"/>
      <c r="B3" s="907"/>
      <c r="C3" s="2"/>
      <c r="D3" s="315"/>
      <c r="E3" s="315"/>
      <c r="I3" s="3" t="s">
        <v>861</v>
      </c>
      <c r="K3" s="779" t="s">
        <v>1</v>
      </c>
    </row>
    <row r="4" spans="1:11" s="7" customFormat="1" ht="38.1" customHeight="1">
      <c r="A4" s="639" t="s">
        <v>2</v>
      </c>
      <c r="B4" s="640" t="s">
        <v>3</v>
      </c>
      <c r="C4" s="640" t="s">
        <v>4</v>
      </c>
      <c r="D4" s="659" t="s">
        <v>477</v>
      </c>
      <c r="E4" s="659" t="s">
        <v>478</v>
      </c>
      <c r="F4" s="641" t="s">
        <v>5</v>
      </c>
      <c r="G4" s="265" t="s">
        <v>1002</v>
      </c>
      <c r="H4" s="265" t="s">
        <v>1003</v>
      </c>
      <c r="I4" s="302" t="s">
        <v>857</v>
      </c>
      <c r="J4" s="264" t="s">
        <v>1014</v>
      </c>
      <c r="K4" s="781" t="s">
        <v>1005</v>
      </c>
    </row>
    <row r="5" spans="1:11" s="660" customFormat="1" ht="12" customHeight="1">
      <c r="A5" s="639" t="s">
        <v>6</v>
      </c>
      <c r="B5" s="640" t="s">
        <v>7</v>
      </c>
      <c r="C5" s="640" t="s">
        <v>8</v>
      </c>
      <c r="D5" s="659" t="s">
        <v>9</v>
      </c>
      <c r="E5" s="659" t="s">
        <v>269</v>
      </c>
      <c r="F5" s="641" t="s">
        <v>479</v>
      </c>
      <c r="G5" s="264" t="s">
        <v>855</v>
      </c>
      <c r="H5" s="264" t="s">
        <v>859</v>
      </c>
      <c r="I5" s="264" t="s">
        <v>860</v>
      </c>
      <c r="J5" s="661" t="s">
        <v>1008</v>
      </c>
      <c r="K5" s="780" t="s">
        <v>1009</v>
      </c>
    </row>
    <row r="6" spans="1:11" s="5" customFormat="1" ht="15.75" customHeight="1">
      <c r="A6" s="323" t="s">
        <v>10</v>
      </c>
      <c r="B6" s="324" t="s">
        <v>11</v>
      </c>
      <c r="C6" s="325" t="s">
        <v>12</v>
      </c>
      <c r="D6" s="436">
        <v>250951560</v>
      </c>
      <c r="E6" s="436"/>
      <c r="F6" s="437">
        <f>250002616+948944</f>
        <v>250951560</v>
      </c>
      <c r="G6" s="300">
        <f t="shared" ref="G6:G11" si="0">I6-D6</f>
        <v>0</v>
      </c>
      <c r="H6" s="300">
        <f>I6-F6-G6</f>
        <v>0</v>
      </c>
      <c r="I6" s="303">
        <v>250951560</v>
      </c>
      <c r="J6" s="269">
        <v>190950930</v>
      </c>
      <c r="K6" s="782">
        <f>J6/I6</f>
        <v>0.76090752334833067</v>
      </c>
    </row>
    <row r="7" spans="1:11" s="5" customFormat="1" ht="15.75" customHeight="1">
      <c r="A7" s="323" t="s">
        <v>13</v>
      </c>
      <c r="B7" s="324" t="s">
        <v>14</v>
      </c>
      <c r="C7" s="325" t="s">
        <v>15</v>
      </c>
      <c r="D7" s="436">
        <v>242687617</v>
      </c>
      <c r="E7" s="436"/>
      <c r="F7" s="437">
        <v>242687617</v>
      </c>
      <c r="G7" s="300">
        <v>2932300</v>
      </c>
      <c r="H7" s="300">
        <f t="shared" ref="H7:H11" si="1">I7-F7-G7</f>
        <v>7173182</v>
      </c>
      <c r="I7" s="303">
        <v>252793099</v>
      </c>
      <c r="J7" s="269">
        <v>192446853</v>
      </c>
      <c r="K7" s="782">
        <f t="shared" ref="K7:K70" si="2">J7/I7</f>
        <v>0.76128206727668624</v>
      </c>
    </row>
    <row r="8" spans="1:11" s="5" customFormat="1" ht="24" customHeight="1">
      <c r="A8" s="323" t="s">
        <v>16</v>
      </c>
      <c r="B8" s="324" t="s">
        <v>17</v>
      </c>
      <c r="C8" s="325" t="s">
        <v>18</v>
      </c>
      <c r="D8" s="436">
        <v>326754354</v>
      </c>
      <c r="E8" s="436"/>
      <c r="F8" s="437">
        <v>326754354</v>
      </c>
      <c r="G8" s="300">
        <v>11255769</v>
      </c>
      <c r="H8" s="300">
        <f t="shared" si="1"/>
        <v>14703973</v>
      </c>
      <c r="I8" s="303">
        <v>352714096</v>
      </c>
      <c r="J8" s="269">
        <v>283981500</v>
      </c>
      <c r="K8" s="782">
        <f t="shared" si="2"/>
        <v>0.80513226780706826</v>
      </c>
    </row>
    <row r="9" spans="1:11" s="5" customFormat="1" ht="15.75" customHeight="1">
      <c r="A9" s="323" t="s">
        <v>19</v>
      </c>
      <c r="B9" s="324" t="s">
        <v>20</v>
      </c>
      <c r="C9" s="325" t="s">
        <v>21</v>
      </c>
      <c r="D9" s="436">
        <v>26773920</v>
      </c>
      <c r="E9" s="436"/>
      <c r="F9" s="437">
        <v>26773920</v>
      </c>
      <c r="G9" s="300">
        <v>1656063</v>
      </c>
      <c r="H9" s="300">
        <f t="shared" si="1"/>
        <v>794558</v>
      </c>
      <c r="I9" s="303">
        <v>29224541</v>
      </c>
      <c r="J9" s="269">
        <v>24456244</v>
      </c>
      <c r="K9" s="782">
        <f t="shared" si="2"/>
        <v>0.83683928517474404</v>
      </c>
    </row>
    <row r="10" spans="1:11" s="5" customFormat="1" ht="15.75" customHeight="1">
      <c r="A10" s="323" t="s">
        <v>22</v>
      </c>
      <c r="B10" s="324" t="s">
        <v>23</v>
      </c>
      <c r="C10" s="325" t="s">
        <v>24</v>
      </c>
      <c r="D10" s="436"/>
      <c r="E10" s="436"/>
      <c r="F10" s="437"/>
      <c r="G10" s="300">
        <v>15168511</v>
      </c>
      <c r="H10" s="300">
        <f t="shared" si="1"/>
        <v>2372868</v>
      </c>
      <c r="I10" s="303">
        <v>17541379</v>
      </c>
      <c r="J10" s="269">
        <v>15304791</v>
      </c>
      <c r="K10" s="782">
        <f t="shared" si="2"/>
        <v>0.87249645538130149</v>
      </c>
    </row>
    <row r="11" spans="1:11" s="5" customFormat="1" ht="15.75" customHeight="1">
      <c r="A11" s="323" t="s">
        <v>25</v>
      </c>
      <c r="B11" s="324" t="s">
        <v>26</v>
      </c>
      <c r="C11" s="325" t="s">
        <v>27</v>
      </c>
      <c r="D11" s="436"/>
      <c r="E11" s="436"/>
      <c r="F11" s="437"/>
      <c r="G11" s="300">
        <f t="shared" si="0"/>
        <v>0</v>
      </c>
      <c r="H11" s="300">
        <f t="shared" si="1"/>
        <v>0</v>
      </c>
      <c r="I11" s="303"/>
      <c r="J11" s="269"/>
      <c r="K11" s="782"/>
    </row>
    <row r="12" spans="1:11" s="5" customFormat="1" ht="15.75" customHeight="1">
      <c r="A12" s="119" t="s">
        <v>28</v>
      </c>
      <c r="B12" s="109" t="s">
        <v>29</v>
      </c>
      <c r="C12" s="113" t="s">
        <v>30</v>
      </c>
      <c r="D12" s="112">
        <f t="shared" ref="D12:E12" si="3">+D6+D7+D8+D9+D10+D11</f>
        <v>847167451</v>
      </c>
      <c r="E12" s="112">
        <f t="shared" si="3"/>
        <v>0</v>
      </c>
      <c r="F12" s="112">
        <f>+F6+F7+F8+F9+F10+F11</f>
        <v>847167451</v>
      </c>
      <c r="G12" s="112">
        <f t="shared" ref="G12:J12" si="4">+G6+G7+G8+G9+G10+G11</f>
        <v>31012643</v>
      </c>
      <c r="H12" s="112">
        <f t="shared" si="4"/>
        <v>25044581</v>
      </c>
      <c r="I12" s="112">
        <f t="shared" si="4"/>
        <v>903224675</v>
      </c>
      <c r="J12" s="302">
        <f t="shared" si="4"/>
        <v>707140318</v>
      </c>
      <c r="K12" s="782">
        <f t="shared" si="2"/>
        <v>0.78290633280141508</v>
      </c>
    </row>
    <row r="13" spans="1:11" s="5" customFormat="1" ht="15.75" customHeight="1">
      <c r="A13" s="323" t="s">
        <v>31</v>
      </c>
      <c r="B13" s="324" t="s">
        <v>32</v>
      </c>
      <c r="C13" s="325" t="s">
        <v>33</v>
      </c>
      <c r="D13" s="436"/>
      <c r="E13" s="436"/>
      <c r="F13" s="437"/>
      <c r="G13" s="300"/>
      <c r="H13" s="300"/>
      <c r="I13" s="303"/>
      <c r="J13" s="269"/>
      <c r="K13" s="782"/>
    </row>
    <row r="14" spans="1:11" s="5" customFormat="1" ht="15.75" customHeight="1">
      <c r="A14" s="323" t="s">
        <v>34</v>
      </c>
      <c r="B14" s="324" t="s">
        <v>35</v>
      </c>
      <c r="C14" s="325" t="s">
        <v>36</v>
      </c>
      <c r="D14" s="437">
        <f t="shared" ref="D14:E14" si="5">SUM(D15:D21)</f>
        <v>39208485</v>
      </c>
      <c r="E14" s="437">
        <f t="shared" si="5"/>
        <v>70875180</v>
      </c>
      <c r="F14" s="437">
        <f>SUM(F15:F21)</f>
        <v>110083665</v>
      </c>
      <c r="G14" s="300">
        <v>272597618</v>
      </c>
      <c r="H14" s="300">
        <f>I14-F14-G14</f>
        <v>14486590</v>
      </c>
      <c r="I14" s="303">
        <v>397167873</v>
      </c>
      <c r="J14" s="269">
        <v>281178742</v>
      </c>
      <c r="K14" s="782">
        <f t="shared" si="2"/>
        <v>0.70795943255964211</v>
      </c>
    </row>
    <row r="15" spans="1:11" s="5" customFormat="1" ht="24" customHeight="1">
      <c r="A15" s="323" t="s">
        <v>37</v>
      </c>
      <c r="B15" s="327" t="s">
        <v>38</v>
      </c>
      <c r="C15" s="325" t="s">
        <v>36</v>
      </c>
      <c r="D15" s="436"/>
      <c r="E15" s="436"/>
      <c r="F15" s="438"/>
      <c r="G15" s="300"/>
      <c r="H15" s="300">
        <f t="shared" ref="H15:H21" si="6">I15-F15-G15</f>
        <v>0</v>
      </c>
      <c r="I15" s="303">
        <f t="shared" ref="I15:I21" si="7">D15+G15</f>
        <v>0</v>
      </c>
      <c r="J15" s="269"/>
      <c r="K15" s="782"/>
    </row>
    <row r="16" spans="1:11" s="5" customFormat="1" ht="24.75" customHeight="1">
      <c r="A16" s="323" t="s">
        <v>39</v>
      </c>
      <c r="B16" s="329" t="s">
        <v>40</v>
      </c>
      <c r="C16" s="325" t="s">
        <v>36</v>
      </c>
      <c r="D16" s="436"/>
      <c r="E16" s="436">
        <v>55826180</v>
      </c>
      <c r="F16" s="438">
        <f>'[16]8.sz.mell. '!F13</f>
        <v>55826180</v>
      </c>
      <c r="G16" s="300">
        <v>9000000</v>
      </c>
      <c r="H16" s="300">
        <f t="shared" si="6"/>
        <v>0</v>
      </c>
      <c r="I16" s="303">
        <v>64826180</v>
      </c>
      <c r="J16" s="303">
        <v>64826180</v>
      </c>
      <c r="K16" s="783">
        <f t="shared" si="2"/>
        <v>1</v>
      </c>
    </row>
    <row r="17" spans="1:11" s="5" customFormat="1" ht="15.75" customHeight="1">
      <c r="A17" s="323" t="s">
        <v>41</v>
      </c>
      <c r="B17" s="329" t="s">
        <v>42</v>
      </c>
      <c r="C17" s="325" t="s">
        <v>36</v>
      </c>
      <c r="D17" s="436"/>
      <c r="E17" s="436"/>
      <c r="F17" s="438"/>
      <c r="G17" s="300"/>
      <c r="H17" s="300">
        <f t="shared" si="6"/>
        <v>0</v>
      </c>
      <c r="I17" s="303">
        <f t="shared" si="7"/>
        <v>0</v>
      </c>
      <c r="J17" s="269"/>
      <c r="K17" s="782"/>
    </row>
    <row r="18" spans="1:11" s="5" customFormat="1" ht="19.5" customHeight="1">
      <c r="A18" s="323" t="s">
        <v>43</v>
      </c>
      <c r="B18" s="329" t="s">
        <v>44</v>
      </c>
      <c r="C18" s="325" t="s">
        <v>36</v>
      </c>
      <c r="D18" s="436"/>
      <c r="E18" s="436">
        <v>15049000</v>
      </c>
      <c r="F18" s="326">
        <f>13321000+1728000</f>
        <v>15049000</v>
      </c>
      <c r="G18" s="300">
        <v>338580</v>
      </c>
      <c r="H18" s="300">
        <f t="shared" si="6"/>
        <v>6646990</v>
      </c>
      <c r="I18" s="303">
        <v>22034570</v>
      </c>
      <c r="J18" s="269">
        <v>7449050</v>
      </c>
      <c r="K18" s="782">
        <f t="shared" si="2"/>
        <v>0.33806196354183449</v>
      </c>
    </row>
    <row r="19" spans="1:11" s="5" customFormat="1" ht="19.5" customHeight="1">
      <c r="A19" s="323" t="s">
        <v>45</v>
      </c>
      <c r="B19" s="329" t="s">
        <v>46</v>
      </c>
      <c r="C19" s="325" t="s">
        <v>36</v>
      </c>
      <c r="D19" s="436">
        <v>8348400</v>
      </c>
      <c r="E19" s="436"/>
      <c r="F19" s="438">
        <f>695700*12</f>
        <v>8348400</v>
      </c>
      <c r="G19" s="300"/>
      <c r="H19" s="300">
        <f t="shared" si="6"/>
        <v>7839600</v>
      </c>
      <c r="I19" s="303">
        <v>16188000</v>
      </c>
      <c r="J19" s="269">
        <v>9413200</v>
      </c>
      <c r="K19" s="782">
        <f t="shared" si="2"/>
        <v>0.58149246355324935</v>
      </c>
    </row>
    <row r="20" spans="1:11" s="5" customFormat="1" ht="24" customHeight="1">
      <c r="A20" s="323" t="s">
        <v>47</v>
      </c>
      <c r="B20" s="329" t="s">
        <v>48</v>
      </c>
      <c r="C20" s="325" t="s">
        <v>36</v>
      </c>
      <c r="D20" s="436">
        <v>30860085</v>
      </c>
      <c r="E20" s="436"/>
      <c r="F20" s="438">
        <f>25113874+594898+5151313</f>
        <v>30860085</v>
      </c>
      <c r="G20" s="300">
        <v>258650477</v>
      </c>
      <c r="H20" s="300">
        <f t="shared" si="6"/>
        <v>0</v>
      </c>
      <c r="I20" s="303">
        <v>289510562</v>
      </c>
      <c r="J20" s="269">
        <v>194881751</v>
      </c>
      <c r="K20" s="782">
        <f t="shared" si="2"/>
        <v>0.67314211147847514</v>
      </c>
    </row>
    <row r="21" spans="1:11" s="5" customFormat="1" ht="24.75" customHeight="1">
      <c r="A21" s="323" t="s">
        <v>49</v>
      </c>
      <c r="B21" s="329" t="s">
        <v>50</v>
      </c>
      <c r="C21" s="325" t="s">
        <v>36</v>
      </c>
      <c r="D21" s="436"/>
      <c r="E21" s="436"/>
      <c r="F21" s="438"/>
      <c r="G21" s="300">
        <v>4608561</v>
      </c>
      <c r="H21" s="300">
        <f t="shared" si="6"/>
        <v>0</v>
      </c>
      <c r="I21" s="303">
        <f t="shared" si="7"/>
        <v>4608561</v>
      </c>
      <c r="J21" s="269">
        <v>4608561</v>
      </c>
      <c r="K21" s="782">
        <f t="shared" si="2"/>
        <v>1</v>
      </c>
    </row>
    <row r="22" spans="1:11" s="5" customFormat="1" ht="18" customHeight="1">
      <c r="A22" s="330" t="s">
        <v>51</v>
      </c>
      <c r="B22" s="331" t="s">
        <v>52</v>
      </c>
      <c r="C22" s="332" t="s">
        <v>53</v>
      </c>
      <c r="D22" s="439">
        <f t="shared" ref="D22:E22" si="8">SUM(D12+D13+D14)</f>
        <v>886375936</v>
      </c>
      <c r="E22" s="439">
        <f t="shared" si="8"/>
        <v>70875180</v>
      </c>
      <c r="F22" s="439">
        <f>SUM(F12+F13+F14)</f>
        <v>957251116</v>
      </c>
      <c r="G22" s="439">
        <f t="shared" ref="G22:J22" si="9">SUM(G12+G13+G14)</f>
        <v>303610261</v>
      </c>
      <c r="H22" s="439">
        <f t="shared" si="9"/>
        <v>39531171</v>
      </c>
      <c r="I22" s="439">
        <f t="shared" si="9"/>
        <v>1300392548</v>
      </c>
      <c r="J22" s="302">
        <f t="shared" si="9"/>
        <v>988319060</v>
      </c>
      <c r="K22" s="782">
        <f t="shared" si="2"/>
        <v>0.76001593635708842</v>
      </c>
    </row>
    <row r="23" spans="1:11" s="5" customFormat="1" ht="15.75" customHeight="1">
      <c r="A23" s="323" t="s">
        <v>54</v>
      </c>
      <c r="B23" s="334" t="s">
        <v>55</v>
      </c>
      <c r="C23" s="325" t="s">
        <v>56</v>
      </c>
      <c r="D23" s="440"/>
      <c r="E23" s="440"/>
      <c r="F23" s="326"/>
      <c r="G23" s="300"/>
      <c r="H23" s="300">
        <f>I23-F23-G23</f>
        <v>50000000</v>
      </c>
      <c r="I23" s="303">
        <v>50000000</v>
      </c>
      <c r="J23" s="269">
        <v>50000000</v>
      </c>
      <c r="K23" s="782">
        <f t="shared" si="2"/>
        <v>1</v>
      </c>
    </row>
    <row r="24" spans="1:11" s="5" customFormat="1" ht="15.75" customHeight="1">
      <c r="A24" s="323" t="s">
        <v>57</v>
      </c>
      <c r="B24" s="334" t="s">
        <v>58</v>
      </c>
      <c r="C24" s="325" t="s">
        <v>59</v>
      </c>
      <c r="D24" s="326">
        <f t="shared" ref="D24:E24" si="10">SUM(D25:D30)</f>
        <v>50000000</v>
      </c>
      <c r="E24" s="326">
        <f t="shared" si="10"/>
        <v>0</v>
      </c>
      <c r="F24" s="326">
        <f>SUM(F25:F30)</f>
        <v>50000000</v>
      </c>
      <c r="G24" s="300">
        <v>1157803187</v>
      </c>
      <c r="H24" s="300">
        <f>I24-F24-G24</f>
        <v>544482000</v>
      </c>
      <c r="I24" s="303">
        <v>1752285187</v>
      </c>
      <c r="J24" s="269">
        <v>1752279187</v>
      </c>
      <c r="K24" s="782">
        <f t="shared" si="2"/>
        <v>0.99999657589983382</v>
      </c>
    </row>
    <row r="25" spans="1:11" s="5" customFormat="1" ht="15.75" customHeight="1">
      <c r="A25" s="323" t="s">
        <v>60</v>
      </c>
      <c r="B25" s="327" t="s">
        <v>61</v>
      </c>
      <c r="C25" s="325" t="s">
        <v>59</v>
      </c>
      <c r="D25" s="436">
        <v>50000000</v>
      </c>
      <c r="E25" s="440"/>
      <c r="F25" s="326">
        <v>50000000</v>
      </c>
      <c r="G25" s="300">
        <f t="shared" ref="G25:G71" si="11">I25-F25</f>
        <v>-50000000</v>
      </c>
      <c r="H25" s="300">
        <f t="shared" ref="H25:H30" si="12">I25-F25-G25</f>
        <v>0</v>
      </c>
      <c r="I25" s="303">
        <v>0</v>
      </c>
      <c r="J25" s="269">
        <v>0</v>
      </c>
      <c r="K25" s="782" t="s">
        <v>861</v>
      </c>
    </row>
    <row r="26" spans="1:11" s="5" customFormat="1" ht="24" customHeight="1">
      <c r="A26" s="323" t="s">
        <v>62</v>
      </c>
      <c r="B26" s="335" t="s">
        <v>63</v>
      </c>
      <c r="C26" s="325" t="s">
        <v>59</v>
      </c>
      <c r="D26" s="440"/>
      <c r="E26" s="440"/>
      <c r="F26" s="326"/>
      <c r="G26" s="300">
        <v>1157803187</v>
      </c>
      <c r="H26" s="300">
        <f t="shared" si="12"/>
        <v>594482000</v>
      </c>
      <c r="I26" s="303">
        <v>1752285187</v>
      </c>
      <c r="J26" s="303">
        <v>1752279187</v>
      </c>
      <c r="K26" s="783">
        <f t="shared" si="2"/>
        <v>0.99999657589983382</v>
      </c>
    </row>
    <row r="27" spans="1:11" s="5" customFormat="1" ht="15.75" customHeight="1">
      <c r="A27" s="323" t="s">
        <v>64</v>
      </c>
      <c r="B27" s="335" t="s">
        <v>65</v>
      </c>
      <c r="C27" s="325" t="s">
        <v>59</v>
      </c>
      <c r="D27" s="440"/>
      <c r="E27" s="440"/>
      <c r="F27" s="326"/>
      <c r="G27" s="300">
        <f t="shared" si="11"/>
        <v>0</v>
      </c>
      <c r="H27" s="300">
        <f t="shared" si="12"/>
        <v>0</v>
      </c>
      <c r="I27" s="303"/>
      <c r="J27" s="269"/>
      <c r="K27" s="782"/>
    </row>
    <row r="28" spans="1:11" s="5" customFormat="1" ht="15.75" customHeight="1">
      <c r="A28" s="323" t="s">
        <v>66</v>
      </c>
      <c r="B28" s="335" t="s">
        <v>67</v>
      </c>
      <c r="C28" s="325" t="s">
        <v>59</v>
      </c>
      <c r="D28" s="440"/>
      <c r="E28" s="440"/>
      <c r="F28" s="326"/>
      <c r="G28" s="300">
        <f t="shared" si="11"/>
        <v>0</v>
      </c>
      <c r="H28" s="300">
        <f t="shared" si="12"/>
        <v>0</v>
      </c>
      <c r="I28" s="303"/>
      <c r="J28" s="269"/>
      <c r="K28" s="782"/>
    </row>
    <row r="29" spans="1:11" s="5" customFormat="1" ht="24.75" customHeight="1">
      <c r="A29" s="323" t="s">
        <v>68</v>
      </c>
      <c r="B29" s="335" t="s">
        <v>69</v>
      </c>
      <c r="C29" s="325" t="s">
        <v>59</v>
      </c>
      <c r="D29" s="440"/>
      <c r="E29" s="440"/>
      <c r="F29" s="326"/>
      <c r="G29" s="300">
        <f t="shared" si="11"/>
        <v>0</v>
      </c>
      <c r="H29" s="300">
        <f t="shared" si="12"/>
        <v>0</v>
      </c>
      <c r="I29" s="303"/>
      <c r="J29" s="269"/>
      <c r="K29" s="782"/>
    </row>
    <row r="30" spans="1:11" s="5" customFormat="1" ht="24" customHeight="1">
      <c r="A30" s="323" t="s">
        <v>70</v>
      </c>
      <c r="B30" s="335" t="s">
        <v>71</v>
      </c>
      <c r="C30" s="325" t="s">
        <v>59</v>
      </c>
      <c r="D30" s="440"/>
      <c r="E30" s="440"/>
      <c r="F30" s="441"/>
      <c r="G30" s="300">
        <f t="shared" si="11"/>
        <v>0</v>
      </c>
      <c r="H30" s="300">
        <f t="shared" si="12"/>
        <v>0</v>
      </c>
      <c r="I30" s="303"/>
      <c r="J30" s="269"/>
      <c r="K30" s="782"/>
    </row>
    <row r="31" spans="1:11" s="614" customFormat="1" ht="22.5" customHeight="1">
      <c r="A31" s="119" t="s">
        <v>72</v>
      </c>
      <c r="B31" s="109" t="s">
        <v>73</v>
      </c>
      <c r="C31" s="113" t="s">
        <v>74</v>
      </c>
      <c r="D31" s="121">
        <f t="shared" ref="D31:E31" si="13">SUM(D23+D24)</f>
        <v>50000000</v>
      </c>
      <c r="E31" s="121">
        <f t="shared" si="13"/>
        <v>0</v>
      </c>
      <c r="F31" s="121">
        <f>SUM(F23+F24)</f>
        <v>50000000</v>
      </c>
      <c r="G31" s="121">
        <f t="shared" ref="G31:J31" si="14">SUM(G23+G24)</f>
        <v>1157803187</v>
      </c>
      <c r="H31" s="121">
        <f t="shared" si="14"/>
        <v>594482000</v>
      </c>
      <c r="I31" s="121">
        <f>SUM(I23+I24)</f>
        <v>1802285187</v>
      </c>
      <c r="J31" s="722">
        <f t="shared" si="14"/>
        <v>1802279187</v>
      </c>
      <c r="K31" s="782">
        <f t="shared" si="2"/>
        <v>0.99999667089312871</v>
      </c>
    </row>
    <row r="32" spans="1:11" s="5" customFormat="1" ht="14.25" customHeight="1">
      <c r="A32" s="323" t="s">
        <v>75</v>
      </c>
      <c r="B32" s="336" t="s">
        <v>76</v>
      </c>
      <c r="C32" s="337" t="s">
        <v>77</v>
      </c>
      <c r="D32" s="442"/>
      <c r="E32" s="442"/>
      <c r="F32" s="338"/>
      <c r="G32" s="300">
        <f t="shared" si="11"/>
        <v>0</v>
      </c>
      <c r="H32" s="300"/>
      <c r="I32" s="303"/>
      <c r="J32" s="269"/>
      <c r="K32" s="782"/>
    </row>
    <row r="33" spans="1:11" s="5" customFormat="1" ht="14.25" customHeight="1">
      <c r="A33" s="323" t="s">
        <v>78</v>
      </c>
      <c r="B33" s="324" t="s">
        <v>79</v>
      </c>
      <c r="C33" s="325" t="s">
        <v>80</v>
      </c>
      <c r="D33" s="437">
        <f t="shared" ref="D33:E33" si="15">SUM(D34:D36)</f>
        <v>131000000</v>
      </c>
      <c r="E33" s="437">
        <f t="shared" si="15"/>
        <v>0</v>
      </c>
      <c r="F33" s="326">
        <f>SUM(F34:F36)</f>
        <v>131000000</v>
      </c>
      <c r="G33" s="326">
        <f t="shared" ref="G33:H33" si="16">SUM(G34:G36)</f>
        <v>-1608935</v>
      </c>
      <c r="H33" s="326">
        <f t="shared" si="16"/>
        <v>0</v>
      </c>
      <c r="I33" s="326">
        <v>129391065</v>
      </c>
      <c r="J33" s="269">
        <v>125445522</v>
      </c>
      <c r="K33" s="782">
        <f t="shared" si="2"/>
        <v>0.96950683573089069</v>
      </c>
    </row>
    <row r="34" spans="1:11" s="5" customFormat="1" ht="14.25" customHeight="1">
      <c r="A34" s="323" t="s">
        <v>81</v>
      </c>
      <c r="B34" s="339" t="s">
        <v>82</v>
      </c>
      <c r="C34" s="340" t="s">
        <v>80</v>
      </c>
      <c r="D34" s="443">
        <v>75000000</v>
      </c>
      <c r="E34" s="443"/>
      <c r="F34" s="328">
        <v>75000000</v>
      </c>
      <c r="G34" s="300">
        <f t="shared" si="11"/>
        <v>-1954161</v>
      </c>
      <c r="H34" s="300">
        <f>I34-F34-G34</f>
        <v>0</v>
      </c>
      <c r="I34" s="303">
        <v>73045839</v>
      </c>
      <c r="J34" s="269">
        <v>70819575</v>
      </c>
      <c r="K34" s="782">
        <f t="shared" si="2"/>
        <v>0.9695223707403785</v>
      </c>
    </row>
    <row r="35" spans="1:11" s="5" customFormat="1" ht="14.25" customHeight="1">
      <c r="A35" s="323" t="s">
        <v>83</v>
      </c>
      <c r="B35" s="342" t="s">
        <v>84</v>
      </c>
      <c r="C35" s="340" t="s">
        <v>80</v>
      </c>
      <c r="D35" s="443">
        <v>8000000</v>
      </c>
      <c r="E35" s="443"/>
      <c r="F35" s="328">
        <v>8000000</v>
      </c>
      <c r="G35" s="300">
        <f t="shared" si="11"/>
        <v>0</v>
      </c>
      <c r="H35" s="300">
        <f t="shared" ref="H35:H44" si="17">I35-F35-G35</f>
        <v>0</v>
      </c>
      <c r="I35" s="303">
        <v>8000000</v>
      </c>
      <c r="J35" s="269">
        <v>6280721</v>
      </c>
      <c r="K35" s="782">
        <f t="shared" si="2"/>
        <v>0.78509012499999997</v>
      </c>
    </row>
    <row r="36" spans="1:11" s="5" customFormat="1" ht="14.25" customHeight="1">
      <c r="A36" s="323" t="s">
        <v>85</v>
      </c>
      <c r="B36" s="342" t="s">
        <v>86</v>
      </c>
      <c r="C36" s="340" t="s">
        <v>80</v>
      </c>
      <c r="D36" s="443">
        <v>48000000</v>
      </c>
      <c r="E36" s="443"/>
      <c r="F36" s="328">
        <v>48000000</v>
      </c>
      <c r="G36" s="300">
        <f t="shared" si="11"/>
        <v>345226</v>
      </c>
      <c r="H36" s="300">
        <f t="shared" si="17"/>
        <v>0</v>
      </c>
      <c r="I36" s="303">
        <v>48345226</v>
      </c>
      <c r="J36" s="269">
        <v>48345226</v>
      </c>
      <c r="K36" s="782">
        <f t="shared" si="2"/>
        <v>1</v>
      </c>
    </row>
    <row r="37" spans="1:11" s="5" customFormat="1" ht="14.25" customHeight="1">
      <c r="A37" s="323" t="s">
        <v>87</v>
      </c>
      <c r="B37" s="343" t="s">
        <v>88</v>
      </c>
      <c r="C37" s="325" t="s">
        <v>89</v>
      </c>
      <c r="D37" s="437">
        <f t="shared" ref="D37:E37" si="18">SUM(D38:D39)</f>
        <v>580000000</v>
      </c>
      <c r="E37" s="437">
        <f t="shared" si="18"/>
        <v>0</v>
      </c>
      <c r="F37" s="326">
        <f>SUM(F38:F39)</f>
        <v>580000000</v>
      </c>
      <c r="G37" s="300">
        <f t="shared" si="11"/>
        <v>0</v>
      </c>
      <c r="H37" s="300">
        <f t="shared" si="17"/>
        <v>0</v>
      </c>
      <c r="I37" s="303">
        <v>580000000</v>
      </c>
      <c r="J37" s="269">
        <v>518009466</v>
      </c>
      <c r="K37" s="782">
        <f t="shared" si="2"/>
        <v>0.89311976896551726</v>
      </c>
    </row>
    <row r="38" spans="1:11" s="5" customFormat="1" ht="14.25" customHeight="1">
      <c r="A38" s="323" t="s">
        <v>90</v>
      </c>
      <c r="B38" s="344" t="s">
        <v>91</v>
      </c>
      <c r="C38" s="340" t="s">
        <v>89</v>
      </c>
      <c r="D38" s="443">
        <v>580000000</v>
      </c>
      <c r="E38" s="443"/>
      <c r="F38" s="328">
        <v>580000000</v>
      </c>
      <c r="G38" s="300">
        <f t="shared" si="11"/>
        <v>0</v>
      </c>
      <c r="H38" s="300">
        <f t="shared" si="17"/>
        <v>0</v>
      </c>
      <c r="I38" s="303">
        <v>580000000</v>
      </c>
      <c r="J38" s="269">
        <v>518009466</v>
      </c>
      <c r="K38" s="782">
        <f t="shared" si="2"/>
        <v>0.89311976896551726</v>
      </c>
    </row>
    <row r="39" spans="1:11" s="5" customFormat="1" ht="14.25" customHeight="1">
      <c r="A39" s="323" t="s">
        <v>92</v>
      </c>
      <c r="B39" s="344" t="s">
        <v>93</v>
      </c>
      <c r="C39" s="340" t="s">
        <v>89</v>
      </c>
      <c r="D39" s="443"/>
      <c r="E39" s="443"/>
      <c r="F39" s="326"/>
      <c r="G39" s="300">
        <f t="shared" si="11"/>
        <v>0</v>
      </c>
      <c r="H39" s="300">
        <f t="shared" si="17"/>
        <v>0</v>
      </c>
      <c r="I39" s="303"/>
      <c r="J39" s="269"/>
      <c r="K39" s="782" t="s">
        <v>861</v>
      </c>
    </row>
    <row r="40" spans="1:11" s="5" customFormat="1" ht="17.25" customHeight="1">
      <c r="A40" s="323" t="s">
        <v>94</v>
      </c>
      <c r="B40" s="345" t="s">
        <v>95</v>
      </c>
      <c r="C40" s="325" t="s">
        <v>96</v>
      </c>
      <c r="D40" s="436">
        <v>38000000</v>
      </c>
      <c r="E40" s="436"/>
      <c r="F40" s="326">
        <v>38000000</v>
      </c>
      <c r="G40" s="300">
        <f t="shared" si="11"/>
        <v>0</v>
      </c>
      <c r="H40" s="300">
        <f t="shared" si="17"/>
        <v>0</v>
      </c>
      <c r="I40" s="303">
        <v>38000000</v>
      </c>
      <c r="J40" s="269">
        <v>19313288</v>
      </c>
      <c r="K40" s="782">
        <f t="shared" si="2"/>
        <v>0.50824442105263157</v>
      </c>
    </row>
    <row r="41" spans="1:11" s="5" customFormat="1" ht="17.25" customHeight="1">
      <c r="A41" s="323" t="s">
        <v>97</v>
      </c>
      <c r="B41" s="343" t="s">
        <v>98</v>
      </c>
      <c r="C41" s="325" t="s">
        <v>99</v>
      </c>
      <c r="D41" s="437">
        <f t="shared" ref="D41:E41" si="19">SUM(D42:D43)</f>
        <v>0</v>
      </c>
      <c r="E41" s="437">
        <f t="shared" si="19"/>
        <v>0</v>
      </c>
      <c r="F41" s="326">
        <f>SUM(F42:F43)</f>
        <v>0</v>
      </c>
      <c r="G41" s="300">
        <v>669400</v>
      </c>
      <c r="H41" s="300">
        <f>I41-F41-G41</f>
        <v>891000</v>
      </c>
      <c r="I41" s="303">
        <v>1560400</v>
      </c>
      <c r="J41" s="269">
        <v>1560400</v>
      </c>
      <c r="K41" s="782">
        <f t="shared" si="2"/>
        <v>1</v>
      </c>
    </row>
    <row r="42" spans="1:11" s="5" customFormat="1" ht="14.25" customHeight="1">
      <c r="A42" s="323" t="s">
        <v>100</v>
      </c>
      <c r="B42" s="344" t="s">
        <v>101</v>
      </c>
      <c r="C42" s="340" t="s">
        <v>99</v>
      </c>
      <c r="D42" s="443"/>
      <c r="E42" s="443"/>
      <c r="F42" s="326"/>
      <c r="G42" s="300">
        <v>669400</v>
      </c>
      <c r="H42" s="300">
        <f t="shared" si="17"/>
        <v>891000</v>
      </c>
      <c r="I42" s="303">
        <v>1560400</v>
      </c>
      <c r="J42" s="269">
        <v>1560400</v>
      </c>
      <c r="K42" s="782">
        <f t="shared" si="2"/>
        <v>1</v>
      </c>
    </row>
    <row r="43" spans="1:11" s="5" customFormat="1" ht="14.25" customHeight="1">
      <c r="A43" s="323" t="s">
        <v>102</v>
      </c>
      <c r="B43" s="344" t="s">
        <v>103</v>
      </c>
      <c r="C43" s="340" t="s">
        <v>99</v>
      </c>
      <c r="D43" s="443"/>
      <c r="E43" s="443"/>
      <c r="F43" s="326"/>
      <c r="G43" s="300">
        <f t="shared" si="11"/>
        <v>0</v>
      </c>
      <c r="H43" s="300">
        <f t="shared" si="17"/>
        <v>0</v>
      </c>
      <c r="I43" s="303"/>
      <c r="J43" s="269"/>
      <c r="K43" s="782"/>
    </row>
    <row r="44" spans="1:11" s="5" customFormat="1" ht="14.25" customHeight="1">
      <c r="A44" s="323" t="s">
        <v>104</v>
      </c>
      <c r="B44" s="334" t="s">
        <v>105</v>
      </c>
      <c r="C44" s="346" t="s">
        <v>106</v>
      </c>
      <c r="D44" s="444">
        <v>2000000</v>
      </c>
      <c r="E44" s="444"/>
      <c r="F44" s="326">
        <v>2000000</v>
      </c>
      <c r="G44" s="300">
        <v>593953</v>
      </c>
      <c r="H44" s="300">
        <f t="shared" si="17"/>
        <v>1246862</v>
      </c>
      <c r="I44" s="303">
        <v>3840815</v>
      </c>
      <c r="J44" s="269">
        <v>3564923</v>
      </c>
      <c r="K44" s="782">
        <f t="shared" si="2"/>
        <v>0.92816837051511203</v>
      </c>
    </row>
    <row r="45" spans="1:11" s="614" customFormat="1" ht="17.25" customHeight="1">
      <c r="A45" s="119" t="s">
        <v>107</v>
      </c>
      <c r="B45" s="109" t="s">
        <v>108</v>
      </c>
      <c r="C45" s="113" t="s">
        <v>109</v>
      </c>
      <c r="D45" s="121">
        <f t="shared" ref="D45:E45" si="20">SUM(D32+D33+D37+D40+D41+D44)</f>
        <v>751000000</v>
      </c>
      <c r="E45" s="121">
        <f t="shared" si="20"/>
        <v>0</v>
      </c>
      <c r="F45" s="121">
        <f>SUM(F32+F33+F37+F40+F41+F44)</f>
        <v>751000000</v>
      </c>
      <c r="G45" s="121">
        <f t="shared" ref="G45:J45" si="21">SUM(G32+G33+G37+G40+G41+G44)</f>
        <v>-345582</v>
      </c>
      <c r="H45" s="121">
        <f t="shared" si="21"/>
        <v>2137862</v>
      </c>
      <c r="I45" s="121">
        <f t="shared" si="21"/>
        <v>752792280</v>
      </c>
      <c r="J45" s="121">
        <f t="shared" si="21"/>
        <v>667893599</v>
      </c>
      <c r="K45" s="782">
        <f t="shared" si="2"/>
        <v>0.88722163702316392</v>
      </c>
    </row>
    <row r="46" spans="1:11" s="5" customFormat="1" ht="14.25" customHeight="1">
      <c r="A46" s="323" t="s">
        <v>110</v>
      </c>
      <c r="B46" s="334" t="s">
        <v>111</v>
      </c>
      <c r="C46" s="346" t="s">
        <v>112</v>
      </c>
      <c r="D46" s="444">
        <v>5000000</v>
      </c>
      <c r="E46" s="444">
        <v>45457314</v>
      </c>
      <c r="F46" s="326">
        <f>3937000+46520314</f>
        <v>50457314</v>
      </c>
      <c r="G46" s="300">
        <v>-304090</v>
      </c>
      <c r="H46" s="300">
        <f>I46-F46-G46</f>
        <v>1143053</v>
      </c>
      <c r="I46" s="303">
        <v>51296277</v>
      </c>
      <c r="J46" s="269">
        <v>4750371</v>
      </c>
      <c r="K46" s="782">
        <f t="shared" si="2"/>
        <v>9.2606545305422464E-2</v>
      </c>
    </row>
    <row r="47" spans="1:11" s="5" customFormat="1" ht="14.25" customHeight="1">
      <c r="A47" s="323" t="s">
        <v>113</v>
      </c>
      <c r="B47" s="334" t="s">
        <v>114</v>
      </c>
      <c r="C47" s="346" t="s">
        <v>115</v>
      </c>
      <c r="D47" s="444">
        <v>23000000</v>
      </c>
      <c r="E47" s="444"/>
      <c r="F47" s="326">
        <f>35000000-12000000</f>
        <v>23000000</v>
      </c>
      <c r="G47" s="300">
        <v>487768</v>
      </c>
      <c r="H47" s="300">
        <f t="shared" ref="H47:H56" si="22">I47-F47-G47</f>
        <v>2560710</v>
      </c>
      <c r="I47" s="303">
        <v>26048478</v>
      </c>
      <c r="J47" s="269">
        <v>23732260</v>
      </c>
      <c r="K47" s="782">
        <f t="shared" si="2"/>
        <v>0.91108048616122606</v>
      </c>
    </row>
    <row r="48" spans="1:11" s="5" customFormat="1" ht="14.25" customHeight="1">
      <c r="A48" s="323" t="s">
        <v>116</v>
      </c>
      <c r="B48" s="334" t="s">
        <v>117</v>
      </c>
      <c r="C48" s="346" t="s">
        <v>118</v>
      </c>
      <c r="D48" s="444">
        <v>24000000</v>
      </c>
      <c r="E48" s="444"/>
      <c r="F48" s="326">
        <f>12000000+12000000</f>
        <v>24000000</v>
      </c>
      <c r="G48" s="300">
        <v>1348440</v>
      </c>
      <c r="H48" s="300">
        <f t="shared" si="22"/>
        <v>595242</v>
      </c>
      <c r="I48" s="303">
        <v>25943682</v>
      </c>
      <c r="J48" s="269">
        <v>9596383</v>
      </c>
      <c r="K48" s="782">
        <f t="shared" si="2"/>
        <v>0.36989287025642698</v>
      </c>
    </row>
    <row r="49" spans="1:11" s="5" customFormat="1" ht="14.25" customHeight="1">
      <c r="A49" s="323" t="s">
        <v>119</v>
      </c>
      <c r="B49" s="334" t="s">
        <v>120</v>
      </c>
      <c r="C49" s="346" t="s">
        <v>121</v>
      </c>
      <c r="D49" s="444">
        <v>23275230</v>
      </c>
      <c r="E49" s="444"/>
      <c r="F49" s="326">
        <f>16552170+6723060</f>
        <v>23275230</v>
      </c>
      <c r="G49" s="300">
        <f t="shared" si="11"/>
        <v>0</v>
      </c>
      <c r="H49" s="300">
        <f t="shared" si="22"/>
        <v>0</v>
      </c>
      <c r="I49" s="303">
        <v>23275230</v>
      </c>
      <c r="J49" s="269"/>
      <c r="K49" s="782">
        <f t="shared" si="2"/>
        <v>0</v>
      </c>
    </row>
    <row r="50" spans="1:11" s="5" customFormat="1" ht="14.25" customHeight="1">
      <c r="A50" s="323" t="s">
        <v>122</v>
      </c>
      <c r="B50" s="334" t="s">
        <v>123</v>
      </c>
      <c r="C50" s="346" t="s">
        <v>124</v>
      </c>
      <c r="D50" s="444">
        <v>24000000</v>
      </c>
      <c r="E50" s="444"/>
      <c r="F50" s="326">
        <v>24000000</v>
      </c>
      <c r="G50" s="300">
        <f t="shared" si="11"/>
        <v>8259</v>
      </c>
      <c r="H50" s="300">
        <f t="shared" si="22"/>
        <v>0</v>
      </c>
      <c r="I50" s="303">
        <v>24008259</v>
      </c>
      <c r="J50" s="269">
        <v>16060917</v>
      </c>
      <c r="K50" s="782">
        <f t="shared" si="2"/>
        <v>0.66897466409371875</v>
      </c>
    </row>
    <row r="51" spans="1:11" s="5" customFormat="1" ht="14.25" customHeight="1">
      <c r="A51" s="323" t="s">
        <v>125</v>
      </c>
      <c r="B51" s="334" t="s">
        <v>126</v>
      </c>
      <c r="C51" s="346" t="s">
        <v>127</v>
      </c>
      <c r="D51" s="444">
        <v>17060554</v>
      </c>
      <c r="E51" s="444">
        <v>12273474</v>
      </c>
      <c r="F51" s="326">
        <f>SUM(F46:F50)*0.27-12560484+2816725</f>
        <v>29334027.880000003</v>
      </c>
      <c r="G51" s="300">
        <v>552836</v>
      </c>
      <c r="H51" s="300">
        <f t="shared" si="22"/>
        <v>1005424.1199999973</v>
      </c>
      <c r="I51" s="303">
        <v>30892288</v>
      </c>
      <c r="J51" s="269">
        <v>15558533</v>
      </c>
      <c r="K51" s="782">
        <f t="shared" si="2"/>
        <v>0.50363809245854496</v>
      </c>
    </row>
    <row r="52" spans="1:11" s="5" customFormat="1" ht="14.25" customHeight="1">
      <c r="A52" s="323" t="s">
        <v>128</v>
      </c>
      <c r="B52" s="334" t="s">
        <v>129</v>
      </c>
      <c r="C52" s="346" t="s">
        <v>130</v>
      </c>
      <c r="D52" s="444"/>
      <c r="E52" s="444"/>
      <c r="F52" s="326"/>
      <c r="G52" s="300">
        <f t="shared" si="11"/>
        <v>0</v>
      </c>
      <c r="H52" s="300">
        <f t="shared" si="22"/>
        <v>0</v>
      </c>
      <c r="I52" s="303"/>
      <c r="J52" s="269"/>
      <c r="K52" s="782"/>
    </row>
    <row r="53" spans="1:11" s="5" customFormat="1" ht="14.25" customHeight="1">
      <c r="A53" s="323" t="s">
        <v>131</v>
      </c>
      <c r="B53" s="334" t="s">
        <v>132</v>
      </c>
      <c r="C53" s="346" t="s">
        <v>133</v>
      </c>
      <c r="D53" s="444">
        <v>500000</v>
      </c>
      <c r="E53" s="444"/>
      <c r="F53" s="326">
        <v>500000</v>
      </c>
      <c r="G53" s="300">
        <v>484400</v>
      </c>
      <c r="H53" s="300">
        <f t="shared" si="22"/>
        <v>452374</v>
      </c>
      <c r="I53" s="303">
        <v>1436774</v>
      </c>
      <c r="J53" s="269">
        <v>1302211</v>
      </c>
      <c r="K53" s="782">
        <f t="shared" si="2"/>
        <v>0.9063436559960022</v>
      </c>
    </row>
    <row r="54" spans="1:11" s="5" customFormat="1" ht="14.25" customHeight="1">
      <c r="A54" s="323" t="s">
        <v>134</v>
      </c>
      <c r="B54" s="334" t="s">
        <v>135</v>
      </c>
      <c r="C54" s="346" t="s">
        <v>136</v>
      </c>
      <c r="D54" s="444"/>
      <c r="E54" s="444"/>
      <c r="F54" s="349"/>
      <c r="G54" s="300">
        <v>6</v>
      </c>
      <c r="H54" s="300">
        <f t="shared" si="22"/>
        <v>0</v>
      </c>
      <c r="I54" s="303">
        <v>6</v>
      </c>
      <c r="J54" s="269">
        <v>6</v>
      </c>
      <c r="K54" s="782">
        <f t="shared" si="2"/>
        <v>1</v>
      </c>
    </row>
    <row r="55" spans="1:11" s="5" customFormat="1" ht="14.25" customHeight="1">
      <c r="A55" s="323" t="s">
        <v>137</v>
      </c>
      <c r="B55" s="334" t="s">
        <v>138</v>
      </c>
      <c r="C55" s="346" t="s">
        <v>139</v>
      </c>
      <c r="D55" s="444">
        <v>500000</v>
      </c>
      <c r="E55" s="444"/>
      <c r="F55" s="349">
        <v>500000</v>
      </c>
      <c r="G55" s="300">
        <v>2028359</v>
      </c>
      <c r="H55" s="300">
        <f t="shared" si="22"/>
        <v>944491</v>
      </c>
      <c r="I55" s="303">
        <v>3472850</v>
      </c>
      <c r="J55" s="269">
        <v>2837050</v>
      </c>
      <c r="K55" s="782">
        <f t="shared" si="2"/>
        <v>0.81692270037577208</v>
      </c>
    </row>
    <row r="56" spans="1:11" s="5" customFormat="1" ht="14.25" customHeight="1">
      <c r="A56" s="323" t="s">
        <v>140</v>
      </c>
      <c r="B56" s="324" t="s">
        <v>141</v>
      </c>
      <c r="C56" s="346" t="s">
        <v>142</v>
      </c>
      <c r="D56" s="444">
        <v>2250000</v>
      </c>
      <c r="E56" s="444"/>
      <c r="F56" s="349">
        <f>2000000+250000</f>
        <v>2250000</v>
      </c>
      <c r="G56" s="300">
        <v>118155</v>
      </c>
      <c r="H56" s="300">
        <f t="shared" si="22"/>
        <v>3164</v>
      </c>
      <c r="I56" s="303">
        <v>2371319</v>
      </c>
      <c r="J56" s="269">
        <v>644680</v>
      </c>
      <c r="K56" s="782">
        <f t="shared" si="2"/>
        <v>0.27186557354788621</v>
      </c>
    </row>
    <row r="57" spans="1:11" s="615" customFormat="1" ht="15.75" customHeight="1">
      <c r="A57" s="330" t="s">
        <v>143</v>
      </c>
      <c r="B57" s="347" t="s">
        <v>144</v>
      </c>
      <c r="C57" s="332" t="s">
        <v>145</v>
      </c>
      <c r="D57" s="256">
        <f t="shared" ref="D57:E57" si="23">SUM(D46:D56)</f>
        <v>119585784</v>
      </c>
      <c r="E57" s="256">
        <f t="shared" si="23"/>
        <v>57730788</v>
      </c>
      <c r="F57" s="256">
        <f>SUM(F46:F56)</f>
        <v>177316571.88</v>
      </c>
      <c r="G57" s="256">
        <f t="shared" ref="G57:J57" si="24">SUM(G46:G56)</f>
        <v>4724133</v>
      </c>
      <c r="H57" s="256">
        <f t="shared" si="24"/>
        <v>6704458.1199999973</v>
      </c>
      <c r="I57" s="256">
        <f t="shared" si="24"/>
        <v>188745163</v>
      </c>
      <c r="J57" s="256">
        <f t="shared" si="24"/>
        <v>74482411</v>
      </c>
      <c r="K57" s="782">
        <f t="shared" si="2"/>
        <v>0.39461891269764621</v>
      </c>
    </row>
    <row r="58" spans="1:11" s="5" customFormat="1" ht="14.25" customHeight="1">
      <c r="A58" s="348" t="s">
        <v>146</v>
      </c>
      <c r="B58" s="334" t="s">
        <v>147</v>
      </c>
      <c r="C58" s="346" t="s">
        <v>148</v>
      </c>
      <c r="D58" s="444"/>
      <c r="E58" s="444"/>
      <c r="F58" s="349"/>
      <c r="G58" s="300">
        <f t="shared" si="11"/>
        <v>0</v>
      </c>
      <c r="H58" s="300">
        <f>I58-F58-G58</f>
        <v>0</v>
      </c>
      <c r="I58" s="303"/>
      <c r="J58" s="269"/>
      <c r="K58" s="782"/>
    </row>
    <row r="59" spans="1:11" s="5" customFormat="1" ht="14.25" customHeight="1">
      <c r="A59" s="348" t="s">
        <v>149</v>
      </c>
      <c r="B59" s="334" t="s">
        <v>150</v>
      </c>
      <c r="C59" s="346" t="s">
        <v>151</v>
      </c>
      <c r="D59" s="444"/>
      <c r="E59" s="444"/>
      <c r="F59" s="349"/>
      <c r="G59" s="300">
        <v>3962074</v>
      </c>
      <c r="H59" s="300">
        <f t="shared" ref="H59:H62" si="25">I59-F59-G59</f>
        <v>510000</v>
      </c>
      <c r="I59" s="304">
        <v>4472074</v>
      </c>
      <c r="J59" s="269">
        <v>4472074</v>
      </c>
      <c r="K59" s="782">
        <f t="shared" si="2"/>
        <v>1</v>
      </c>
    </row>
    <row r="60" spans="1:11" s="5" customFormat="1" ht="14.25" customHeight="1">
      <c r="A60" s="348" t="s">
        <v>152</v>
      </c>
      <c r="B60" s="334" t="s">
        <v>153</v>
      </c>
      <c r="C60" s="346" t="s">
        <v>154</v>
      </c>
      <c r="D60" s="444">
        <v>2160072</v>
      </c>
      <c r="E60" s="444"/>
      <c r="F60" s="349">
        <f>180006*12</f>
        <v>2160072</v>
      </c>
      <c r="G60" s="300">
        <v>101065</v>
      </c>
      <c r="H60" s="300">
        <f t="shared" si="25"/>
        <v>417000</v>
      </c>
      <c r="I60" s="303">
        <v>2678137</v>
      </c>
      <c r="J60" s="269">
        <v>2677363</v>
      </c>
      <c r="K60" s="782">
        <f t="shared" si="2"/>
        <v>0.99971099312693856</v>
      </c>
    </row>
    <row r="61" spans="1:11" s="5" customFormat="1" ht="14.25" customHeight="1">
      <c r="A61" s="348" t="s">
        <v>155</v>
      </c>
      <c r="B61" s="334" t="s">
        <v>156</v>
      </c>
      <c r="C61" s="346" t="s">
        <v>157</v>
      </c>
      <c r="D61" s="444"/>
      <c r="E61" s="444"/>
      <c r="F61" s="349"/>
      <c r="G61" s="300">
        <f t="shared" si="11"/>
        <v>0</v>
      </c>
      <c r="H61" s="300">
        <f t="shared" si="25"/>
        <v>0</v>
      </c>
      <c r="I61" s="303"/>
      <c r="J61" s="269"/>
      <c r="K61" s="782"/>
    </row>
    <row r="62" spans="1:11" s="5" customFormat="1" ht="14.25" customHeight="1">
      <c r="A62" s="348" t="s">
        <v>158</v>
      </c>
      <c r="B62" s="324" t="s">
        <v>159</v>
      </c>
      <c r="C62" s="346" t="s">
        <v>160</v>
      </c>
      <c r="D62" s="444"/>
      <c r="E62" s="444"/>
      <c r="F62" s="349"/>
      <c r="G62" s="300">
        <f t="shared" si="11"/>
        <v>0</v>
      </c>
      <c r="H62" s="300">
        <f t="shared" si="25"/>
        <v>0</v>
      </c>
      <c r="I62" s="303"/>
      <c r="J62" s="269"/>
      <c r="K62" s="782"/>
    </row>
    <row r="63" spans="1:11" s="615" customFormat="1" ht="19.5" customHeight="1">
      <c r="A63" s="119" t="s">
        <v>161</v>
      </c>
      <c r="B63" s="347" t="s">
        <v>162</v>
      </c>
      <c r="C63" s="355" t="s">
        <v>163</v>
      </c>
      <c r="D63" s="333">
        <f t="shared" ref="D63:E63" si="26">SUM(D58:D62)</f>
        <v>2160072</v>
      </c>
      <c r="E63" s="333">
        <f t="shared" si="26"/>
        <v>0</v>
      </c>
      <c r="F63" s="333">
        <f>SUM(F58:F62)</f>
        <v>2160072</v>
      </c>
      <c r="G63" s="333">
        <f t="shared" ref="G63:J63" si="27">SUM(G58:G62)</f>
        <v>4063139</v>
      </c>
      <c r="H63" s="333">
        <f t="shared" si="27"/>
        <v>927000</v>
      </c>
      <c r="I63" s="333">
        <f t="shared" si="27"/>
        <v>7150211</v>
      </c>
      <c r="J63" s="121">
        <f t="shared" si="27"/>
        <v>7149437</v>
      </c>
      <c r="K63" s="782">
        <f t="shared" si="2"/>
        <v>0.99989175144621611</v>
      </c>
    </row>
    <row r="64" spans="1:11" s="5" customFormat="1" ht="24" customHeight="1">
      <c r="A64" s="323" t="s">
        <v>164</v>
      </c>
      <c r="B64" s="324" t="s">
        <v>165</v>
      </c>
      <c r="C64" s="325" t="s">
        <v>166</v>
      </c>
      <c r="D64" s="440"/>
      <c r="E64" s="440"/>
      <c r="F64" s="326"/>
      <c r="G64" s="300">
        <f t="shared" si="11"/>
        <v>0</v>
      </c>
      <c r="H64" s="300">
        <f>I64-F64-G64</f>
        <v>0</v>
      </c>
      <c r="I64" s="303"/>
      <c r="J64" s="269"/>
      <c r="K64" s="782"/>
    </row>
    <row r="65" spans="1:11" s="5" customFormat="1" ht="17.25" customHeight="1">
      <c r="A65" s="323" t="s">
        <v>167</v>
      </c>
      <c r="B65" s="324" t="s">
        <v>168</v>
      </c>
      <c r="C65" s="325" t="s">
        <v>169</v>
      </c>
      <c r="D65" s="440"/>
      <c r="E65" s="440"/>
      <c r="F65" s="326"/>
      <c r="G65" s="300">
        <v>2313497</v>
      </c>
      <c r="H65" s="300">
        <f t="shared" ref="H65:H69" si="28">I65-F65-G65</f>
        <v>0</v>
      </c>
      <c r="I65" s="303">
        <v>2313497</v>
      </c>
      <c r="J65" s="269">
        <v>2310997</v>
      </c>
      <c r="K65" s="782">
        <f t="shared" si="2"/>
        <v>0.9989193848100949</v>
      </c>
    </row>
    <row r="66" spans="1:11" s="5" customFormat="1" ht="17.25" customHeight="1">
      <c r="A66" s="119" t="s">
        <v>170</v>
      </c>
      <c r="B66" s="331" t="s">
        <v>171</v>
      </c>
      <c r="C66" s="332" t="s">
        <v>172</v>
      </c>
      <c r="D66" s="439">
        <f t="shared" ref="D66:E66" si="29">SUM(D64:D65)</f>
        <v>0</v>
      </c>
      <c r="E66" s="439">
        <f t="shared" si="29"/>
        <v>0</v>
      </c>
      <c r="F66" s="439">
        <f>SUM(F64:F65)</f>
        <v>0</v>
      </c>
      <c r="G66" s="300">
        <v>2313497</v>
      </c>
      <c r="H66" s="300">
        <f t="shared" si="28"/>
        <v>0</v>
      </c>
      <c r="I66" s="439">
        <f t="shared" ref="I66:J66" si="30">SUM(I64:I65)</f>
        <v>2313497</v>
      </c>
      <c r="J66" s="112">
        <f t="shared" si="30"/>
        <v>2310997</v>
      </c>
      <c r="K66" s="782">
        <f t="shared" si="2"/>
        <v>0.9989193848100949</v>
      </c>
    </row>
    <row r="67" spans="1:11" s="5" customFormat="1" ht="16.5" customHeight="1">
      <c r="A67" s="323" t="s">
        <v>173</v>
      </c>
      <c r="B67" s="324" t="s">
        <v>174</v>
      </c>
      <c r="C67" s="325" t="s">
        <v>175</v>
      </c>
      <c r="D67" s="440"/>
      <c r="E67" s="440"/>
      <c r="F67" s="445"/>
      <c r="G67" s="300">
        <v>926787</v>
      </c>
      <c r="H67" s="300">
        <f t="shared" si="28"/>
        <v>-792000</v>
      </c>
      <c r="I67" s="303">
        <v>134787</v>
      </c>
      <c r="J67" s="269">
        <v>134787</v>
      </c>
      <c r="K67" s="782">
        <f t="shared" si="2"/>
        <v>1</v>
      </c>
    </row>
    <row r="68" spans="1:11" s="5" customFormat="1" ht="14.25" customHeight="1">
      <c r="A68" s="323" t="s">
        <v>176</v>
      </c>
      <c r="B68" s="324" t="s">
        <v>177</v>
      </c>
      <c r="C68" s="325" t="s">
        <v>178</v>
      </c>
      <c r="D68" s="440"/>
      <c r="E68" s="440"/>
      <c r="F68" s="445"/>
      <c r="G68" s="680">
        <v>0</v>
      </c>
      <c r="H68" s="300">
        <f t="shared" si="28"/>
        <v>1436000</v>
      </c>
      <c r="I68" s="303">
        <v>1436000</v>
      </c>
      <c r="J68" s="269">
        <v>1020497</v>
      </c>
      <c r="K68" s="782">
        <f t="shared" si="2"/>
        <v>0.71065250696378834</v>
      </c>
    </row>
    <row r="69" spans="1:11" s="5" customFormat="1" ht="15.75" customHeight="1">
      <c r="A69" s="323" t="s">
        <v>179</v>
      </c>
      <c r="B69" s="331" t="s">
        <v>180</v>
      </c>
      <c r="C69" s="332" t="s">
        <v>181</v>
      </c>
      <c r="D69" s="446">
        <f t="shared" ref="D69:E69" si="31">SUM(D67:D68)</f>
        <v>0</v>
      </c>
      <c r="E69" s="446">
        <f t="shared" si="31"/>
        <v>0</v>
      </c>
      <c r="F69" s="446">
        <f>SUM(F67:F68)</f>
        <v>0</v>
      </c>
      <c r="G69" s="300">
        <v>926787</v>
      </c>
      <c r="H69" s="300">
        <f t="shared" si="28"/>
        <v>644000</v>
      </c>
      <c r="I69" s="446">
        <f t="shared" ref="I69:J69" si="32">SUM(I67:I68)</f>
        <v>1570787</v>
      </c>
      <c r="J69" s="446">
        <f t="shared" si="32"/>
        <v>1155284</v>
      </c>
      <c r="K69" s="782">
        <f t="shared" si="2"/>
        <v>0.73548100410813178</v>
      </c>
    </row>
    <row r="70" spans="1:11" s="614" customFormat="1" ht="25.5" customHeight="1">
      <c r="A70" s="119" t="s">
        <v>182</v>
      </c>
      <c r="B70" s="109" t="s">
        <v>183</v>
      </c>
      <c r="C70" s="120" t="s">
        <v>184</v>
      </c>
      <c r="D70" s="121">
        <f t="shared" ref="D70:E70" si="33">SUM(D22+D31+D45+D57+D63+D66+D69)</f>
        <v>1809121792</v>
      </c>
      <c r="E70" s="121">
        <f t="shared" si="33"/>
        <v>128605968</v>
      </c>
      <c r="F70" s="121">
        <f>SUM(F22+F31+F45+F57+F63+F66+F69)</f>
        <v>1937727759.8800001</v>
      </c>
      <c r="G70" s="121">
        <f t="shared" ref="G70:J70" si="34">SUM(G22+G31+G45+G57+G63+G66+G69)</f>
        <v>1473095422</v>
      </c>
      <c r="H70" s="121">
        <f t="shared" si="34"/>
        <v>644426491.12</v>
      </c>
      <c r="I70" s="121">
        <f t="shared" si="34"/>
        <v>4055249673</v>
      </c>
      <c r="J70" s="121">
        <f t="shared" si="34"/>
        <v>3543589975</v>
      </c>
      <c r="K70" s="782">
        <f t="shared" si="2"/>
        <v>0.87382781844317781</v>
      </c>
    </row>
    <row r="71" spans="1:11" s="5" customFormat="1" ht="14.25" customHeight="1">
      <c r="A71" s="323" t="s">
        <v>185</v>
      </c>
      <c r="B71" s="324" t="s">
        <v>186</v>
      </c>
      <c r="C71" s="325" t="s">
        <v>187</v>
      </c>
      <c r="D71" s="436"/>
      <c r="E71" s="436"/>
      <c r="F71" s="350"/>
      <c r="G71" s="300">
        <f t="shared" si="11"/>
        <v>0</v>
      </c>
      <c r="H71" s="300"/>
      <c r="I71" s="303"/>
      <c r="J71" s="269"/>
      <c r="K71" s="782" t="s">
        <v>861</v>
      </c>
    </row>
    <row r="72" spans="1:11" s="5" customFormat="1" ht="14.25" customHeight="1">
      <c r="A72" s="323" t="s">
        <v>188</v>
      </c>
      <c r="B72" s="324" t="s">
        <v>189</v>
      </c>
      <c r="C72" s="325" t="s">
        <v>190</v>
      </c>
      <c r="D72" s="350">
        <f t="shared" ref="D72:E72" si="35">SUM(D73:D74)</f>
        <v>223223597</v>
      </c>
      <c r="E72" s="350">
        <f t="shared" si="35"/>
        <v>81271029</v>
      </c>
      <c r="F72" s="350">
        <f>SUM(F73:F74)</f>
        <v>304494626</v>
      </c>
      <c r="G72" s="300">
        <v>105159782</v>
      </c>
      <c r="H72" s="300">
        <f>I72-F72-G72</f>
        <v>0</v>
      </c>
      <c r="I72" s="454">
        <v>409654408</v>
      </c>
      <c r="J72" s="269">
        <v>409654408</v>
      </c>
      <c r="K72" s="782">
        <f t="shared" ref="K72:K76" si="36">J72/I72</f>
        <v>1</v>
      </c>
    </row>
    <row r="73" spans="1:11" s="5" customFormat="1" ht="14.25" customHeight="1">
      <c r="A73" s="323" t="s">
        <v>191</v>
      </c>
      <c r="B73" s="351" t="s">
        <v>192</v>
      </c>
      <c r="C73" s="325" t="s">
        <v>193</v>
      </c>
      <c r="D73" s="436">
        <v>223223597</v>
      </c>
      <c r="E73" s="436">
        <v>51271029</v>
      </c>
      <c r="F73" s="349">
        <f>30364900+52858697+32320000+16951029+2000000+140000000</f>
        <v>274494626</v>
      </c>
      <c r="G73" s="300">
        <v>99042272</v>
      </c>
      <c r="H73" s="300">
        <f t="shared" ref="H73:H74" si="37">I73-F73-G73</f>
        <v>43200</v>
      </c>
      <c r="I73" s="454">
        <v>373580098</v>
      </c>
      <c r="J73" s="269">
        <v>373580098</v>
      </c>
      <c r="K73" s="782">
        <f t="shared" si="36"/>
        <v>1</v>
      </c>
    </row>
    <row r="74" spans="1:11" s="5" customFormat="1" ht="14.25" customHeight="1">
      <c r="A74" s="323" t="s">
        <v>194</v>
      </c>
      <c r="B74" s="352" t="s">
        <v>195</v>
      </c>
      <c r="C74" s="325" t="s">
        <v>196</v>
      </c>
      <c r="D74" s="436"/>
      <c r="E74" s="436">
        <v>30000000</v>
      </c>
      <c r="F74" s="349">
        <v>30000000</v>
      </c>
      <c r="G74" s="300">
        <v>6117510</v>
      </c>
      <c r="H74" s="300">
        <f t="shared" si="37"/>
        <v>-43200</v>
      </c>
      <c r="I74" s="454">
        <v>36074310</v>
      </c>
      <c r="J74" s="269">
        <v>36074310</v>
      </c>
      <c r="K74" s="782">
        <f t="shared" si="36"/>
        <v>1</v>
      </c>
    </row>
    <row r="75" spans="1:11" s="615" customFormat="1" ht="24.75" customHeight="1">
      <c r="A75" s="119" t="s">
        <v>197</v>
      </c>
      <c r="B75" s="447" t="s">
        <v>198</v>
      </c>
      <c r="C75" s="332" t="s">
        <v>199</v>
      </c>
      <c r="D75" s="121">
        <f t="shared" ref="D75:E75" si="38">SUM(D71:D72)</f>
        <v>223223597</v>
      </c>
      <c r="E75" s="121">
        <f t="shared" si="38"/>
        <v>81271029</v>
      </c>
      <c r="F75" s="121">
        <f>SUM(F71:F72)</f>
        <v>304494626</v>
      </c>
      <c r="G75" s="121">
        <f t="shared" ref="G75:J75" si="39">SUM(G71:G72)</f>
        <v>105159782</v>
      </c>
      <c r="H75" s="121">
        <f t="shared" si="39"/>
        <v>0</v>
      </c>
      <c r="I75" s="121">
        <f t="shared" si="39"/>
        <v>409654408</v>
      </c>
      <c r="J75" s="121">
        <f t="shared" si="39"/>
        <v>409654408</v>
      </c>
      <c r="K75" s="782">
        <f t="shared" si="36"/>
        <v>1</v>
      </c>
    </row>
    <row r="76" spans="1:11" s="5" customFormat="1" ht="27" customHeight="1">
      <c r="A76" s="119" t="s">
        <v>200</v>
      </c>
      <c r="B76" s="447" t="s">
        <v>201</v>
      </c>
      <c r="C76" s="332" t="s">
        <v>736</v>
      </c>
      <c r="D76" s="121">
        <f t="shared" ref="D76:E76" si="40">SUM(D75,D70)</f>
        <v>2032345389</v>
      </c>
      <c r="E76" s="121">
        <f t="shared" si="40"/>
        <v>209876997</v>
      </c>
      <c r="F76" s="121">
        <f>SUM(F75,F70)</f>
        <v>2242222385.8800001</v>
      </c>
      <c r="G76" s="121">
        <f t="shared" ref="G76:J76" si="41">SUM(G75,G70)</f>
        <v>1578255204</v>
      </c>
      <c r="H76" s="121">
        <f t="shared" si="41"/>
        <v>644426491.12</v>
      </c>
      <c r="I76" s="121">
        <f t="shared" si="41"/>
        <v>4464904081</v>
      </c>
      <c r="J76" s="121">
        <f t="shared" si="41"/>
        <v>3953244383</v>
      </c>
      <c r="K76" s="782">
        <f t="shared" si="36"/>
        <v>0.8854041008008835</v>
      </c>
    </row>
    <row r="77" spans="1:11" ht="17.25" customHeight="1">
      <c r="A77" s="908"/>
      <c r="B77" s="908"/>
      <c r="C77" s="908"/>
      <c r="D77" s="908"/>
      <c r="E77" s="316"/>
      <c r="F77" s="316"/>
    </row>
    <row r="78" spans="1:11" s="6" customFormat="1" ht="16.5" customHeight="1">
      <c r="A78" s="909" t="s">
        <v>202</v>
      </c>
      <c r="B78" s="909"/>
      <c r="C78" s="909"/>
      <c r="D78" s="909"/>
      <c r="E78" s="316"/>
      <c r="F78" s="316"/>
      <c r="G78" s="299"/>
      <c r="H78" s="299"/>
      <c r="I78" s="301"/>
      <c r="J78" s="725"/>
      <c r="K78" s="785"/>
    </row>
    <row r="79" spans="1:11" s="7" customFormat="1" ht="38.1" customHeight="1">
      <c r="A79" s="113" t="s">
        <v>2</v>
      </c>
      <c r="B79" s="113" t="s">
        <v>203</v>
      </c>
      <c r="C79" s="113" t="s">
        <v>4</v>
      </c>
      <c r="D79" s="113" t="s">
        <v>477</v>
      </c>
      <c r="E79" s="113" t="s">
        <v>478</v>
      </c>
      <c r="F79" s="113" t="str">
        <f>+F4</f>
        <v>2017. évi eredeti előirányzat</v>
      </c>
      <c r="G79" s="265" t="s">
        <v>1002</v>
      </c>
      <c r="H79" s="265" t="s">
        <v>1003</v>
      </c>
      <c r="I79" s="302" t="s">
        <v>857</v>
      </c>
      <c r="J79" s="264" t="s">
        <v>1004</v>
      </c>
      <c r="K79" s="781" t="s">
        <v>1005</v>
      </c>
    </row>
    <row r="80" spans="1:11" s="660" customFormat="1" ht="12" customHeight="1">
      <c r="A80" s="113" t="s">
        <v>6</v>
      </c>
      <c r="B80" s="113" t="s">
        <v>7</v>
      </c>
      <c r="C80" s="113" t="s">
        <v>8</v>
      </c>
      <c r="D80" s="113" t="s">
        <v>9</v>
      </c>
      <c r="E80" s="113" t="s">
        <v>269</v>
      </c>
      <c r="F80" s="113" t="s">
        <v>479</v>
      </c>
      <c r="G80" s="264" t="s">
        <v>855</v>
      </c>
      <c r="H80" s="264" t="s">
        <v>859</v>
      </c>
      <c r="I80" s="661" t="s">
        <v>860</v>
      </c>
      <c r="J80" s="661" t="s">
        <v>1008</v>
      </c>
      <c r="K80" s="780" t="s">
        <v>1009</v>
      </c>
    </row>
    <row r="81" spans="1:11" ht="16.5" customHeight="1">
      <c r="A81" s="348" t="s">
        <v>10</v>
      </c>
      <c r="B81" s="336" t="s">
        <v>204</v>
      </c>
      <c r="C81" s="337" t="s">
        <v>205</v>
      </c>
      <c r="D81" s="448">
        <v>125812685</v>
      </c>
      <c r="E81" s="448"/>
      <c r="F81" s="326">
        <f>122972660+'[16]8.sz.mell. '!C24</f>
        <v>125812685</v>
      </c>
      <c r="G81" s="300">
        <v>171764382</v>
      </c>
      <c r="H81" s="300">
        <f>I81-F81-G81</f>
        <v>999916</v>
      </c>
      <c r="I81" s="303">
        <v>298576983</v>
      </c>
      <c r="J81" s="269">
        <v>193540392</v>
      </c>
      <c r="K81" s="783">
        <f>J81/I81</f>
        <v>0.64820934974749878</v>
      </c>
    </row>
    <row r="82" spans="1:11" ht="16.5" customHeight="1">
      <c r="A82" s="348" t="s">
        <v>13</v>
      </c>
      <c r="B82" s="336" t="s">
        <v>206</v>
      </c>
      <c r="C82" s="337" t="s">
        <v>207</v>
      </c>
      <c r="D82" s="448">
        <v>26778920</v>
      </c>
      <c r="E82" s="448"/>
      <c r="F82" s="326">
        <f>26066120+'[16]8.sz.mell. '!C25</f>
        <v>26778920</v>
      </c>
      <c r="G82" s="300">
        <v>19297897</v>
      </c>
      <c r="H82" s="300">
        <f>I82-F82-G82</f>
        <v>0</v>
      </c>
      <c r="I82" s="303">
        <v>46076817</v>
      </c>
      <c r="J82" s="269">
        <v>27767062</v>
      </c>
      <c r="K82" s="783">
        <f t="shared" ref="K82:K113" si="42">J82/I82</f>
        <v>0.60262543742984676</v>
      </c>
    </row>
    <row r="83" spans="1:11" ht="16.5" customHeight="1">
      <c r="A83" s="348" t="s">
        <v>16</v>
      </c>
      <c r="B83" s="336" t="s">
        <v>208</v>
      </c>
      <c r="C83" s="337" t="s">
        <v>209</v>
      </c>
      <c r="D83" s="448">
        <v>459704657</v>
      </c>
      <c r="E83" s="448">
        <v>56107776</v>
      </c>
      <c r="F83" s="326">
        <f>'[16]8.sz.mell. '!C26+484663421</f>
        <v>515812433</v>
      </c>
      <c r="G83" s="300">
        <v>1284531551</v>
      </c>
      <c r="H83" s="300">
        <f t="shared" ref="H83:H113" si="43">I83-F83-G83</f>
        <v>-49375433</v>
      </c>
      <c r="I83" s="303">
        <v>1750968551</v>
      </c>
      <c r="J83" s="269">
        <v>370574487</v>
      </c>
      <c r="K83" s="783">
        <f t="shared" si="42"/>
        <v>0.21163971608077156</v>
      </c>
    </row>
    <row r="84" spans="1:11" ht="16.5" customHeight="1">
      <c r="A84" s="348" t="s">
        <v>19</v>
      </c>
      <c r="B84" s="336" t="s">
        <v>210</v>
      </c>
      <c r="C84" s="337" t="s">
        <v>211</v>
      </c>
      <c r="D84" s="448">
        <v>66143000</v>
      </c>
      <c r="E84" s="448"/>
      <c r="F84" s="326">
        <f>71143000-5000000</f>
        <v>66143000</v>
      </c>
      <c r="G84" s="300">
        <v>-6763829</v>
      </c>
      <c r="H84" s="300">
        <f t="shared" si="43"/>
        <v>-1200000</v>
      </c>
      <c r="I84" s="303">
        <v>58179171</v>
      </c>
      <c r="J84" s="269">
        <v>47805473</v>
      </c>
      <c r="K84" s="783">
        <f t="shared" si="42"/>
        <v>0.8216939529784637</v>
      </c>
    </row>
    <row r="85" spans="1:11" ht="16.5" customHeight="1">
      <c r="A85" s="348" t="s">
        <v>22</v>
      </c>
      <c r="B85" s="336" t="s">
        <v>212</v>
      </c>
      <c r="C85" s="337" t="s">
        <v>213</v>
      </c>
      <c r="D85" s="437">
        <f t="shared" ref="D85:E85" si="44">SUM(D86:D92)</f>
        <v>925218634</v>
      </c>
      <c r="E85" s="437">
        <f t="shared" si="44"/>
        <v>40296343</v>
      </c>
      <c r="F85" s="326">
        <f>SUM(F86:F92)</f>
        <v>965514977</v>
      </c>
      <c r="G85" s="300">
        <v>146158392</v>
      </c>
      <c r="H85" s="300">
        <f t="shared" si="43"/>
        <v>-28010156</v>
      </c>
      <c r="I85" s="303">
        <v>1083663213</v>
      </c>
      <c r="J85" s="269">
        <v>704923416</v>
      </c>
      <c r="K85" s="783">
        <f t="shared" si="42"/>
        <v>0.65050045765464215</v>
      </c>
    </row>
    <row r="86" spans="1:11" ht="16.5" customHeight="1">
      <c r="A86" s="348" t="s">
        <v>25</v>
      </c>
      <c r="B86" s="336" t="s">
        <v>214</v>
      </c>
      <c r="C86" s="337" t="s">
        <v>215</v>
      </c>
      <c r="D86" s="448">
        <v>11554719</v>
      </c>
      <c r="E86" s="448"/>
      <c r="F86" s="326">
        <v>11554719</v>
      </c>
      <c r="G86" s="300">
        <v>2887042</v>
      </c>
      <c r="H86" s="300">
        <f t="shared" si="43"/>
        <v>0</v>
      </c>
      <c r="I86" s="303">
        <v>14441761</v>
      </c>
      <c r="J86" s="269">
        <v>14441761</v>
      </c>
      <c r="K86" s="783">
        <f t="shared" si="42"/>
        <v>1</v>
      </c>
    </row>
    <row r="87" spans="1:11" ht="16.5" customHeight="1">
      <c r="A87" s="348" t="s">
        <v>28</v>
      </c>
      <c r="B87" s="357" t="s">
        <v>216</v>
      </c>
      <c r="C87" s="358" t="s">
        <v>217</v>
      </c>
      <c r="D87" s="449"/>
      <c r="E87" s="449"/>
      <c r="F87" s="341"/>
      <c r="G87" s="300">
        <f t="shared" ref="G87:G90" si="45">I87-D87</f>
        <v>0</v>
      </c>
      <c r="H87" s="300">
        <f t="shared" si="43"/>
        <v>0</v>
      </c>
      <c r="I87" s="303"/>
      <c r="J87" s="269"/>
      <c r="K87" s="783"/>
    </row>
    <row r="88" spans="1:11" ht="16.5" customHeight="1">
      <c r="A88" s="348" t="s">
        <v>31</v>
      </c>
      <c r="B88" s="357" t="s">
        <v>218</v>
      </c>
      <c r="C88" s="358" t="s">
        <v>219</v>
      </c>
      <c r="D88" s="449"/>
      <c r="E88" s="449"/>
      <c r="F88" s="341"/>
      <c r="G88" s="300">
        <f t="shared" si="45"/>
        <v>0</v>
      </c>
      <c r="H88" s="300">
        <f t="shared" si="43"/>
        <v>0</v>
      </c>
      <c r="I88" s="303"/>
      <c r="J88" s="269"/>
      <c r="K88" s="783"/>
    </row>
    <row r="89" spans="1:11" ht="16.5" customHeight="1">
      <c r="A89" s="348" t="s">
        <v>34</v>
      </c>
      <c r="B89" s="359" t="s">
        <v>220</v>
      </c>
      <c r="C89" s="358" t="s">
        <v>221</v>
      </c>
      <c r="D89" s="449">
        <v>435516731</v>
      </c>
      <c r="E89" s="449"/>
      <c r="F89" s="450">
        <f>SUM(139880306+30000000+397510+242687617+21734382+216916+600000)</f>
        <v>435516731</v>
      </c>
      <c r="G89" s="300">
        <v>25844448</v>
      </c>
      <c r="H89" s="300">
        <f t="shared" si="43"/>
        <v>23266125</v>
      </c>
      <c r="I89" s="303">
        <v>484627304</v>
      </c>
      <c r="J89" s="269">
        <v>357422546</v>
      </c>
      <c r="K89" s="783">
        <f t="shared" si="42"/>
        <v>0.73752044725899302</v>
      </c>
    </row>
    <row r="90" spans="1:11" ht="16.5" customHeight="1">
      <c r="A90" s="348" t="s">
        <v>37</v>
      </c>
      <c r="B90" s="357" t="s">
        <v>222</v>
      </c>
      <c r="C90" s="358" t="s">
        <v>223</v>
      </c>
      <c r="D90" s="449"/>
      <c r="E90" s="449"/>
      <c r="F90" s="341"/>
      <c r="G90" s="300">
        <f t="shared" si="45"/>
        <v>0</v>
      </c>
      <c r="H90" s="300">
        <f t="shared" si="43"/>
        <v>0</v>
      </c>
      <c r="I90" s="303"/>
      <c r="J90" s="269"/>
      <c r="K90" s="783"/>
    </row>
    <row r="91" spans="1:11" ht="16.5" customHeight="1">
      <c r="A91" s="348" t="s">
        <v>39</v>
      </c>
      <c r="B91" s="357" t="s">
        <v>224</v>
      </c>
      <c r="C91" s="358" t="s">
        <v>225</v>
      </c>
      <c r="D91" s="449">
        <f>431297184-E91</f>
        <v>408147184</v>
      </c>
      <c r="E91" s="449">
        <v>23150000</v>
      </c>
      <c r="F91" s="450">
        <f>'[16]5.sz.mell'!E20</f>
        <v>431297184</v>
      </c>
      <c r="G91" s="300">
        <v>60750000</v>
      </c>
      <c r="H91" s="300">
        <f t="shared" si="43"/>
        <v>-22650220</v>
      </c>
      <c r="I91" s="303">
        <v>469396964</v>
      </c>
      <c r="J91" s="269">
        <v>332981939</v>
      </c>
      <c r="K91" s="783">
        <f t="shared" si="42"/>
        <v>0.70938238748386961</v>
      </c>
    </row>
    <row r="92" spans="1:11" ht="16.5" customHeight="1">
      <c r="A92" s="348" t="s">
        <v>41</v>
      </c>
      <c r="B92" s="357" t="s">
        <v>226</v>
      </c>
      <c r="C92" s="358" t="s">
        <v>227</v>
      </c>
      <c r="D92" s="449">
        <f>SUM(D93:D94)</f>
        <v>70000000</v>
      </c>
      <c r="E92" s="449">
        <f>SUM(E93:E94)</f>
        <v>17146343</v>
      </c>
      <c r="F92" s="341">
        <f>SUM(F93:F94)</f>
        <v>87146343</v>
      </c>
      <c r="G92" s="300">
        <v>68576902</v>
      </c>
      <c r="H92" s="300">
        <f t="shared" si="43"/>
        <v>-40603231</v>
      </c>
      <c r="I92" s="303">
        <v>115120014</v>
      </c>
      <c r="J92" s="269"/>
      <c r="K92" s="783">
        <f t="shared" si="42"/>
        <v>0</v>
      </c>
    </row>
    <row r="93" spans="1:11" ht="16.5" customHeight="1">
      <c r="A93" s="348" t="s">
        <v>43</v>
      </c>
      <c r="B93" s="357" t="s">
        <v>228</v>
      </c>
      <c r="C93" s="356" t="s">
        <v>227</v>
      </c>
      <c r="D93" s="451">
        <v>70000000</v>
      </c>
      <c r="E93" s="451"/>
      <c r="F93" s="341">
        <v>70000000</v>
      </c>
      <c r="G93" s="300">
        <v>51430559</v>
      </c>
      <c r="H93" s="300">
        <f t="shared" si="43"/>
        <v>-23456888</v>
      </c>
      <c r="I93" s="303">
        <v>97973671</v>
      </c>
      <c r="J93" s="269"/>
      <c r="K93" s="783">
        <f t="shared" si="42"/>
        <v>0</v>
      </c>
    </row>
    <row r="94" spans="1:11" ht="16.5" customHeight="1">
      <c r="A94" s="348" t="s">
        <v>45</v>
      </c>
      <c r="B94" s="360" t="s">
        <v>229</v>
      </c>
      <c r="C94" s="356" t="s">
        <v>227</v>
      </c>
      <c r="D94" s="451"/>
      <c r="E94" s="451">
        <v>17146343</v>
      </c>
      <c r="F94" s="341">
        <f>'[16]8.sz.mell. '!D22+'[16]8.sz.mell. '!E22</f>
        <v>17146343</v>
      </c>
      <c r="G94" s="300">
        <v>17146343</v>
      </c>
      <c r="H94" s="300">
        <f t="shared" si="43"/>
        <v>-17146343</v>
      </c>
      <c r="I94" s="303">
        <v>17146343</v>
      </c>
      <c r="J94" s="269"/>
      <c r="K94" s="783">
        <f t="shared" si="42"/>
        <v>0</v>
      </c>
    </row>
    <row r="95" spans="1:11" ht="16.5" customHeight="1">
      <c r="A95" s="361" t="s">
        <v>47</v>
      </c>
      <c r="B95" s="362" t="s">
        <v>471</v>
      </c>
      <c r="C95" s="113" t="s">
        <v>230</v>
      </c>
      <c r="D95" s="302">
        <f t="shared" ref="D95:E95" si="46">SUM(D81:D85)</f>
        <v>1603657896</v>
      </c>
      <c r="E95" s="302">
        <f t="shared" si="46"/>
        <v>96404119</v>
      </c>
      <c r="F95" s="256">
        <f>SUM(F81:F85)</f>
        <v>1700062015</v>
      </c>
      <c r="G95" s="256">
        <f t="shared" ref="G95:J95" si="47">SUM(G81:G85)</f>
        <v>1614988393</v>
      </c>
      <c r="H95" s="256">
        <f t="shared" si="47"/>
        <v>-77585673</v>
      </c>
      <c r="I95" s="256">
        <f t="shared" si="47"/>
        <v>3237464735</v>
      </c>
      <c r="J95" s="256">
        <f t="shared" si="47"/>
        <v>1344610830</v>
      </c>
      <c r="K95" s="783">
        <f t="shared" si="42"/>
        <v>0.41532833252622287</v>
      </c>
    </row>
    <row r="96" spans="1:11" ht="16.5" customHeight="1">
      <c r="A96" s="348" t="s">
        <v>49</v>
      </c>
      <c r="B96" s="336" t="s">
        <v>231</v>
      </c>
      <c r="C96" s="337" t="s">
        <v>232</v>
      </c>
      <c r="D96" s="448">
        <v>13000000</v>
      </c>
      <c r="E96" s="448">
        <v>45440500</v>
      </c>
      <c r="F96" s="326">
        <f>'[16]4. sz.mell'!G13</f>
        <v>58440500</v>
      </c>
      <c r="G96" s="300">
        <v>73033639</v>
      </c>
      <c r="H96" s="300">
        <f t="shared" si="43"/>
        <v>548913900</v>
      </c>
      <c r="I96" s="303">
        <v>680388039</v>
      </c>
      <c r="J96" s="269">
        <v>61299820</v>
      </c>
      <c r="K96" s="783">
        <f t="shared" si="42"/>
        <v>9.0095381585624842E-2</v>
      </c>
    </row>
    <row r="97" spans="1:11" ht="16.5" customHeight="1">
      <c r="A97" s="348" t="s">
        <v>51</v>
      </c>
      <c r="B97" s="336" t="s">
        <v>233</v>
      </c>
      <c r="C97" s="337" t="s">
        <v>234</v>
      </c>
      <c r="D97" s="448">
        <v>81359542</v>
      </c>
      <c r="E97" s="448">
        <v>42451029</v>
      </c>
      <c r="F97" s="326">
        <f>'[16]4. sz.mell'!G19</f>
        <v>123810571</v>
      </c>
      <c r="G97" s="300">
        <v>71712571</v>
      </c>
      <c r="H97" s="300">
        <f t="shared" si="43"/>
        <v>-37510434</v>
      </c>
      <c r="I97" s="303">
        <v>158012708</v>
      </c>
      <c r="J97" s="269">
        <v>32504475</v>
      </c>
      <c r="K97" s="783">
        <f t="shared" si="42"/>
        <v>0.20570798014549563</v>
      </c>
    </row>
    <row r="98" spans="1:11" ht="16.5" customHeight="1">
      <c r="A98" s="348" t="s">
        <v>54</v>
      </c>
      <c r="B98" s="324" t="s">
        <v>235</v>
      </c>
      <c r="C98" s="325" t="s">
        <v>236</v>
      </c>
      <c r="D98" s="436">
        <f t="shared" ref="D98:E98" si="48">SUM(D99:D104)</f>
        <v>5000000</v>
      </c>
      <c r="E98" s="436">
        <f t="shared" si="48"/>
        <v>0</v>
      </c>
      <c r="F98" s="326">
        <f>SUM(F99:F104)</f>
        <v>5000000</v>
      </c>
      <c r="G98" s="300">
        <v>1075000</v>
      </c>
      <c r="H98" s="300">
        <f t="shared" si="43"/>
        <v>16531648</v>
      </c>
      <c r="I98" s="303">
        <v>22606648</v>
      </c>
      <c r="J98" s="269">
        <v>22006648</v>
      </c>
      <c r="K98" s="783">
        <f t="shared" si="42"/>
        <v>0.97345913467578205</v>
      </c>
    </row>
    <row r="99" spans="1:11" ht="16.5" customHeight="1">
      <c r="A99" s="348" t="s">
        <v>57</v>
      </c>
      <c r="B99" s="363" t="s">
        <v>237</v>
      </c>
      <c r="C99" s="340" t="s">
        <v>238</v>
      </c>
      <c r="D99" s="443"/>
      <c r="E99" s="443"/>
      <c r="F99" s="328"/>
      <c r="G99" s="300">
        <f t="shared" ref="G99:G102" si="49">I99-D99</f>
        <v>0</v>
      </c>
      <c r="H99" s="300">
        <f t="shared" si="43"/>
        <v>0</v>
      </c>
      <c r="I99" s="303"/>
      <c r="J99" s="269"/>
      <c r="K99" s="783"/>
    </row>
    <row r="100" spans="1:11" ht="16.5" customHeight="1">
      <c r="A100" s="348" t="s">
        <v>60</v>
      </c>
      <c r="B100" s="364" t="s">
        <v>218</v>
      </c>
      <c r="C100" s="340" t="s">
        <v>239</v>
      </c>
      <c r="D100" s="443"/>
      <c r="E100" s="443"/>
      <c r="F100" s="328"/>
      <c r="G100" s="300">
        <f t="shared" si="49"/>
        <v>0</v>
      </c>
      <c r="H100" s="300">
        <f t="shared" si="43"/>
        <v>0</v>
      </c>
      <c r="I100" s="303"/>
      <c r="J100" s="269"/>
      <c r="K100" s="783"/>
    </row>
    <row r="101" spans="1:11" ht="16.5" customHeight="1">
      <c r="A101" s="348" t="s">
        <v>62</v>
      </c>
      <c r="B101" s="364" t="s">
        <v>240</v>
      </c>
      <c r="C101" s="340" t="s">
        <v>241</v>
      </c>
      <c r="D101" s="443"/>
      <c r="E101" s="443"/>
      <c r="F101" s="328"/>
      <c r="G101" s="300">
        <f t="shared" si="49"/>
        <v>0</v>
      </c>
      <c r="H101" s="300">
        <f t="shared" si="43"/>
        <v>0</v>
      </c>
      <c r="I101" s="303"/>
      <c r="J101" s="269"/>
      <c r="K101" s="783"/>
    </row>
    <row r="102" spans="1:11" ht="16.5" customHeight="1">
      <c r="A102" s="348" t="s">
        <v>64</v>
      </c>
      <c r="B102" s="364" t="s">
        <v>242</v>
      </c>
      <c r="C102" s="340" t="s">
        <v>243</v>
      </c>
      <c r="D102" s="443"/>
      <c r="E102" s="443"/>
      <c r="F102" s="328"/>
      <c r="G102" s="300">
        <f t="shared" si="49"/>
        <v>0</v>
      </c>
      <c r="H102" s="300">
        <f t="shared" si="43"/>
        <v>0</v>
      </c>
      <c r="I102" s="303"/>
      <c r="J102" s="269"/>
      <c r="K102" s="783"/>
    </row>
    <row r="103" spans="1:11" ht="16.5" customHeight="1">
      <c r="A103" s="348" t="s">
        <v>66</v>
      </c>
      <c r="B103" s="364" t="s">
        <v>244</v>
      </c>
      <c r="C103" s="340" t="s">
        <v>245</v>
      </c>
      <c r="D103" s="443">
        <v>5000000</v>
      </c>
      <c r="E103" s="443"/>
      <c r="F103" s="328">
        <v>5000000</v>
      </c>
      <c r="G103" s="300">
        <v>1075000</v>
      </c>
      <c r="H103" s="300">
        <f t="shared" si="43"/>
        <v>1340000</v>
      </c>
      <c r="I103" s="303">
        <v>7415000</v>
      </c>
      <c r="J103" s="269">
        <v>6815000</v>
      </c>
      <c r="K103" s="783">
        <f t="shared" si="42"/>
        <v>0.9190829399865138</v>
      </c>
    </row>
    <row r="104" spans="1:11" ht="16.5" customHeight="1">
      <c r="A104" s="348" t="s">
        <v>68</v>
      </c>
      <c r="B104" s="364" t="s">
        <v>246</v>
      </c>
      <c r="C104" s="340" t="s">
        <v>247</v>
      </c>
      <c r="D104" s="443"/>
      <c r="E104" s="443"/>
      <c r="F104" s="328"/>
      <c r="G104" s="300"/>
      <c r="H104" s="300">
        <f t="shared" si="43"/>
        <v>15191648</v>
      </c>
      <c r="I104" s="303">
        <v>15191648</v>
      </c>
      <c r="J104" s="269">
        <v>15191648</v>
      </c>
      <c r="K104" s="783">
        <f t="shared" si="42"/>
        <v>1</v>
      </c>
    </row>
    <row r="105" spans="1:11" ht="16.5" customHeight="1">
      <c r="A105" s="361" t="s">
        <v>70</v>
      </c>
      <c r="B105" s="362" t="s">
        <v>470</v>
      </c>
      <c r="C105" s="113" t="s">
        <v>248</v>
      </c>
      <c r="D105" s="302">
        <f t="shared" ref="D105:E105" si="50">+D96+D97+D98</f>
        <v>99359542</v>
      </c>
      <c r="E105" s="302">
        <f t="shared" si="50"/>
        <v>87891529</v>
      </c>
      <c r="F105" s="121">
        <f>+F96+F97+F98</f>
        <v>187251071</v>
      </c>
      <c r="G105" s="121">
        <f t="shared" ref="G105:J105" si="51">+G96+G97+G98</f>
        <v>145821210</v>
      </c>
      <c r="H105" s="121">
        <f t="shared" si="51"/>
        <v>527935114</v>
      </c>
      <c r="I105" s="121">
        <f t="shared" si="51"/>
        <v>861007395</v>
      </c>
      <c r="J105" s="121">
        <f t="shared" si="51"/>
        <v>115810943</v>
      </c>
      <c r="K105" s="783">
        <f t="shared" si="42"/>
        <v>0.13450632790441944</v>
      </c>
    </row>
    <row r="106" spans="1:11" ht="16.5" customHeight="1">
      <c r="A106" s="119" t="s">
        <v>72</v>
      </c>
      <c r="B106" s="347" t="s">
        <v>249</v>
      </c>
      <c r="C106" s="113" t="s">
        <v>250</v>
      </c>
      <c r="D106" s="302">
        <f t="shared" ref="D106:E106" si="52">SUM(D95+D105)</f>
        <v>1703017438</v>
      </c>
      <c r="E106" s="302">
        <f t="shared" si="52"/>
        <v>184295648</v>
      </c>
      <c r="F106" s="333">
        <f>SUM(F95+F105)</f>
        <v>1887313086</v>
      </c>
      <c r="G106" s="333">
        <f t="shared" ref="G106:J106" si="53">SUM(G95+G105)</f>
        <v>1760809603</v>
      </c>
      <c r="H106" s="333">
        <f t="shared" si="53"/>
        <v>450349441</v>
      </c>
      <c r="I106" s="333">
        <f t="shared" si="53"/>
        <v>4098472130</v>
      </c>
      <c r="J106" s="333">
        <f t="shared" si="53"/>
        <v>1460421773</v>
      </c>
      <c r="K106" s="783">
        <f t="shared" si="42"/>
        <v>0.35633322044817711</v>
      </c>
    </row>
    <row r="107" spans="1:11" ht="16.5" customHeight="1">
      <c r="A107" s="348" t="s">
        <v>75</v>
      </c>
      <c r="B107" s="277" t="s">
        <v>251</v>
      </c>
      <c r="C107" s="365" t="s">
        <v>252</v>
      </c>
      <c r="D107" s="452">
        <v>23997938</v>
      </c>
      <c r="E107" s="452"/>
      <c r="F107" s="350">
        <f>'[16]17.sz.mell'!D8</f>
        <v>23997938</v>
      </c>
      <c r="G107" s="300">
        <f>I107-D107</f>
        <v>0</v>
      </c>
      <c r="H107" s="300">
        <f t="shared" si="43"/>
        <v>0</v>
      </c>
      <c r="I107" s="303">
        <v>23997938</v>
      </c>
      <c r="J107" s="269">
        <v>22289499</v>
      </c>
      <c r="K107" s="783">
        <f t="shared" si="42"/>
        <v>0.92880892516682056</v>
      </c>
    </row>
    <row r="108" spans="1:11" ht="16.5" customHeight="1">
      <c r="A108" s="348" t="s">
        <v>78</v>
      </c>
      <c r="B108" s="278" t="s">
        <v>253</v>
      </c>
      <c r="C108" s="337" t="s">
        <v>254</v>
      </c>
      <c r="D108" s="448"/>
      <c r="E108" s="448"/>
      <c r="F108" s="326"/>
      <c r="G108" s="300">
        <f>I108-D108</f>
        <v>0</v>
      </c>
      <c r="H108" s="300">
        <f t="shared" si="43"/>
        <v>0</v>
      </c>
      <c r="I108" s="303"/>
      <c r="J108" s="269"/>
      <c r="K108" s="783"/>
    </row>
    <row r="109" spans="1:11" ht="16.5" customHeight="1">
      <c r="A109" s="366" t="s">
        <v>81</v>
      </c>
      <c r="B109" s="278" t="s">
        <v>255</v>
      </c>
      <c r="C109" s="337" t="s">
        <v>256</v>
      </c>
      <c r="D109" s="448">
        <v>30364900</v>
      </c>
      <c r="E109" s="448"/>
      <c r="F109" s="326">
        <v>30364900</v>
      </c>
      <c r="G109" s="300">
        <f>I109-D109</f>
        <v>0</v>
      </c>
      <c r="H109" s="300">
        <f t="shared" si="43"/>
        <v>0</v>
      </c>
      <c r="I109" s="303">
        <v>30364900</v>
      </c>
      <c r="J109" s="269">
        <v>30364900</v>
      </c>
      <c r="K109" s="783">
        <f t="shared" si="42"/>
        <v>1</v>
      </c>
    </row>
    <row r="110" spans="1:11" ht="16.5" customHeight="1">
      <c r="A110" s="348" t="s">
        <v>83</v>
      </c>
      <c r="B110" s="278" t="s">
        <v>453</v>
      </c>
      <c r="C110" s="337" t="s">
        <v>452</v>
      </c>
      <c r="D110" s="448">
        <v>291413794</v>
      </c>
      <c r="E110" s="448">
        <v>9132668</v>
      </c>
      <c r="F110" s="326">
        <f>'[16]10.sz.mell'!G37+'[16]11.sz.mell'!F37</f>
        <v>300546462</v>
      </c>
      <c r="G110" s="300">
        <v>12474593</v>
      </c>
      <c r="H110" s="300">
        <f t="shared" si="43"/>
        <v>-951942</v>
      </c>
      <c r="I110" s="303">
        <v>312069113</v>
      </c>
      <c r="J110" s="269">
        <v>216321330</v>
      </c>
      <c r="K110" s="783">
        <f t="shared" si="42"/>
        <v>0.69318404477920892</v>
      </c>
    </row>
    <row r="111" spans="1:11" ht="16.5" customHeight="1">
      <c r="A111" s="366" t="s">
        <v>85</v>
      </c>
      <c r="B111" s="278" t="s">
        <v>257</v>
      </c>
      <c r="C111" s="337" t="s">
        <v>258</v>
      </c>
      <c r="D111" s="448"/>
      <c r="E111" s="448"/>
      <c r="F111" s="326"/>
      <c r="G111" s="300"/>
      <c r="H111" s="300">
        <f t="shared" si="43"/>
        <v>0</v>
      </c>
      <c r="I111" s="303"/>
      <c r="J111" s="269"/>
      <c r="K111" s="783"/>
    </row>
    <row r="112" spans="1:11" ht="16.5" customHeight="1">
      <c r="A112" s="348" t="s">
        <v>87</v>
      </c>
      <c r="B112" s="109" t="s">
        <v>259</v>
      </c>
      <c r="C112" s="113" t="s">
        <v>260</v>
      </c>
      <c r="D112" s="302">
        <f t="shared" ref="D112:E112" si="54">SUM(D107:D111)</f>
        <v>345776632</v>
      </c>
      <c r="E112" s="302">
        <f t="shared" si="54"/>
        <v>9132668</v>
      </c>
      <c r="F112" s="368">
        <f>SUM(F107:F111)</f>
        <v>354909300</v>
      </c>
      <c r="G112" s="368">
        <f t="shared" ref="G112:J112" si="55">SUM(G107:G111)</f>
        <v>12474593</v>
      </c>
      <c r="H112" s="300">
        <f t="shared" si="43"/>
        <v>-951942</v>
      </c>
      <c r="I112" s="368">
        <f t="shared" si="55"/>
        <v>366431951</v>
      </c>
      <c r="J112" s="368">
        <f t="shared" si="55"/>
        <v>268975729</v>
      </c>
      <c r="K112" s="783">
        <f t="shared" si="42"/>
        <v>0.73404005372882997</v>
      </c>
    </row>
    <row r="113" spans="1:11" s="5" customFormat="1" ht="24.75" customHeight="1">
      <c r="A113" s="366" t="s">
        <v>90</v>
      </c>
      <c r="B113" s="331" t="s">
        <v>261</v>
      </c>
      <c r="C113" s="369" t="s">
        <v>262</v>
      </c>
      <c r="D113" s="453">
        <f t="shared" ref="D113:E113" si="56">D106+D112</f>
        <v>2048794070</v>
      </c>
      <c r="E113" s="453">
        <f t="shared" si="56"/>
        <v>193428316</v>
      </c>
      <c r="F113" s="368">
        <f>F106+F112</f>
        <v>2242222386</v>
      </c>
      <c r="G113" s="368">
        <f t="shared" ref="G113:J113" si="57">G106+G112</f>
        <v>1773284196</v>
      </c>
      <c r="H113" s="300">
        <f t="shared" si="43"/>
        <v>449397499</v>
      </c>
      <c r="I113" s="368">
        <f t="shared" si="57"/>
        <v>4464904081</v>
      </c>
      <c r="J113" s="368">
        <f t="shared" si="57"/>
        <v>1729397502</v>
      </c>
      <c r="K113" s="783">
        <f t="shared" si="42"/>
        <v>0.38733138957212909</v>
      </c>
    </row>
    <row r="114" spans="1:11" ht="16.5" customHeight="1"/>
    <row r="115" spans="1:11">
      <c r="F115" s="172"/>
    </row>
  </sheetData>
  <mergeCells count="5">
    <mergeCell ref="A1:K1"/>
    <mergeCell ref="A3:B3"/>
    <mergeCell ref="A77:D77"/>
    <mergeCell ref="A78:D78"/>
    <mergeCell ref="A2:K2"/>
  </mergeCells>
  <printOptions horizontalCentered="1"/>
  <pageMargins left="0.25" right="0.25" top="0.75" bottom="0.75" header="0.3" footer="0.3"/>
  <pageSetup paperSize="9" scale="64" fitToHeight="2" orientation="landscape" r:id="rId1"/>
  <headerFooter alignWithMargins="0">
    <oddHeader>&amp;R&amp;"Times New Roman CE,Félkövér dőlt"&amp;11 9. melléklet a 22/2017. (XII.04.)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6"/>
  <sheetViews>
    <sheetView view="pageLayout" topLeftCell="A101" zoomScaleNormal="106" workbookViewId="0">
      <selection activeCell="G119" sqref="G119"/>
    </sheetView>
  </sheetViews>
  <sheetFormatPr defaultRowHeight="13.2"/>
  <cols>
    <col min="1" max="1" width="6.6640625" style="93" customWidth="1"/>
    <col min="2" max="2" width="24.6640625" style="70" customWidth="1"/>
    <col min="3" max="3" width="13" style="70" customWidth="1"/>
    <col min="4" max="7" width="15.44140625" style="94" customWidth="1"/>
    <col min="8" max="8" width="16.6640625" style="94" bestFit="1" customWidth="1"/>
    <col min="9" max="9" width="15.21875" style="94" bestFit="1" customWidth="1"/>
    <col min="10" max="11" width="14" style="94" customWidth="1"/>
    <col min="12" max="12" width="13.33203125" style="70" customWidth="1"/>
    <col min="13" max="13" width="14.6640625" style="70" customWidth="1"/>
    <col min="14" max="258" width="9.33203125" style="70"/>
    <col min="259" max="259" width="6.6640625" style="70" customWidth="1"/>
    <col min="260" max="260" width="24.6640625" style="70" customWidth="1"/>
    <col min="261" max="261" width="13" style="70" customWidth="1"/>
    <col min="262" max="263" width="15.44140625" style="70" customWidth="1"/>
    <col min="264" max="264" width="11.44140625" style="70" customWidth="1"/>
    <col min="265" max="265" width="13" style="70" customWidth="1"/>
    <col min="266" max="267" width="14" style="70" customWidth="1"/>
    <col min="268" max="268" width="13.33203125" style="70" customWidth="1"/>
    <col min="269" max="269" width="14.6640625" style="70" customWidth="1"/>
    <col min="270" max="514" width="9.33203125" style="70"/>
    <col min="515" max="515" width="6.6640625" style="70" customWidth="1"/>
    <col min="516" max="516" width="24.6640625" style="70" customWidth="1"/>
    <col min="517" max="517" width="13" style="70" customWidth="1"/>
    <col min="518" max="519" width="15.44140625" style="70" customWidth="1"/>
    <col min="520" max="520" width="11.44140625" style="70" customWidth="1"/>
    <col min="521" max="521" width="13" style="70" customWidth="1"/>
    <col min="522" max="523" width="14" style="70" customWidth="1"/>
    <col min="524" max="524" width="13.33203125" style="70" customWidth="1"/>
    <col min="525" max="525" width="14.6640625" style="70" customWidth="1"/>
    <col min="526" max="770" width="9.33203125" style="70"/>
    <col min="771" max="771" width="6.6640625" style="70" customWidth="1"/>
    <col min="772" max="772" width="24.6640625" style="70" customWidth="1"/>
    <col min="773" max="773" width="13" style="70" customWidth="1"/>
    <col min="774" max="775" width="15.44140625" style="70" customWidth="1"/>
    <col min="776" max="776" width="11.44140625" style="70" customWidth="1"/>
    <col min="777" max="777" width="13" style="70" customWidth="1"/>
    <col min="778" max="779" width="14" style="70" customWidth="1"/>
    <col min="780" max="780" width="13.33203125" style="70" customWidth="1"/>
    <col min="781" max="781" width="14.6640625" style="70" customWidth="1"/>
    <col min="782" max="1026" width="9.33203125" style="70"/>
    <col min="1027" max="1027" width="6.6640625" style="70" customWidth="1"/>
    <col min="1028" max="1028" width="24.6640625" style="70" customWidth="1"/>
    <col min="1029" max="1029" width="13" style="70" customWidth="1"/>
    <col min="1030" max="1031" width="15.44140625" style="70" customWidth="1"/>
    <col min="1032" max="1032" width="11.44140625" style="70" customWidth="1"/>
    <col min="1033" max="1033" width="13" style="70" customWidth="1"/>
    <col min="1034" max="1035" width="14" style="70" customWidth="1"/>
    <col min="1036" max="1036" width="13.33203125" style="70" customWidth="1"/>
    <col min="1037" max="1037" width="14.6640625" style="70" customWidth="1"/>
    <col min="1038" max="1282" width="9.33203125" style="70"/>
    <col min="1283" max="1283" width="6.6640625" style="70" customWidth="1"/>
    <col min="1284" max="1284" width="24.6640625" style="70" customWidth="1"/>
    <col min="1285" max="1285" width="13" style="70" customWidth="1"/>
    <col min="1286" max="1287" width="15.44140625" style="70" customWidth="1"/>
    <col min="1288" max="1288" width="11.44140625" style="70" customWidth="1"/>
    <col min="1289" max="1289" width="13" style="70" customWidth="1"/>
    <col min="1290" max="1291" width="14" style="70" customWidth="1"/>
    <col min="1292" max="1292" width="13.33203125" style="70" customWidth="1"/>
    <col min="1293" max="1293" width="14.6640625" style="70" customWidth="1"/>
    <col min="1294" max="1538" width="9.33203125" style="70"/>
    <col min="1539" max="1539" width="6.6640625" style="70" customWidth="1"/>
    <col min="1540" max="1540" width="24.6640625" style="70" customWidth="1"/>
    <col min="1541" max="1541" width="13" style="70" customWidth="1"/>
    <col min="1542" max="1543" width="15.44140625" style="70" customWidth="1"/>
    <col min="1544" max="1544" width="11.44140625" style="70" customWidth="1"/>
    <col min="1545" max="1545" width="13" style="70" customWidth="1"/>
    <col min="1546" max="1547" width="14" style="70" customWidth="1"/>
    <col min="1548" max="1548" width="13.33203125" style="70" customWidth="1"/>
    <col min="1549" max="1549" width="14.6640625" style="70" customWidth="1"/>
    <col min="1550" max="1794" width="9.33203125" style="70"/>
    <col min="1795" max="1795" width="6.6640625" style="70" customWidth="1"/>
    <col min="1796" max="1796" width="24.6640625" style="70" customWidth="1"/>
    <col min="1797" max="1797" width="13" style="70" customWidth="1"/>
    <col min="1798" max="1799" width="15.44140625" style="70" customWidth="1"/>
    <col min="1800" max="1800" width="11.44140625" style="70" customWidth="1"/>
    <col min="1801" max="1801" width="13" style="70" customWidth="1"/>
    <col min="1802" max="1803" width="14" style="70" customWidth="1"/>
    <col min="1804" max="1804" width="13.33203125" style="70" customWidth="1"/>
    <col min="1805" max="1805" width="14.6640625" style="70" customWidth="1"/>
    <col min="1806" max="2050" width="9.33203125" style="70"/>
    <col min="2051" max="2051" width="6.6640625" style="70" customWidth="1"/>
    <col min="2052" max="2052" width="24.6640625" style="70" customWidth="1"/>
    <col min="2053" max="2053" width="13" style="70" customWidth="1"/>
    <col min="2054" max="2055" width="15.44140625" style="70" customWidth="1"/>
    <col min="2056" max="2056" width="11.44140625" style="70" customWidth="1"/>
    <col min="2057" max="2057" width="13" style="70" customWidth="1"/>
    <col min="2058" max="2059" width="14" style="70" customWidth="1"/>
    <col min="2060" max="2060" width="13.33203125" style="70" customWidth="1"/>
    <col min="2061" max="2061" width="14.6640625" style="70" customWidth="1"/>
    <col min="2062" max="2306" width="9.33203125" style="70"/>
    <col min="2307" max="2307" width="6.6640625" style="70" customWidth="1"/>
    <col min="2308" max="2308" width="24.6640625" style="70" customWidth="1"/>
    <col min="2309" max="2309" width="13" style="70" customWidth="1"/>
    <col min="2310" max="2311" width="15.44140625" style="70" customWidth="1"/>
    <col min="2312" max="2312" width="11.44140625" style="70" customWidth="1"/>
    <col min="2313" max="2313" width="13" style="70" customWidth="1"/>
    <col min="2314" max="2315" width="14" style="70" customWidth="1"/>
    <col min="2316" max="2316" width="13.33203125" style="70" customWidth="1"/>
    <col min="2317" max="2317" width="14.6640625" style="70" customWidth="1"/>
    <col min="2318" max="2562" width="9.33203125" style="70"/>
    <col min="2563" max="2563" width="6.6640625" style="70" customWidth="1"/>
    <col min="2564" max="2564" width="24.6640625" style="70" customWidth="1"/>
    <col min="2565" max="2565" width="13" style="70" customWidth="1"/>
    <col min="2566" max="2567" width="15.44140625" style="70" customWidth="1"/>
    <col min="2568" max="2568" width="11.44140625" style="70" customWidth="1"/>
    <col min="2569" max="2569" width="13" style="70" customWidth="1"/>
    <col min="2570" max="2571" width="14" style="70" customWidth="1"/>
    <col min="2572" max="2572" width="13.33203125" style="70" customWidth="1"/>
    <col min="2573" max="2573" width="14.6640625" style="70" customWidth="1"/>
    <col min="2574" max="2818" width="9.33203125" style="70"/>
    <col min="2819" max="2819" width="6.6640625" style="70" customWidth="1"/>
    <col min="2820" max="2820" width="24.6640625" style="70" customWidth="1"/>
    <col min="2821" max="2821" width="13" style="70" customWidth="1"/>
    <col min="2822" max="2823" width="15.44140625" style="70" customWidth="1"/>
    <col min="2824" max="2824" width="11.44140625" style="70" customWidth="1"/>
    <col min="2825" max="2825" width="13" style="70" customWidth="1"/>
    <col min="2826" max="2827" width="14" style="70" customWidth="1"/>
    <col min="2828" max="2828" width="13.33203125" style="70" customWidth="1"/>
    <col min="2829" max="2829" width="14.6640625" style="70" customWidth="1"/>
    <col min="2830" max="3074" width="9.33203125" style="70"/>
    <col min="3075" max="3075" width="6.6640625" style="70" customWidth="1"/>
    <col min="3076" max="3076" width="24.6640625" style="70" customWidth="1"/>
    <col min="3077" max="3077" width="13" style="70" customWidth="1"/>
    <col min="3078" max="3079" width="15.44140625" style="70" customWidth="1"/>
    <col min="3080" max="3080" width="11.44140625" style="70" customWidth="1"/>
    <col min="3081" max="3081" width="13" style="70" customWidth="1"/>
    <col min="3082" max="3083" width="14" style="70" customWidth="1"/>
    <col min="3084" max="3084" width="13.33203125" style="70" customWidth="1"/>
    <col min="3085" max="3085" width="14.6640625" style="70" customWidth="1"/>
    <col min="3086" max="3330" width="9.33203125" style="70"/>
    <col min="3331" max="3331" width="6.6640625" style="70" customWidth="1"/>
    <col min="3332" max="3332" width="24.6640625" style="70" customWidth="1"/>
    <col min="3333" max="3333" width="13" style="70" customWidth="1"/>
    <col min="3334" max="3335" width="15.44140625" style="70" customWidth="1"/>
    <col min="3336" max="3336" width="11.44140625" style="70" customWidth="1"/>
    <col min="3337" max="3337" width="13" style="70" customWidth="1"/>
    <col min="3338" max="3339" width="14" style="70" customWidth="1"/>
    <col min="3340" max="3340" width="13.33203125" style="70" customWidth="1"/>
    <col min="3341" max="3341" width="14.6640625" style="70" customWidth="1"/>
    <col min="3342" max="3586" width="9.33203125" style="70"/>
    <col min="3587" max="3587" width="6.6640625" style="70" customWidth="1"/>
    <col min="3588" max="3588" width="24.6640625" style="70" customWidth="1"/>
    <col min="3589" max="3589" width="13" style="70" customWidth="1"/>
    <col min="3590" max="3591" width="15.44140625" style="70" customWidth="1"/>
    <col min="3592" max="3592" width="11.44140625" style="70" customWidth="1"/>
    <col min="3593" max="3593" width="13" style="70" customWidth="1"/>
    <col min="3594" max="3595" width="14" style="70" customWidth="1"/>
    <col min="3596" max="3596" width="13.33203125" style="70" customWidth="1"/>
    <col min="3597" max="3597" width="14.6640625" style="70" customWidth="1"/>
    <col min="3598" max="3842" width="9.33203125" style="70"/>
    <col min="3843" max="3843" width="6.6640625" style="70" customWidth="1"/>
    <col min="3844" max="3844" width="24.6640625" style="70" customWidth="1"/>
    <col min="3845" max="3845" width="13" style="70" customWidth="1"/>
    <col min="3846" max="3847" width="15.44140625" style="70" customWidth="1"/>
    <col min="3848" max="3848" width="11.44140625" style="70" customWidth="1"/>
    <col min="3849" max="3849" width="13" style="70" customWidth="1"/>
    <col min="3850" max="3851" width="14" style="70" customWidth="1"/>
    <col min="3852" max="3852" width="13.33203125" style="70" customWidth="1"/>
    <col min="3853" max="3853" width="14.6640625" style="70" customWidth="1"/>
    <col min="3854" max="4098" width="9.33203125" style="70"/>
    <col min="4099" max="4099" width="6.6640625" style="70" customWidth="1"/>
    <col min="4100" max="4100" width="24.6640625" style="70" customWidth="1"/>
    <col min="4101" max="4101" width="13" style="70" customWidth="1"/>
    <col min="4102" max="4103" width="15.44140625" style="70" customWidth="1"/>
    <col min="4104" max="4104" width="11.44140625" style="70" customWidth="1"/>
    <col min="4105" max="4105" width="13" style="70" customWidth="1"/>
    <col min="4106" max="4107" width="14" style="70" customWidth="1"/>
    <col min="4108" max="4108" width="13.33203125" style="70" customWidth="1"/>
    <col min="4109" max="4109" width="14.6640625" style="70" customWidth="1"/>
    <col min="4110" max="4354" width="9.33203125" style="70"/>
    <col min="4355" max="4355" width="6.6640625" style="70" customWidth="1"/>
    <col min="4356" max="4356" width="24.6640625" style="70" customWidth="1"/>
    <col min="4357" max="4357" width="13" style="70" customWidth="1"/>
    <col min="4358" max="4359" width="15.44140625" style="70" customWidth="1"/>
    <col min="4360" max="4360" width="11.44140625" style="70" customWidth="1"/>
    <col min="4361" max="4361" width="13" style="70" customWidth="1"/>
    <col min="4362" max="4363" width="14" style="70" customWidth="1"/>
    <col min="4364" max="4364" width="13.33203125" style="70" customWidth="1"/>
    <col min="4365" max="4365" width="14.6640625" style="70" customWidth="1"/>
    <col min="4366" max="4610" width="9.33203125" style="70"/>
    <col min="4611" max="4611" width="6.6640625" style="70" customWidth="1"/>
    <col min="4612" max="4612" width="24.6640625" style="70" customWidth="1"/>
    <col min="4613" max="4613" width="13" style="70" customWidth="1"/>
    <col min="4614" max="4615" width="15.44140625" style="70" customWidth="1"/>
    <col min="4616" max="4616" width="11.44140625" style="70" customWidth="1"/>
    <col min="4617" max="4617" width="13" style="70" customWidth="1"/>
    <col min="4618" max="4619" width="14" style="70" customWidth="1"/>
    <col min="4620" max="4620" width="13.33203125" style="70" customWidth="1"/>
    <col min="4621" max="4621" width="14.6640625" style="70" customWidth="1"/>
    <col min="4622" max="4866" width="9.33203125" style="70"/>
    <col min="4867" max="4867" width="6.6640625" style="70" customWidth="1"/>
    <col min="4868" max="4868" width="24.6640625" style="70" customWidth="1"/>
    <col min="4869" max="4869" width="13" style="70" customWidth="1"/>
    <col min="4870" max="4871" width="15.44140625" style="70" customWidth="1"/>
    <col min="4872" max="4872" width="11.44140625" style="70" customWidth="1"/>
    <col min="4873" max="4873" width="13" style="70" customWidth="1"/>
    <col min="4874" max="4875" width="14" style="70" customWidth="1"/>
    <col min="4876" max="4876" width="13.33203125" style="70" customWidth="1"/>
    <col min="4877" max="4877" width="14.6640625" style="70" customWidth="1"/>
    <col min="4878" max="5122" width="9.33203125" style="70"/>
    <col min="5123" max="5123" width="6.6640625" style="70" customWidth="1"/>
    <col min="5124" max="5124" width="24.6640625" style="70" customWidth="1"/>
    <col min="5125" max="5125" width="13" style="70" customWidth="1"/>
    <col min="5126" max="5127" width="15.44140625" style="70" customWidth="1"/>
    <col min="5128" max="5128" width="11.44140625" style="70" customWidth="1"/>
    <col min="5129" max="5129" width="13" style="70" customWidth="1"/>
    <col min="5130" max="5131" width="14" style="70" customWidth="1"/>
    <col min="5132" max="5132" width="13.33203125" style="70" customWidth="1"/>
    <col min="5133" max="5133" width="14.6640625" style="70" customWidth="1"/>
    <col min="5134" max="5378" width="9.33203125" style="70"/>
    <col min="5379" max="5379" width="6.6640625" style="70" customWidth="1"/>
    <col min="5380" max="5380" width="24.6640625" style="70" customWidth="1"/>
    <col min="5381" max="5381" width="13" style="70" customWidth="1"/>
    <col min="5382" max="5383" width="15.44140625" style="70" customWidth="1"/>
    <col min="5384" max="5384" width="11.44140625" style="70" customWidth="1"/>
    <col min="5385" max="5385" width="13" style="70" customWidth="1"/>
    <col min="5386" max="5387" width="14" style="70" customWidth="1"/>
    <col min="5388" max="5388" width="13.33203125" style="70" customWidth="1"/>
    <col min="5389" max="5389" width="14.6640625" style="70" customWidth="1"/>
    <col min="5390" max="5634" width="9.33203125" style="70"/>
    <col min="5635" max="5635" width="6.6640625" style="70" customWidth="1"/>
    <col min="5636" max="5636" width="24.6640625" style="70" customWidth="1"/>
    <col min="5637" max="5637" width="13" style="70" customWidth="1"/>
    <col min="5638" max="5639" width="15.44140625" style="70" customWidth="1"/>
    <col min="5640" max="5640" width="11.44140625" style="70" customWidth="1"/>
    <col min="5641" max="5641" width="13" style="70" customWidth="1"/>
    <col min="5642" max="5643" width="14" style="70" customWidth="1"/>
    <col min="5644" max="5644" width="13.33203125" style="70" customWidth="1"/>
    <col min="5645" max="5645" width="14.6640625" style="70" customWidth="1"/>
    <col min="5646" max="5890" width="9.33203125" style="70"/>
    <col min="5891" max="5891" width="6.6640625" style="70" customWidth="1"/>
    <col min="5892" max="5892" width="24.6640625" style="70" customWidth="1"/>
    <col min="5893" max="5893" width="13" style="70" customWidth="1"/>
    <col min="5894" max="5895" width="15.44140625" style="70" customWidth="1"/>
    <col min="5896" max="5896" width="11.44140625" style="70" customWidth="1"/>
    <col min="5897" max="5897" width="13" style="70" customWidth="1"/>
    <col min="5898" max="5899" width="14" style="70" customWidth="1"/>
    <col min="5900" max="5900" width="13.33203125" style="70" customWidth="1"/>
    <col min="5901" max="5901" width="14.6640625" style="70" customWidth="1"/>
    <col min="5902" max="6146" width="9.33203125" style="70"/>
    <col min="6147" max="6147" width="6.6640625" style="70" customWidth="1"/>
    <col min="6148" max="6148" width="24.6640625" style="70" customWidth="1"/>
    <col min="6149" max="6149" width="13" style="70" customWidth="1"/>
    <col min="6150" max="6151" width="15.44140625" style="70" customWidth="1"/>
    <col min="6152" max="6152" width="11.44140625" style="70" customWidth="1"/>
    <col min="6153" max="6153" width="13" style="70" customWidth="1"/>
    <col min="6154" max="6155" width="14" style="70" customWidth="1"/>
    <col min="6156" max="6156" width="13.33203125" style="70" customWidth="1"/>
    <col min="6157" max="6157" width="14.6640625" style="70" customWidth="1"/>
    <col min="6158" max="6402" width="9.33203125" style="70"/>
    <col min="6403" max="6403" width="6.6640625" style="70" customWidth="1"/>
    <col min="6404" max="6404" width="24.6640625" style="70" customWidth="1"/>
    <col min="6405" max="6405" width="13" style="70" customWidth="1"/>
    <col min="6406" max="6407" width="15.44140625" style="70" customWidth="1"/>
    <col min="6408" max="6408" width="11.44140625" style="70" customWidth="1"/>
    <col min="6409" max="6409" width="13" style="70" customWidth="1"/>
    <col min="6410" max="6411" width="14" style="70" customWidth="1"/>
    <col min="6412" max="6412" width="13.33203125" style="70" customWidth="1"/>
    <col min="6413" max="6413" width="14.6640625" style="70" customWidth="1"/>
    <col min="6414" max="6658" width="9.33203125" style="70"/>
    <col min="6659" max="6659" width="6.6640625" style="70" customWidth="1"/>
    <col min="6660" max="6660" width="24.6640625" style="70" customWidth="1"/>
    <col min="6661" max="6661" width="13" style="70" customWidth="1"/>
    <col min="6662" max="6663" width="15.44140625" style="70" customWidth="1"/>
    <col min="6664" max="6664" width="11.44140625" style="70" customWidth="1"/>
    <col min="6665" max="6665" width="13" style="70" customWidth="1"/>
    <col min="6666" max="6667" width="14" style="70" customWidth="1"/>
    <col min="6668" max="6668" width="13.33203125" style="70" customWidth="1"/>
    <col min="6669" max="6669" width="14.6640625" style="70" customWidth="1"/>
    <col min="6670" max="6914" width="9.33203125" style="70"/>
    <col min="6915" max="6915" width="6.6640625" style="70" customWidth="1"/>
    <col min="6916" max="6916" width="24.6640625" style="70" customWidth="1"/>
    <col min="6917" max="6917" width="13" style="70" customWidth="1"/>
    <col min="6918" max="6919" width="15.44140625" style="70" customWidth="1"/>
    <col min="6920" max="6920" width="11.44140625" style="70" customWidth="1"/>
    <col min="6921" max="6921" width="13" style="70" customWidth="1"/>
    <col min="6922" max="6923" width="14" style="70" customWidth="1"/>
    <col min="6924" max="6924" width="13.33203125" style="70" customWidth="1"/>
    <col min="6925" max="6925" width="14.6640625" style="70" customWidth="1"/>
    <col min="6926" max="7170" width="9.33203125" style="70"/>
    <col min="7171" max="7171" width="6.6640625" style="70" customWidth="1"/>
    <col min="7172" max="7172" width="24.6640625" style="70" customWidth="1"/>
    <col min="7173" max="7173" width="13" style="70" customWidth="1"/>
    <col min="7174" max="7175" width="15.44140625" style="70" customWidth="1"/>
    <col min="7176" max="7176" width="11.44140625" style="70" customWidth="1"/>
    <col min="7177" max="7177" width="13" style="70" customWidth="1"/>
    <col min="7178" max="7179" width="14" style="70" customWidth="1"/>
    <col min="7180" max="7180" width="13.33203125" style="70" customWidth="1"/>
    <col min="7181" max="7181" width="14.6640625" style="70" customWidth="1"/>
    <col min="7182" max="7426" width="9.33203125" style="70"/>
    <col min="7427" max="7427" width="6.6640625" style="70" customWidth="1"/>
    <col min="7428" max="7428" width="24.6640625" style="70" customWidth="1"/>
    <col min="7429" max="7429" width="13" style="70" customWidth="1"/>
    <col min="7430" max="7431" width="15.44140625" style="70" customWidth="1"/>
    <col min="7432" max="7432" width="11.44140625" style="70" customWidth="1"/>
    <col min="7433" max="7433" width="13" style="70" customWidth="1"/>
    <col min="7434" max="7435" width="14" style="70" customWidth="1"/>
    <col min="7436" max="7436" width="13.33203125" style="70" customWidth="1"/>
    <col min="7437" max="7437" width="14.6640625" style="70" customWidth="1"/>
    <col min="7438" max="7682" width="9.33203125" style="70"/>
    <col min="7683" max="7683" width="6.6640625" style="70" customWidth="1"/>
    <col min="7684" max="7684" width="24.6640625" style="70" customWidth="1"/>
    <col min="7685" max="7685" width="13" style="70" customWidth="1"/>
    <col min="7686" max="7687" width="15.44140625" style="70" customWidth="1"/>
    <col min="7688" max="7688" width="11.44140625" style="70" customWidth="1"/>
    <col min="7689" max="7689" width="13" style="70" customWidth="1"/>
    <col min="7690" max="7691" width="14" style="70" customWidth="1"/>
    <col min="7692" max="7692" width="13.33203125" style="70" customWidth="1"/>
    <col min="7693" max="7693" width="14.6640625" style="70" customWidth="1"/>
    <col min="7694" max="7938" width="9.33203125" style="70"/>
    <col min="7939" max="7939" width="6.6640625" style="70" customWidth="1"/>
    <col min="7940" max="7940" width="24.6640625" style="70" customWidth="1"/>
    <col min="7941" max="7941" width="13" style="70" customWidth="1"/>
    <col min="7942" max="7943" width="15.44140625" style="70" customWidth="1"/>
    <col min="7944" max="7944" width="11.44140625" style="70" customWidth="1"/>
    <col min="7945" max="7945" width="13" style="70" customWidth="1"/>
    <col min="7946" max="7947" width="14" style="70" customWidth="1"/>
    <col min="7948" max="7948" width="13.33203125" style="70" customWidth="1"/>
    <col min="7949" max="7949" width="14.6640625" style="70" customWidth="1"/>
    <col min="7950" max="8194" width="9.33203125" style="70"/>
    <col min="8195" max="8195" width="6.6640625" style="70" customWidth="1"/>
    <col min="8196" max="8196" width="24.6640625" style="70" customWidth="1"/>
    <col min="8197" max="8197" width="13" style="70" customWidth="1"/>
    <col min="8198" max="8199" width="15.44140625" style="70" customWidth="1"/>
    <col min="8200" max="8200" width="11.44140625" style="70" customWidth="1"/>
    <col min="8201" max="8201" width="13" style="70" customWidth="1"/>
    <col min="8202" max="8203" width="14" style="70" customWidth="1"/>
    <col min="8204" max="8204" width="13.33203125" style="70" customWidth="1"/>
    <col min="8205" max="8205" width="14.6640625" style="70" customWidth="1"/>
    <col min="8206" max="8450" width="9.33203125" style="70"/>
    <col min="8451" max="8451" width="6.6640625" style="70" customWidth="1"/>
    <col min="8452" max="8452" width="24.6640625" style="70" customWidth="1"/>
    <col min="8453" max="8453" width="13" style="70" customWidth="1"/>
    <col min="8454" max="8455" width="15.44140625" style="70" customWidth="1"/>
    <col min="8456" max="8456" width="11.44140625" style="70" customWidth="1"/>
    <col min="8457" max="8457" width="13" style="70" customWidth="1"/>
    <col min="8458" max="8459" width="14" style="70" customWidth="1"/>
    <col min="8460" max="8460" width="13.33203125" style="70" customWidth="1"/>
    <col min="8461" max="8461" width="14.6640625" style="70" customWidth="1"/>
    <col min="8462" max="8706" width="9.33203125" style="70"/>
    <col min="8707" max="8707" width="6.6640625" style="70" customWidth="1"/>
    <col min="8708" max="8708" width="24.6640625" style="70" customWidth="1"/>
    <col min="8709" max="8709" width="13" style="70" customWidth="1"/>
    <col min="8710" max="8711" width="15.44140625" style="70" customWidth="1"/>
    <col min="8712" max="8712" width="11.44140625" style="70" customWidth="1"/>
    <col min="8713" max="8713" width="13" style="70" customWidth="1"/>
    <col min="8714" max="8715" width="14" style="70" customWidth="1"/>
    <col min="8716" max="8716" width="13.33203125" style="70" customWidth="1"/>
    <col min="8717" max="8717" width="14.6640625" style="70" customWidth="1"/>
    <col min="8718" max="8962" width="9.33203125" style="70"/>
    <col min="8963" max="8963" width="6.6640625" style="70" customWidth="1"/>
    <col min="8964" max="8964" width="24.6640625" style="70" customWidth="1"/>
    <col min="8965" max="8965" width="13" style="70" customWidth="1"/>
    <col min="8966" max="8967" width="15.44140625" style="70" customWidth="1"/>
    <col min="8968" max="8968" width="11.44140625" style="70" customWidth="1"/>
    <col min="8969" max="8969" width="13" style="70" customWidth="1"/>
    <col min="8970" max="8971" width="14" style="70" customWidth="1"/>
    <col min="8972" max="8972" width="13.33203125" style="70" customWidth="1"/>
    <col min="8973" max="8973" width="14.6640625" style="70" customWidth="1"/>
    <col min="8974" max="9218" width="9.33203125" style="70"/>
    <col min="9219" max="9219" width="6.6640625" style="70" customWidth="1"/>
    <col min="9220" max="9220" width="24.6640625" style="70" customWidth="1"/>
    <col min="9221" max="9221" width="13" style="70" customWidth="1"/>
    <col min="9222" max="9223" width="15.44140625" style="70" customWidth="1"/>
    <col min="9224" max="9224" width="11.44140625" style="70" customWidth="1"/>
    <col min="9225" max="9225" width="13" style="70" customWidth="1"/>
    <col min="9226" max="9227" width="14" style="70" customWidth="1"/>
    <col min="9228" max="9228" width="13.33203125" style="70" customWidth="1"/>
    <col min="9229" max="9229" width="14.6640625" style="70" customWidth="1"/>
    <col min="9230" max="9474" width="9.33203125" style="70"/>
    <col min="9475" max="9475" width="6.6640625" style="70" customWidth="1"/>
    <col min="9476" max="9476" width="24.6640625" style="70" customWidth="1"/>
    <col min="9477" max="9477" width="13" style="70" customWidth="1"/>
    <col min="9478" max="9479" width="15.44140625" style="70" customWidth="1"/>
    <col min="9480" max="9480" width="11.44140625" style="70" customWidth="1"/>
    <col min="9481" max="9481" width="13" style="70" customWidth="1"/>
    <col min="9482" max="9483" width="14" style="70" customWidth="1"/>
    <col min="9484" max="9484" width="13.33203125" style="70" customWidth="1"/>
    <col min="9485" max="9485" width="14.6640625" style="70" customWidth="1"/>
    <col min="9486" max="9730" width="9.33203125" style="70"/>
    <col min="9731" max="9731" width="6.6640625" style="70" customWidth="1"/>
    <col min="9732" max="9732" width="24.6640625" style="70" customWidth="1"/>
    <col min="9733" max="9733" width="13" style="70" customWidth="1"/>
    <col min="9734" max="9735" width="15.44140625" style="70" customWidth="1"/>
    <col min="9736" max="9736" width="11.44140625" style="70" customWidth="1"/>
    <col min="9737" max="9737" width="13" style="70" customWidth="1"/>
    <col min="9738" max="9739" width="14" style="70" customWidth="1"/>
    <col min="9740" max="9740" width="13.33203125" style="70" customWidth="1"/>
    <col min="9741" max="9741" width="14.6640625" style="70" customWidth="1"/>
    <col min="9742" max="9986" width="9.33203125" style="70"/>
    <col min="9987" max="9987" width="6.6640625" style="70" customWidth="1"/>
    <col min="9988" max="9988" width="24.6640625" style="70" customWidth="1"/>
    <col min="9989" max="9989" width="13" style="70" customWidth="1"/>
    <col min="9990" max="9991" width="15.44140625" style="70" customWidth="1"/>
    <col min="9992" max="9992" width="11.44140625" style="70" customWidth="1"/>
    <col min="9993" max="9993" width="13" style="70" customWidth="1"/>
    <col min="9994" max="9995" width="14" style="70" customWidth="1"/>
    <col min="9996" max="9996" width="13.33203125" style="70" customWidth="1"/>
    <col min="9997" max="9997" width="14.6640625" style="70" customWidth="1"/>
    <col min="9998" max="10242" width="9.33203125" style="70"/>
    <col min="10243" max="10243" width="6.6640625" style="70" customWidth="1"/>
    <col min="10244" max="10244" width="24.6640625" style="70" customWidth="1"/>
    <col min="10245" max="10245" width="13" style="70" customWidth="1"/>
    <col min="10246" max="10247" width="15.44140625" style="70" customWidth="1"/>
    <col min="10248" max="10248" width="11.44140625" style="70" customWidth="1"/>
    <col min="10249" max="10249" width="13" style="70" customWidth="1"/>
    <col min="10250" max="10251" width="14" style="70" customWidth="1"/>
    <col min="10252" max="10252" width="13.33203125" style="70" customWidth="1"/>
    <col min="10253" max="10253" width="14.6640625" style="70" customWidth="1"/>
    <col min="10254" max="10498" width="9.33203125" style="70"/>
    <col min="10499" max="10499" width="6.6640625" style="70" customWidth="1"/>
    <col min="10500" max="10500" width="24.6640625" style="70" customWidth="1"/>
    <col min="10501" max="10501" width="13" style="70" customWidth="1"/>
    <col min="10502" max="10503" width="15.44140625" style="70" customWidth="1"/>
    <col min="10504" max="10504" width="11.44140625" style="70" customWidth="1"/>
    <col min="10505" max="10505" width="13" style="70" customWidth="1"/>
    <col min="10506" max="10507" width="14" style="70" customWidth="1"/>
    <col min="10508" max="10508" width="13.33203125" style="70" customWidth="1"/>
    <col min="10509" max="10509" width="14.6640625" style="70" customWidth="1"/>
    <col min="10510" max="10754" width="9.33203125" style="70"/>
    <col min="10755" max="10755" width="6.6640625" style="70" customWidth="1"/>
    <col min="10756" max="10756" width="24.6640625" style="70" customWidth="1"/>
    <col min="10757" max="10757" width="13" style="70" customWidth="1"/>
    <col min="10758" max="10759" width="15.44140625" style="70" customWidth="1"/>
    <col min="10760" max="10760" width="11.44140625" style="70" customWidth="1"/>
    <col min="10761" max="10761" width="13" style="70" customWidth="1"/>
    <col min="10762" max="10763" width="14" style="70" customWidth="1"/>
    <col min="10764" max="10764" width="13.33203125" style="70" customWidth="1"/>
    <col min="10765" max="10765" width="14.6640625" style="70" customWidth="1"/>
    <col min="10766" max="11010" width="9.33203125" style="70"/>
    <col min="11011" max="11011" width="6.6640625" style="70" customWidth="1"/>
    <col min="11012" max="11012" width="24.6640625" style="70" customWidth="1"/>
    <col min="11013" max="11013" width="13" style="70" customWidth="1"/>
    <col min="11014" max="11015" width="15.44140625" style="70" customWidth="1"/>
    <col min="11016" max="11016" width="11.44140625" style="70" customWidth="1"/>
    <col min="11017" max="11017" width="13" style="70" customWidth="1"/>
    <col min="11018" max="11019" width="14" style="70" customWidth="1"/>
    <col min="11020" max="11020" width="13.33203125" style="70" customWidth="1"/>
    <col min="11021" max="11021" width="14.6640625" style="70" customWidth="1"/>
    <col min="11022" max="11266" width="9.33203125" style="70"/>
    <col min="11267" max="11267" width="6.6640625" style="70" customWidth="1"/>
    <col min="11268" max="11268" width="24.6640625" style="70" customWidth="1"/>
    <col min="11269" max="11269" width="13" style="70" customWidth="1"/>
    <col min="11270" max="11271" width="15.44140625" style="70" customWidth="1"/>
    <col min="11272" max="11272" width="11.44140625" style="70" customWidth="1"/>
    <col min="11273" max="11273" width="13" style="70" customWidth="1"/>
    <col min="11274" max="11275" width="14" style="70" customWidth="1"/>
    <col min="11276" max="11276" width="13.33203125" style="70" customWidth="1"/>
    <col min="11277" max="11277" width="14.6640625" style="70" customWidth="1"/>
    <col min="11278" max="11522" width="9.33203125" style="70"/>
    <col min="11523" max="11523" width="6.6640625" style="70" customWidth="1"/>
    <col min="11524" max="11524" width="24.6640625" style="70" customWidth="1"/>
    <col min="11525" max="11525" width="13" style="70" customWidth="1"/>
    <col min="11526" max="11527" width="15.44140625" style="70" customWidth="1"/>
    <col min="11528" max="11528" width="11.44140625" style="70" customWidth="1"/>
    <col min="11529" max="11529" width="13" style="70" customWidth="1"/>
    <col min="11530" max="11531" width="14" style="70" customWidth="1"/>
    <col min="11532" max="11532" width="13.33203125" style="70" customWidth="1"/>
    <col min="11533" max="11533" width="14.6640625" style="70" customWidth="1"/>
    <col min="11534" max="11778" width="9.33203125" style="70"/>
    <col min="11779" max="11779" width="6.6640625" style="70" customWidth="1"/>
    <col min="11780" max="11780" width="24.6640625" style="70" customWidth="1"/>
    <col min="11781" max="11781" width="13" style="70" customWidth="1"/>
    <col min="11782" max="11783" width="15.44140625" style="70" customWidth="1"/>
    <col min="11784" max="11784" width="11.44140625" style="70" customWidth="1"/>
    <col min="11785" max="11785" width="13" style="70" customWidth="1"/>
    <col min="11786" max="11787" width="14" style="70" customWidth="1"/>
    <col min="11788" max="11788" width="13.33203125" style="70" customWidth="1"/>
    <col min="11789" max="11789" width="14.6640625" style="70" customWidth="1"/>
    <col min="11790" max="12034" width="9.33203125" style="70"/>
    <col min="12035" max="12035" width="6.6640625" style="70" customWidth="1"/>
    <col min="12036" max="12036" width="24.6640625" style="70" customWidth="1"/>
    <col min="12037" max="12037" width="13" style="70" customWidth="1"/>
    <col min="12038" max="12039" width="15.44140625" style="70" customWidth="1"/>
    <col min="12040" max="12040" width="11.44140625" style="70" customWidth="1"/>
    <col min="12041" max="12041" width="13" style="70" customWidth="1"/>
    <col min="12042" max="12043" width="14" style="70" customWidth="1"/>
    <col min="12044" max="12044" width="13.33203125" style="70" customWidth="1"/>
    <col min="12045" max="12045" width="14.6640625" style="70" customWidth="1"/>
    <col min="12046" max="12290" width="9.33203125" style="70"/>
    <col min="12291" max="12291" width="6.6640625" style="70" customWidth="1"/>
    <col min="12292" max="12292" width="24.6640625" style="70" customWidth="1"/>
    <col min="12293" max="12293" width="13" style="70" customWidth="1"/>
    <col min="12294" max="12295" width="15.44140625" style="70" customWidth="1"/>
    <col min="12296" max="12296" width="11.44140625" style="70" customWidth="1"/>
    <col min="12297" max="12297" width="13" style="70" customWidth="1"/>
    <col min="12298" max="12299" width="14" style="70" customWidth="1"/>
    <col min="12300" max="12300" width="13.33203125" style="70" customWidth="1"/>
    <col min="12301" max="12301" width="14.6640625" style="70" customWidth="1"/>
    <col min="12302" max="12546" width="9.33203125" style="70"/>
    <col min="12547" max="12547" width="6.6640625" style="70" customWidth="1"/>
    <col min="12548" max="12548" width="24.6640625" style="70" customWidth="1"/>
    <col min="12549" max="12549" width="13" style="70" customWidth="1"/>
    <col min="12550" max="12551" width="15.44140625" style="70" customWidth="1"/>
    <col min="12552" max="12552" width="11.44140625" style="70" customWidth="1"/>
    <col min="12553" max="12553" width="13" style="70" customWidth="1"/>
    <col min="12554" max="12555" width="14" style="70" customWidth="1"/>
    <col min="12556" max="12556" width="13.33203125" style="70" customWidth="1"/>
    <col min="12557" max="12557" width="14.6640625" style="70" customWidth="1"/>
    <col min="12558" max="12802" width="9.33203125" style="70"/>
    <col min="12803" max="12803" width="6.6640625" style="70" customWidth="1"/>
    <col min="12804" max="12804" width="24.6640625" style="70" customWidth="1"/>
    <col min="12805" max="12805" width="13" style="70" customWidth="1"/>
    <col min="12806" max="12807" width="15.44140625" style="70" customWidth="1"/>
    <col min="12808" max="12808" width="11.44140625" style="70" customWidth="1"/>
    <col min="12809" max="12809" width="13" style="70" customWidth="1"/>
    <col min="12810" max="12811" width="14" style="70" customWidth="1"/>
    <col min="12812" max="12812" width="13.33203125" style="70" customWidth="1"/>
    <col min="12813" max="12813" width="14.6640625" style="70" customWidth="1"/>
    <col min="12814" max="13058" width="9.33203125" style="70"/>
    <col min="13059" max="13059" width="6.6640625" style="70" customWidth="1"/>
    <col min="13060" max="13060" width="24.6640625" style="70" customWidth="1"/>
    <col min="13061" max="13061" width="13" style="70" customWidth="1"/>
    <col min="13062" max="13063" width="15.44140625" style="70" customWidth="1"/>
    <col min="13064" max="13064" width="11.44140625" style="70" customWidth="1"/>
    <col min="13065" max="13065" width="13" style="70" customWidth="1"/>
    <col min="13066" max="13067" width="14" style="70" customWidth="1"/>
    <col min="13068" max="13068" width="13.33203125" style="70" customWidth="1"/>
    <col min="13069" max="13069" width="14.6640625" style="70" customWidth="1"/>
    <col min="13070" max="13314" width="9.33203125" style="70"/>
    <col min="13315" max="13315" width="6.6640625" style="70" customWidth="1"/>
    <col min="13316" max="13316" width="24.6640625" style="70" customWidth="1"/>
    <col min="13317" max="13317" width="13" style="70" customWidth="1"/>
    <col min="13318" max="13319" width="15.44140625" style="70" customWidth="1"/>
    <col min="13320" max="13320" width="11.44140625" style="70" customWidth="1"/>
    <col min="13321" max="13321" width="13" style="70" customWidth="1"/>
    <col min="13322" max="13323" width="14" style="70" customWidth="1"/>
    <col min="13324" max="13324" width="13.33203125" style="70" customWidth="1"/>
    <col min="13325" max="13325" width="14.6640625" style="70" customWidth="1"/>
    <col min="13326" max="13570" width="9.33203125" style="70"/>
    <col min="13571" max="13571" width="6.6640625" style="70" customWidth="1"/>
    <col min="13572" max="13572" width="24.6640625" style="70" customWidth="1"/>
    <col min="13573" max="13573" width="13" style="70" customWidth="1"/>
    <col min="13574" max="13575" width="15.44140625" style="70" customWidth="1"/>
    <col min="13576" max="13576" width="11.44140625" style="70" customWidth="1"/>
    <col min="13577" max="13577" width="13" style="70" customWidth="1"/>
    <col min="13578" max="13579" width="14" style="70" customWidth="1"/>
    <col min="13580" max="13580" width="13.33203125" style="70" customWidth="1"/>
    <col min="13581" max="13581" width="14.6640625" style="70" customWidth="1"/>
    <col min="13582" max="13826" width="9.33203125" style="70"/>
    <col min="13827" max="13827" width="6.6640625" style="70" customWidth="1"/>
    <col min="13828" max="13828" width="24.6640625" style="70" customWidth="1"/>
    <col min="13829" max="13829" width="13" style="70" customWidth="1"/>
    <col min="13830" max="13831" width="15.44140625" style="70" customWidth="1"/>
    <col min="13832" max="13832" width="11.44140625" style="70" customWidth="1"/>
    <col min="13833" max="13833" width="13" style="70" customWidth="1"/>
    <col min="13834" max="13835" width="14" style="70" customWidth="1"/>
    <col min="13836" max="13836" width="13.33203125" style="70" customWidth="1"/>
    <col min="13837" max="13837" width="14.6640625" style="70" customWidth="1"/>
    <col min="13838" max="14082" width="9.33203125" style="70"/>
    <col min="14083" max="14083" width="6.6640625" style="70" customWidth="1"/>
    <col min="14084" max="14084" width="24.6640625" style="70" customWidth="1"/>
    <col min="14085" max="14085" width="13" style="70" customWidth="1"/>
    <col min="14086" max="14087" width="15.44140625" style="70" customWidth="1"/>
    <col min="14088" max="14088" width="11.44140625" style="70" customWidth="1"/>
    <col min="14089" max="14089" width="13" style="70" customWidth="1"/>
    <col min="14090" max="14091" width="14" style="70" customWidth="1"/>
    <col min="14092" max="14092" width="13.33203125" style="70" customWidth="1"/>
    <col min="14093" max="14093" width="14.6640625" style="70" customWidth="1"/>
    <col min="14094" max="14338" width="9.33203125" style="70"/>
    <col min="14339" max="14339" width="6.6640625" style="70" customWidth="1"/>
    <col min="14340" max="14340" width="24.6640625" style="70" customWidth="1"/>
    <col min="14341" max="14341" width="13" style="70" customWidth="1"/>
    <col min="14342" max="14343" width="15.44140625" style="70" customWidth="1"/>
    <col min="14344" max="14344" width="11.44140625" style="70" customWidth="1"/>
    <col min="14345" max="14345" width="13" style="70" customWidth="1"/>
    <col min="14346" max="14347" width="14" style="70" customWidth="1"/>
    <col min="14348" max="14348" width="13.33203125" style="70" customWidth="1"/>
    <col min="14349" max="14349" width="14.6640625" style="70" customWidth="1"/>
    <col min="14350" max="14594" width="9.33203125" style="70"/>
    <col min="14595" max="14595" width="6.6640625" style="70" customWidth="1"/>
    <col min="14596" max="14596" width="24.6640625" style="70" customWidth="1"/>
    <col min="14597" max="14597" width="13" style="70" customWidth="1"/>
    <col min="14598" max="14599" width="15.44140625" style="70" customWidth="1"/>
    <col min="14600" max="14600" width="11.44140625" style="70" customWidth="1"/>
    <col min="14601" max="14601" width="13" style="70" customWidth="1"/>
    <col min="14602" max="14603" width="14" style="70" customWidth="1"/>
    <col min="14604" max="14604" width="13.33203125" style="70" customWidth="1"/>
    <col min="14605" max="14605" width="14.6640625" style="70" customWidth="1"/>
    <col min="14606" max="14850" width="9.33203125" style="70"/>
    <col min="14851" max="14851" width="6.6640625" style="70" customWidth="1"/>
    <col min="14852" max="14852" width="24.6640625" style="70" customWidth="1"/>
    <col min="14853" max="14853" width="13" style="70" customWidth="1"/>
    <col min="14854" max="14855" width="15.44140625" style="70" customWidth="1"/>
    <col min="14856" max="14856" width="11.44140625" style="70" customWidth="1"/>
    <col min="14857" max="14857" width="13" style="70" customWidth="1"/>
    <col min="14858" max="14859" width="14" style="70" customWidth="1"/>
    <col min="14860" max="14860" width="13.33203125" style="70" customWidth="1"/>
    <col min="14861" max="14861" width="14.6640625" style="70" customWidth="1"/>
    <col min="14862" max="15106" width="9.33203125" style="70"/>
    <col min="15107" max="15107" width="6.6640625" style="70" customWidth="1"/>
    <col min="15108" max="15108" width="24.6640625" style="70" customWidth="1"/>
    <col min="15109" max="15109" width="13" style="70" customWidth="1"/>
    <col min="15110" max="15111" width="15.44140625" style="70" customWidth="1"/>
    <col min="15112" max="15112" width="11.44140625" style="70" customWidth="1"/>
    <col min="15113" max="15113" width="13" style="70" customWidth="1"/>
    <col min="15114" max="15115" width="14" style="70" customWidth="1"/>
    <col min="15116" max="15116" width="13.33203125" style="70" customWidth="1"/>
    <col min="15117" max="15117" width="14.6640625" style="70" customWidth="1"/>
    <col min="15118" max="15362" width="9.33203125" style="70"/>
    <col min="15363" max="15363" width="6.6640625" style="70" customWidth="1"/>
    <col min="15364" max="15364" width="24.6640625" style="70" customWidth="1"/>
    <col min="15365" max="15365" width="13" style="70" customWidth="1"/>
    <col min="15366" max="15367" width="15.44140625" style="70" customWidth="1"/>
    <col min="15368" max="15368" width="11.44140625" style="70" customWidth="1"/>
    <col min="15369" max="15369" width="13" style="70" customWidth="1"/>
    <col min="15370" max="15371" width="14" style="70" customWidth="1"/>
    <col min="15372" max="15372" width="13.33203125" style="70" customWidth="1"/>
    <col min="15373" max="15373" width="14.6640625" style="70" customWidth="1"/>
    <col min="15374" max="15618" width="9.33203125" style="70"/>
    <col min="15619" max="15619" width="6.6640625" style="70" customWidth="1"/>
    <col min="15620" max="15620" width="24.6640625" style="70" customWidth="1"/>
    <col min="15621" max="15621" width="13" style="70" customWidth="1"/>
    <col min="15622" max="15623" width="15.44140625" style="70" customWidth="1"/>
    <col min="15624" max="15624" width="11.44140625" style="70" customWidth="1"/>
    <col min="15625" max="15625" width="13" style="70" customWidth="1"/>
    <col min="15626" max="15627" width="14" style="70" customWidth="1"/>
    <col min="15628" max="15628" width="13.33203125" style="70" customWidth="1"/>
    <col min="15629" max="15629" width="14.6640625" style="70" customWidth="1"/>
    <col min="15630" max="15874" width="9.33203125" style="70"/>
    <col min="15875" max="15875" width="6.6640625" style="70" customWidth="1"/>
    <col min="15876" max="15876" width="24.6640625" style="70" customWidth="1"/>
    <col min="15877" max="15877" width="13" style="70" customWidth="1"/>
    <col min="15878" max="15879" width="15.44140625" style="70" customWidth="1"/>
    <col min="15880" max="15880" width="11.44140625" style="70" customWidth="1"/>
    <col min="15881" max="15881" width="13" style="70" customWidth="1"/>
    <col min="15882" max="15883" width="14" style="70" customWidth="1"/>
    <col min="15884" max="15884" width="13.33203125" style="70" customWidth="1"/>
    <col min="15885" max="15885" width="14.6640625" style="70" customWidth="1"/>
    <col min="15886" max="16130" width="9.33203125" style="70"/>
    <col min="16131" max="16131" width="6.6640625" style="70" customWidth="1"/>
    <col min="16132" max="16132" width="24.6640625" style="70" customWidth="1"/>
    <col min="16133" max="16133" width="13" style="70" customWidth="1"/>
    <col min="16134" max="16135" width="15.44140625" style="70" customWidth="1"/>
    <col min="16136" max="16136" width="11.44140625" style="70" customWidth="1"/>
    <col min="16137" max="16137" width="13" style="70" customWidth="1"/>
    <col min="16138" max="16139" width="14" style="70" customWidth="1"/>
    <col min="16140" max="16140" width="13.33203125" style="70" customWidth="1"/>
    <col min="16141" max="16141" width="14.6640625" style="70" customWidth="1"/>
    <col min="16142" max="16384" width="9.33203125" style="70"/>
  </cols>
  <sheetData>
    <row r="1" spans="1:13" ht="42" customHeight="1">
      <c r="A1" s="910" t="s">
        <v>473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</row>
    <row r="2" spans="1:13" ht="13.8">
      <c r="A2" s="71"/>
      <c r="B2" s="76"/>
      <c r="C2" s="76"/>
      <c r="D2" s="246" t="s">
        <v>30</v>
      </c>
      <c r="E2" s="246" t="s">
        <v>36</v>
      </c>
      <c r="F2" s="244" t="s">
        <v>59</v>
      </c>
      <c r="G2" s="244" t="s">
        <v>109</v>
      </c>
      <c r="H2" s="244" t="s">
        <v>145</v>
      </c>
      <c r="I2" s="244" t="s">
        <v>163</v>
      </c>
      <c r="J2" s="244" t="s">
        <v>172</v>
      </c>
      <c r="K2" s="244" t="s">
        <v>181</v>
      </c>
      <c r="L2" s="70" t="s">
        <v>199</v>
      </c>
      <c r="M2" s="78" t="s">
        <v>1</v>
      </c>
    </row>
    <row r="3" spans="1:13" s="79" customFormat="1" ht="69.75" customHeight="1">
      <c r="A3" s="455" t="s">
        <v>407</v>
      </c>
      <c r="B3" s="455" t="s">
        <v>454</v>
      </c>
      <c r="C3" s="455" t="s">
        <v>455</v>
      </c>
      <c r="D3" s="455" t="s">
        <v>472</v>
      </c>
      <c r="E3" s="455" t="s">
        <v>742</v>
      </c>
      <c r="F3" s="455" t="s">
        <v>456</v>
      </c>
      <c r="G3" s="455" t="s">
        <v>108</v>
      </c>
      <c r="H3" s="455" t="s">
        <v>457</v>
      </c>
      <c r="I3" s="456" t="s">
        <v>458</v>
      </c>
      <c r="J3" s="456" t="s">
        <v>427</v>
      </c>
      <c r="K3" s="247" t="s">
        <v>459</v>
      </c>
      <c r="L3" s="457" t="s">
        <v>189</v>
      </c>
      <c r="M3" s="247" t="s">
        <v>460</v>
      </c>
    </row>
    <row r="4" spans="1:13" ht="52.5" customHeight="1">
      <c r="A4" s="804" t="s">
        <v>10</v>
      </c>
      <c r="B4" s="805" t="s">
        <v>461</v>
      </c>
      <c r="C4" s="806" t="s">
        <v>462</v>
      </c>
      <c r="D4" s="807"/>
      <c r="E4" s="807"/>
      <c r="F4" s="808"/>
      <c r="G4" s="808"/>
      <c r="H4" s="808">
        <v>1000000</v>
      </c>
      <c r="I4" s="809"/>
      <c r="J4" s="809"/>
      <c r="K4" s="808"/>
      <c r="L4" s="810">
        <v>20000000</v>
      </c>
      <c r="M4" s="810">
        <f t="shared" ref="M4:M108" si="0">SUM(D4:L4)</f>
        <v>21000000</v>
      </c>
    </row>
    <row r="5" spans="1:13" s="80" customFormat="1" ht="52.5" customHeight="1">
      <c r="A5" s="455" t="s">
        <v>13</v>
      </c>
      <c r="B5" s="465" t="s">
        <v>857</v>
      </c>
      <c r="C5" s="466"/>
      <c r="D5" s="467"/>
      <c r="E5" s="467">
        <v>13608561</v>
      </c>
      <c r="F5" s="468"/>
      <c r="G5" s="468"/>
      <c r="H5" s="468">
        <v>1000006</v>
      </c>
      <c r="I5" s="469"/>
      <c r="J5" s="469"/>
      <c r="K5" s="468">
        <v>134787</v>
      </c>
      <c r="L5" s="470"/>
      <c r="M5" s="470">
        <f>SUM(D5:L5)</f>
        <v>14743354</v>
      </c>
    </row>
    <row r="6" spans="1:13" s="80" customFormat="1" ht="52.5" customHeight="1">
      <c r="A6" s="455" t="s">
        <v>16</v>
      </c>
      <c r="B6" s="465" t="s">
        <v>1004</v>
      </c>
      <c r="C6" s="466"/>
      <c r="D6" s="467"/>
      <c r="E6" s="467">
        <v>13608561</v>
      </c>
      <c r="F6" s="467"/>
      <c r="G6" s="467"/>
      <c r="H6" s="467">
        <v>395273</v>
      </c>
      <c r="I6" s="467"/>
      <c r="J6" s="467"/>
      <c r="K6" s="467">
        <f t="shared" ref="K6" si="1">SUM(K4:K5)</f>
        <v>134787</v>
      </c>
      <c r="L6" s="467"/>
      <c r="M6" s="467">
        <f>SUM(D6:L6)</f>
        <v>14138621</v>
      </c>
    </row>
    <row r="7" spans="1:13" ht="47.25" customHeight="1">
      <c r="A7" s="804" t="s">
        <v>19</v>
      </c>
      <c r="B7" s="805" t="s">
        <v>757</v>
      </c>
      <c r="C7" s="806" t="s">
        <v>756</v>
      </c>
      <c r="D7" s="816"/>
      <c r="E7" s="816"/>
      <c r="F7" s="817"/>
      <c r="G7" s="817"/>
      <c r="H7" s="817">
        <v>58383215</v>
      </c>
      <c r="I7" s="818">
        <f>'9.sz.mell.'!D63</f>
        <v>2160072</v>
      </c>
      <c r="J7" s="818"/>
      <c r="K7" s="817"/>
      <c r="L7" s="816">
        <v>62320000</v>
      </c>
      <c r="M7" s="819">
        <f t="shared" si="0"/>
        <v>122863287</v>
      </c>
    </row>
    <row r="8" spans="1:13" s="80" customFormat="1" ht="47.25" customHeight="1">
      <c r="A8" s="455" t="s">
        <v>22</v>
      </c>
      <c r="B8" s="465" t="s">
        <v>857</v>
      </c>
      <c r="C8" s="466"/>
      <c r="D8" s="820"/>
      <c r="E8" s="820"/>
      <c r="F8" s="820"/>
      <c r="G8" s="820"/>
      <c r="H8" s="820">
        <v>61714328</v>
      </c>
      <c r="I8" s="820">
        <v>7150211</v>
      </c>
      <c r="J8" s="820"/>
      <c r="K8" s="820"/>
      <c r="L8" s="820"/>
      <c r="M8" s="821">
        <f>SUM(D8:L8)</f>
        <v>68864539</v>
      </c>
    </row>
    <row r="9" spans="1:13" s="80" customFormat="1" ht="47.25" customHeight="1">
      <c r="A9" s="455" t="s">
        <v>25</v>
      </c>
      <c r="B9" s="465" t="s">
        <v>1004</v>
      </c>
      <c r="C9" s="466"/>
      <c r="D9" s="820"/>
      <c r="E9" s="820"/>
      <c r="F9" s="822">
        <v>315000000</v>
      </c>
      <c r="G9" s="822"/>
      <c r="H9" s="822">
        <v>41026198</v>
      </c>
      <c r="I9" s="823">
        <v>7149437</v>
      </c>
      <c r="J9" s="823"/>
      <c r="K9" s="822"/>
      <c r="L9" s="820"/>
      <c r="M9" s="821">
        <f>SUM(D9:L9)</f>
        <v>363175635</v>
      </c>
    </row>
    <row r="10" spans="1:13" ht="47.25" customHeight="1">
      <c r="A10" s="804" t="s">
        <v>28</v>
      </c>
      <c r="B10" s="805" t="s">
        <v>759</v>
      </c>
      <c r="C10" s="806" t="s">
        <v>758</v>
      </c>
      <c r="D10" s="816">
        <f>'9.sz.mell.'!D12</f>
        <v>847167451</v>
      </c>
      <c r="E10" s="816"/>
      <c r="F10" s="817"/>
      <c r="G10" s="817"/>
      <c r="H10" s="817"/>
      <c r="I10" s="818"/>
      <c r="J10" s="818"/>
      <c r="K10" s="817"/>
      <c r="L10" s="816">
        <v>30364900</v>
      </c>
      <c r="M10" s="819">
        <f t="shared" si="0"/>
        <v>877532351</v>
      </c>
    </row>
    <row r="11" spans="1:13" s="80" customFormat="1" ht="47.25" customHeight="1">
      <c r="A11" s="455" t="s">
        <v>31</v>
      </c>
      <c r="B11" s="465" t="s">
        <v>857</v>
      </c>
      <c r="C11" s="466"/>
      <c r="D11" s="820">
        <v>903205675</v>
      </c>
      <c r="E11" s="820"/>
      <c r="F11" s="820"/>
      <c r="G11" s="820"/>
      <c r="H11" s="820"/>
      <c r="I11" s="820"/>
      <c r="J11" s="820"/>
      <c r="K11" s="820"/>
      <c r="L11" s="820"/>
      <c r="M11" s="821">
        <f t="shared" si="0"/>
        <v>903205675</v>
      </c>
    </row>
    <row r="12" spans="1:13" s="80" customFormat="1" ht="47.25" customHeight="1">
      <c r="A12" s="455" t="s">
        <v>34</v>
      </c>
      <c r="B12" s="465" t="s">
        <v>1004</v>
      </c>
      <c r="C12" s="466"/>
      <c r="D12" s="820">
        <v>707140318</v>
      </c>
      <c r="E12" s="820"/>
      <c r="F12" s="822"/>
      <c r="G12" s="822">
        <v>-39750</v>
      </c>
      <c r="H12" s="822"/>
      <c r="I12" s="823"/>
      <c r="J12" s="823"/>
      <c r="K12" s="822"/>
      <c r="L12" s="820"/>
      <c r="M12" s="821">
        <f t="shared" si="0"/>
        <v>707100568</v>
      </c>
    </row>
    <row r="13" spans="1:13" ht="41.25" customHeight="1">
      <c r="A13" s="804" t="s">
        <v>37</v>
      </c>
      <c r="B13" s="805" t="s">
        <v>862</v>
      </c>
      <c r="C13" s="806" t="s">
        <v>464</v>
      </c>
      <c r="D13" s="816"/>
      <c r="E13" s="816"/>
      <c r="F13" s="817"/>
      <c r="G13" s="817"/>
      <c r="H13" s="817"/>
      <c r="I13" s="818"/>
      <c r="J13" s="818"/>
      <c r="K13" s="817"/>
      <c r="L13" s="819"/>
      <c r="M13" s="819">
        <f>SUM(D13:L13)</f>
        <v>0</v>
      </c>
    </row>
    <row r="14" spans="1:13" s="80" customFormat="1" ht="41.25" customHeight="1">
      <c r="A14" s="455" t="s">
        <v>39</v>
      </c>
      <c r="B14" s="465" t="s">
        <v>857</v>
      </c>
      <c r="C14" s="466"/>
      <c r="D14" s="820"/>
      <c r="E14" s="820"/>
      <c r="F14" s="820"/>
      <c r="G14" s="820"/>
      <c r="H14" s="820"/>
      <c r="I14" s="820"/>
      <c r="J14" s="820"/>
      <c r="K14" s="820"/>
      <c r="L14" s="820">
        <v>373580098</v>
      </c>
      <c r="M14" s="821">
        <f>SUM(D14:L14)</f>
        <v>373580098</v>
      </c>
    </row>
    <row r="15" spans="1:13" s="80" customFormat="1" ht="41.25" customHeight="1">
      <c r="A15" s="455" t="s">
        <v>41</v>
      </c>
      <c r="B15" s="465" t="s">
        <v>1004</v>
      </c>
      <c r="C15" s="466"/>
      <c r="D15" s="820"/>
      <c r="E15" s="820"/>
      <c r="F15" s="822"/>
      <c r="G15" s="822"/>
      <c r="H15" s="822"/>
      <c r="I15" s="823"/>
      <c r="J15" s="823"/>
      <c r="K15" s="822"/>
      <c r="L15" s="821">
        <v>373580098</v>
      </c>
      <c r="M15" s="821">
        <f>SUM(D15:L15)</f>
        <v>373580098</v>
      </c>
    </row>
    <row r="16" spans="1:13" ht="47.25" customHeight="1">
      <c r="A16" s="804" t="s">
        <v>43</v>
      </c>
      <c r="B16" s="805" t="s">
        <v>745</v>
      </c>
      <c r="C16" s="806" t="s">
        <v>744</v>
      </c>
      <c r="D16" s="816"/>
      <c r="E16" s="816">
        <f>1236139+294032+2072404+511889+841236+904980+923748+904980+300001</f>
        <v>7989409</v>
      </c>
      <c r="F16" s="817"/>
      <c r="G16" s="817"/>
      <c r="H16" s="817"/>
      <c r="I16" s="818"/>
      <c r="J16" s="818"/>
      <c r="K16" s="817"/>
      <c r="L16" s="816">
        <f>3359195+6063376+2072404+2519582</f>
        <v>14014557</v>
      </c>
      <c r="M16" s="819">
        <f t="shared" si="0"/>
        <v>22003966</v>
      </c>
    </row>
    <row r="17" spans="1:13" s="80" customFormat="1" ht="47.25" customHeight="1">
      <c r="A17" s="455" t="s">
        <v>45</v>
      </c>
      <c r="B17" s="465" t="s">
        <v>857</v>
      </c>
      <c r="C17" s="466"/>
      <c r="D17" s="820"/>
      <c r="E17" s="820">
        <v>29847998</v>
      </c>
      <c r="F17" s="820"/>
      <c r="G17" s="820"/>
      <c r="H17" s="820">
        <v>300</v>
      </c>
      <c r="I17" s="820"/>
      <c r="J17" s="820"/>
      <c r="K17" s="820"/>
      <c r="L17" s="820"/>
      <c r="M17" s="821">
        <f t="shared" si="0"/>
        <v>29848298</v>
      </c>
    </row>
    <row r="18" spans="1:13" s="80" customFormat="1" ht="47.25" customHeight="1">
      <c r="A18" s="455" t="s">
        <v>47</v>
      </c>
      <c r="B18" s="465" t="s">
        <v>1004</v>
      </c>
      <c r="C18" s="466"/>
      <c r="D18" s="820"/>
      <c r="E18" s="820">
        <v>28180002</v>
      </c>
      <c r="F18" s="822"/>
      <c r="G18" s="822"/>
      <c r="H18" s="822">
        <v>93</v>
      </c>
      <c r="I18" s="823"/>
      <c r="J18" s="823"/>
      <c r="K18" s="822"/>
      <c r="L18" s="820"/>
      <c r="M18" s="821">
        <f t="shared" si="0"/>
        <v>28180095</v>
      </c>
    </row>
    <row r="19" spans="1:13" ht="47.25" customHeight="1">
      <c r="A19" s="804" t="s">
        <v>49</v>
      </c>
      <c r="B19" s="805" t="s">
        <v>761</v>
      </c>
      <c r="C19" s="806" t="s">
        <v>760</v>
      </c>
      <c r="D19" s="816"/>
      <c r="E19" s="816">
        <f>2633941+2843729+2303232+3811902+3815301+911485+400609+404266+5746211</f>
        <v>22870676</v>
      </c>
      <c r="F19" s="817"/>
      <c r="G19" s="817"/>
      <c r="H19" s="817">
        <v>5000000</v>
      </c>
      <c r="I19" s="818"/>
      <c r="J19" s="818"/>
      <c r="K19" s="817"/>
      <c r="L19" s="816">
        <v>38844140</v>
      </c>
      <c r="M19" s="819">
        <f t="shared" si="0"/>
        <v>66714816</v>
      </c>
    </row>
    <row r="20" spans="1:13" s="80" customFormat="1" ht="47.25" customHeight="1">
      <c r="A20" s="455" t="s">
        <v>51</v>
      </c>
      <c r="B20" s="465" t="s">
        <v>857</v>
      </c>
      <c r="C20" s="466"/>
      <c r="D20" s="820"/>
      <c r="E20" s="820">
        <v>259662564</v>
      </c>
      <c r="F20" s="820"/>
      <c r="G20" s="820"/>
      <c r="H20" s="820">
        <v>5000000</v>
      </c>
      <c r="I20" s="820"/>
      <c r="J20" s="820"/>
      <c r="K20" s="820"/>
      <c r="L20" s="820"/>
      <c r="M20" s="821">
        <f t="shared" si="0"/>
        <v>264662564</v>
      </c>
    </row>
    <row r="21" spans="1:13" s="80" customFormat="1" ht="47.25" customHeight="1">
      <c r="A21" s="455" t="s">
        <v>54</v>
      </c>
      <c r="B21" s="465" t="s">
        <v>1004</v>
      </c>
      <c r="C21" s="466"/>
      <c r="D21" s="820"/>
      <c r="E21" s="820">
        <v>166701749</v>
      </c>
      <c r="F21" s="822"/>
      <c r="G21" s="822"/>
      <c r="H21" s="822">
        <v>3702033</v>
      </c>
      <c r="I21" s="823"/>
      <c r="J21" s="823"/>
      <c r="K21" s="822"/>
      <c r="L21" s="820"/>
      <c r="M21" s="821">
        <f t="shared" si="0"/>
        <v>170403782</v>
      </c>
    </row>
    <row r="22" spans="1:13" ht="47.25" customHeight="1">
      <c r="A22" s="804" t="s">
        <v>57</v>
      </c>
      <c r="B22" s="805" t="s">
        <v>769</v>
      </c>
      <c r="C22" s="806" t="s">
        <v>768</v>
      </c>
      <c r="D22" s="816"/>
      <c r="E22" s="816"/>
      <c r="F22" s="817">
        <f>'9.sz.mell.'!D25</f>
        <v>50000000</v>
      </c>
      <c r="G22" s="817"/>
      <c r="H22" s="817"/>
      <c r="I22" s="818"/>
      <c r="J22" s="818"/>
      <c r="K22" s="817"/>
      <c r="L22" s="816"/>
      <c r="M22" s="819">
        <f t="shared" si="0"/>
        <v>50000000</v>
      </c>
    </row>
    <row r="23" spans="1:13" s="80" customFormat="1" ht="47.25" customHeight="1">
      <c r="A23" s="455" t="s">
        <v>60</v>
      </c>
      <c r="B23" s="465" t="s">
        <v>857</v>
      </c>
      <c r="C23" s="466"/>
      <c r="D23" s="820"/>
      <c r="E23" s="820"/>
      <c r="F23" s="820"/>
      <c r="G23" s="820"/>
      <c r="H23" s="820"/>
      <c r="I23" s="820"/>
      <c r="J23" s="820">
        <f>J24-J22</f>
        <v>1313497</v>
      </c>
      <c r="K23" s="820"/>
      <c r="L23" s="820"/>
      <c r="M23" s="821">
        <f t="shared" si="0"/>
        <v>1313497</v>
      </c>
    </row>
    <row r="24" spans="1:13" s="80" customFormat="1" ht="47.25" customHeight="1">
      <c r="A24" s="455" t="s">
        <v>62</v>
      </c>
      <c r="B24" s="465" t="s">
        <v>1004</v>
      </c>
      <c r="C24" s="466"/>
      <c r="D24" s="820"/>
      <c r="E24" s="820"/>
      <c r="F24" s="822"/>
      <c r="G24" s="822"/>
      <c r="H24" s="822"/>
      <c r="I24" s="823"/>
      <c r="J24" s="823">
        <v>1313497</v>
      </c>
      <c r="K24" s="822"/>
      <c r="L24" s="820"/>
      <c r="M24" s="821">
        <f t="shared" si="0"/>
        <v>1313497</v>
      </c>
    </row>
    <row r="25" spans="1:13" ht="41.25" customHeight="1">
      <c r="A25" s="804" t="s">
        <v>64</v>
      </c>
      <c r="B25" s="805" t="s">
        <v>866</v>
      </c>
      <c r="C25" s="806" t="s">
        <v>867</v>
      </c>
      <c r="D25" s="816"/>
      <c r="E25" s="816"/>
      <c r="F25" s="817"/>
      <c r="G25" s="817"/>
      <c r="H25" s="817"/>
      <c r="I25" s="818"/>
      <c r="J25" s="818"/>
      <c r="K25" s="817"/>
      <c r="L25" s="819"/>
      <c r="M25" s="819"/>
    </row>
    <row r="26" spans="1:13" s="80" customFormat="1" ht="41.25" customHeight="1">
      <c r="A26" s="455" t="s">
        <v>66</v>
      </c>
      <c r="B26" s="465" t="s">
        <v>857</v>
      </c>
      <c r="C26" s="466"/>
      <c r="D26" s="820"/>
      <c r="E26" s="820"/>
      <c r="F26" s="822">
        <f>F27-F25</f>
        <v>448010250</v>
      </c>
      <c r="G26" s="822"/>
      <c r="H26" s="822"/>
      <c r="I26" s="823"/>
      <c r="J26" s="823"/>
      <c r="K26" s="822"/>
      <c r="L26" s="821"/>
      <c r="M26" s="821">
        <f>SUM(D26:L26)</f>
        <v>448010250</v>
      </c>
    </row>
    <row r="27" spans="1:13" s="80" customFormat="1" ht="41.25" customHeight="1">
      <c r="A27" s="455" t="s">
        <v>68</v>
      </c>
      <c r="B27" s="465" t="s">
        <v>1004</v>
      </c>
      <c r="C27" s="466"/>
      <c r="D27" s="820"/>
      <c r="E27" s="820"/>
      <c r="F27" s="822">
        <v>448010250</v>
      </c>
      <c r="G27" s="822"/>
      <c r="H27" s="822"/>
      <c r="I27" s="823"/>
      <c r="J27" s="823"/>
      <c r="K27" s="822"/>
      <c r="L27" s="821"/>
      <c r="M27" s="821">
        <f>SUM(D27:L27)</f>
        <v>448010250</v>
      </c>
    </row>
    <row r="28" spans="1:13" ht="41.25" customHeight="1">
      <c r="A28" s="804" t="s">
        <v>70</v>
      </c>
      <c r="B28" s="805" t="s">
        <v>1026</v>
      </c>
      <c r="C28" s="806" t="s">
        <v>781</v>
      </c>
      <c r="D28" s="816"/>
      <c r="E28" s="816"/>
      <c r="F28" s="817"/>
      <c r="G28" s="817"/>
      <c r="H28" s="817"/>
      <c r="I28" s="818"/>
      <c r="J28" s="818"/>
      <c r="K28" s="817"/>
      <c r="L28" s="819"/>
      <c r="M28" s="819">
        <f>SUM(D28:L28)</f>
        <v>0</v>
      </c>
    </row>
    <row r="29" spans="1:13" s="80" customFormat="1" ht="41.25" customHeight="1">
      <c r="A29" s="455" t="s">
        <v>72</v>
      </c>
      <c r="B29" s="465" t="s">
        <v>857</v>
      </c>
      <c r="C29" s="466"/>
      <c r="D29" s="820"/>
      <c r="E29" s="820"/>
      <c r="F29" s="822">
        <v>50000000</v>
      </c>
      <c r="G29" s="822"/>
      <c r="H29" s="822"/>
      <c r="I29" s="823"/>
      <c r="J29" s="823"/>
      <c r="K29" s="822"/>
      <c r="L29" s="821"/>
      <c r="M29" s="821">
        <f>SUM(D29:L29)</f>
        <v>50000000</v>
      </c>
    </row>
    <row r="30" spans="1:13" s="80" customFormat="1" ht="41.25" customHeight="1">
      <c r="A30" s="455" t="s">
        <v>75</v>
      </c>
      <c r="B30" s="465" t="s">
        <v>1004</v>
      </c>
      <c r="C30" s="466"/>
      <c r="D30" s="820"/>
      <c r="E30" s="820"/>
      <c r="F30" s="822">
        <v>50000000</v>
      </c>
      <c r="G30" s="822"/>
      <c r="H30" s="822"/>
      <c r="I30" s="823"/>
      <c r="J30" s="823"/>
      <c r="K30" s="822"/>
      <c r="L30" s="821"/>
      <c r="M30" s="821">
        <f>SUM(D30:L30)</f>
        <v>50000000</v>
      </c>
    </row>
    <row r="31" spans="1:13" ht="47.25" customHeight="1">
      <c r="A31" s="804" t="s">
        <v>78</v>
      </c>
      <c r="B31" s="805" t="s">
        <v>815</v>
      </c>
      <c r="C31" s="806" t="s">
        <v>782</v>
      </c>
      <c r="D31" s="816"/>
      <c r="E31" s="816"/>
      <c r="F31" s="817"/>
      <c r="G31" s="817"/>
      <c r="H31" s="817"/>
      <c r="I31" s="818"/>
      <c r="J31" s="818"/>
      <c r="K31" s="817"/>
      <c r="L31" s="816">
        <v>16951029</v>
      </c>
      <c r="M31" s="819">
        <f t="shared" si="0"/>
        <v>16951029</v>
      </c>
    </row>
    <row r="32" spans="1:13" s="80" customFormat="1" ht="47.25" customHeight="1">
      <c r="A32" s="455" t="s">
        <v>81</v>
      </c>
      <c r="B32" s="465" t="s">
        <v>857</v>
      </c>
      <c r="C32" s="466"/>
      <c r="D32" s="820"/>
      <c r="E32" s="820"/>
      <c r="F32" s="822"/>
      <c r="G32" s="822"/>
      <c r="H32" s="822">
        <v>427482</v>
      </c>
      <c r="I32" s="823"/>
      <c r="J32" s="823"/>
      <c r="K32" s="822"/>
      <c r="L32" s="820"/>
      <c r="M32" s="821">
        <f t="shared" si="0"/>
        <v>427482</v>
      </c>
    </row>
    <row r="33" spans="1:13" s="80" customFormat="1" ht="47.25" customHeight="1">
      <c r="A33" s="455" t="s">
        <v>83</v>
      </c>
      <c r="B33" s="465" t="s">
        <v>1004</v>
      </c>
      <c r="C33" s="466"/>
      <c r="D33" s="820"/>
      <c r="E33" s="820"/>
      <c r="F33" s="822"/>
      <c r="G33" s="822"/>
      <c r="H33" s="822">
        <v>427482</v>
      </c>
      <c r="I33" s="823"/>
      <c r="J33" s="823"/>
      <c r="K33" s="822"/>
      <c r="L33" s="820"/>
      <c r="M33" s="821">
        <f t="shared" si="0"/>
        <v>427482</v>
      </c>
    </row>
    <row r="34" spans="1:13" ht="47.25" customHeight="1">
      <c r="A34" s="804" t="s">
        <v>85</v>
      </c>
      <c r="B34" s="805" t="s">
        <v>869</v>
      </c>
      <c r="C34" s="806" t="s">
        <v>868</v>
      </c>
      <c r="D34" s="816"/>
      <c r="E34" s="816"/>
      <c r="F34" s="817"/>
      <c r="G34" s="817"/>
      <c r="H34" s="817"/>
      <c r="I34" s="818"/>
      <c r="J34" s="818"/>
      <c r="K34" s="817"/>
      <c r="L34" s="816"/>
      <c r="M34" s="819"/>
    </row>
    <row r="35" spans="1:13" s="80" customFormat="1" ht="47.25" customHeight="1">
      <c r="A35" s="455" t="s">
        <v>87</v>
      </c>
      <c r="B35" s="465" t="s">
        <v>857</v>
      </c>
      <c r="C35" s="466"/>
      <c r="D35" s="820"/>
      <c r="E35" s="820"/>
      <c r="F35" s="822">
        <v>60000000</v>
      </c>
      <c r="G35" s="822"/>
      <c r="H35" s="822"/>
      <c r="I35" s="823"/>
      <c r="J35" s="823"/>
      <c r="K35" s="822"/>
      <c r="L35" s="820"/>
      <c r="M35" s="821">
        <f>SUM(D35:L35)</f>
        <v>60000000</v>
      </c>
    </row>
    <row r="36" spans="1:13" s="80" customFormat="1" ht="47.25" customHeight="1">
      <c r="A36" s="455" t="s">
        <v>90</v>
      </c>
      <c r="B36" s="465" t="s">
        <v>1004</v>
      </c>
      <c r="C36" s="466"/>
      <c r="D36" s="820"/>
      <c r="E36" s="820"/>
      <c r="F36" s="822">
        <v>60000000</v>
      </c>
      <c r="G36" s="822"/>
      <c r="H36" s="822"/>
      <c r="I36" s="823"/>
      <c r="J36" s="823"/>
      <c r="K36" s="822"/>
      <c r="L36" s="820"/>
      <c r="M36" s="821">
        <v>60000000</v>
      </c>
    </row>
    <row r="37" spans="1:13" ht="47.25" customHeight="1">
      <c r="A37" s="804" t="s">
        <v>92</v>
      </c>
      <c r="B37" s="805" t="s">
        <v>1027</v>
      </c>
      <c r="C37" s="806"/>
      <c r="D37" s="816"/>
      <c r="E37" s="816"/>
      <c r="F37" s="817"/>
      <c r="G37" s="817"/>
      <c r="H37" s="817"/>
      <c r="I37" s="818"/>
      <c r="J37" s="818"/>
      <c r="K37" s="817"/>
      <c r="L37" s="816"/>
      <c r="M37" s="819"/>
    </row>
    <row r="38" spans="1:13" s="80" customFormat="1" ht="47.25" customHeight="1">
      <c r="A38" s="455" t="s">
        <v>94</v>
      </c>
      <c r="B38" s="465" t="s">
        <v>857</v>
      </c>
      <c r="C38" s="466"/>
      <c r="D38" s="820"/>
      <c r="E38" s="820"/>
      <c r="F38" s="822">
        <v>277000000</v>
      </c>
      <c r="G38" s="822"/>
      <c r="H38" s="822"/>
      <c r="I38" s="823"/>
      <c r="J38" s="823"/>
      <c r="K38" s="822"/>
      <c r="L38" s="820"/>
      <c r="M38" s="821">
        <f>SUM(D38:L38)</f>
        <v>277000000</v>
      </c>
    </row>
    <row r="39" spans="1:13" s="80" customFormat="1" ht="47.25" customHeight="1">
      <c r="A39" s="455" t="s">
        <v>97</v>
      </c>
      <c r="B39" s="465" t="s">
        <v>1004</v>
      </c>
      <c r="C39" s="466"/>
      <c r="D39" s="820"/>
      <c r="E39" s="820"/>
      <c r="F39" s="822">
        <v>277000000</v>
      </c>
      <c r="G39" s="822"/>
      <c r="H39" s="822"/>
      <c r="I39" s="823"/>
      <c r="J39" s="823"/>
      <c r="K39" s="822"/>
      <c r="L39" s="820"/>
      <c r="M39" s="821">
        <f>SUM(D39:L39)</f>
        <v>277000000</v>
      </c>
    </row>
    <row r="40" spans="1:13" ht="47.25" customHeight="1">
      <c r="A40" s="804" t="s">
        <v>100</v>
      </c>
      <c r="B40" s="811" t="s">
        <v>820</v>
      </c>
      <c r="C40" s="806" t="s">
        <v>785</v>
      </c>
      <c r="D40" s="816"/>
      <c r="E40" s="816"/>
      <c r="F40" s="817"/>
      <c r="G40" s="817"/>
      <c r="H40" s="817">
        <v>3306776</v>
      </c>
      <c r="I40" s="818"/>
      <c r="J40" s="818"/>
      <c r="K40" s="817"/>
      <c r="L40" s="816"/>
      <c r="M40" s="819">
        <f t="shared" si="0"/>
        <v>3306776</v>
      </c>
    </row>
    <row r="41" spans="1:13" s="80" customFormat="1" ht="47.25" customHeight="1">
      <c r="A41" s="455" t="s">
        <v>102</v>
      </c>
      <c r="B41" s="465" t="s">
        <v>857</v>
      </c>
      <c r="C41" s="466"/>
      <c r="D41" s="820"/>
      <c r="E41" s="820"/>
      <c r="F41" s="822"/>
      <c r="G41" s="822"/>
      <c r="H41" s="822">
        <v>3306776</v>
      </c>
      <c r="I41" s="823"/>
      <c r="J41" s="823"/>
      <c r="K41" s="822"/>
      <c r="L41" s="820"/>
      <c r="M41" s="821">
        <f t="shared" si="0"/>
        <v>3306776</v>
      </c>
    </row>
    <row r="42" spans="1:13" s="80" customFormat="1" ht="47.25" customHeight="1">
      <c r="A42" s="455" t="s">
        <v>104</v>
      </c>
      <c r="B42" s="465" t="s">
        <v>1004</v>
      </c>
      <c r="C42" s="466"/>
      <c r="D42" s="820"/>
      <c r="E42" s="820"/>
      <c r="F42" s="822"/>
      <c r="G42" s="822"/>
      <c r="H42" s="822">
        <v>321770</v>
      </c>
      <c r="I42" s="823"/>
      <c r="J42" s="823"/>
      <c r="K42" s="822"/>
      <c r="L42" s="820"/>
      <c r="M42" s="821">
        <f t="shared" si="0"/>
        <v>321770</v>
      </c>
    </row>
    <row r="43" spans="1:13" ht="47.25" customHeight="1">
      <c r="A43" s="804" t="s">
        <v>107</v>
      </c>
      <c r="B43" s="811" t="s">
        <v>821</v>
      </c>
      <c r="C43" s="806" t="s">
        <v>786</v>
      </c>
      <c r="D43" s="816"/>
      <c r="E43" s="816"/>
      <c r="F43" s="817"/>
      <c r="G43" s="817"/>
      <c r="H43" s="817">
        <v>21021256</v>
      </c>
      <c r="I43" s="818"/>
      <c r="J43" s="818"/>
      <c r="K43" s="817"/>
      <c r="L43" s="816"/>
      <c r="M43" s="819">
        <f t="shared" si="0"/>
        <v>21021256</v>
      </c>
    </row>
    <row r="44" spans="1:13" s="80" customFormat="1" ht="47.25" customHeight="1">
      <c r="A44" s="455" t="s">
        <v>110</v>
      </c>
      <c r="B44" s="465" t="s">
        <v>857</v>
      </c>
      <c r="C44" s="466"/>
      <c r="D44" s="820"/>
      <c r="E44" s="820"/>
      <c r="F44" s="822"/>
      <c r="G44" s="822"/>
      <c r="H44" s="822">
        <v>20921256</v>
      </c>
      <c r="I44" s="823"/>
      <c r="J44" s="823"/>
      <c r="K44" s="822">
        <v>821307</v>
      </c>
      <c r="L44" s="820"/>
      <c r="M44" s="821">
        <f t="shared" si="0"/>
        <v>21742563</v>
      </c>
    </row>
    <row r="45" spans="1:13" s="80" customFormat="1" ht="47.25" customHeight="1">
      <c r="A45" s="455" t="s">
        <v>113</v>
      </c>
      <c r="B45" s="465" t="s">
        <v>1004</v>
      </c>
      <c r="C45" s="466"/>
      <c r="D45" s="820"/>
      <c r="E45" s="820"/>
      <c r="F45" s="822"/>
      <c r="G45" s="822"/>
      <c r="H45" s="822"/>
      <c r="I45" s="823"/>
      <c r="J45" s="823"/>
      <c r="K45" s="822">
        <v>820831</v>
      </c>
      <c r="L45" s="820"/>
      <c r="M45" s="821">
        <f t="shared" si="0"/>
        <v>820831</v>
      </c>
    </row>
    <row r="46" spans="1:13" ht="41.25" customHeight="1">
      <c r="A46" s="804" t="s">
        <v>116</v>
      </c>
      <c r="B46" s="805" t="s">
        <v>863</v>
      </c>
      <c r="C46" s="806" t="s">
        <v>864</v>
      </c>
      <c r="D46" s="816"/>
      <c r="E46" s="816"/>
      <c r="F46" s="817"/>
      <c r="G46" s="817"/>
      <c r="H46" s="817"/>
      <c r="I46" s="818"/>
      <c r="J46" s="818"/>
      <c r="K46" s="817"/>
      <c r="L46" s="819"/>
      <c r="M46" s="819"/>
    </row>
    <row r="47" spans="1:13" s="80" customFormat="1" ht="41.25" customHeight="1">
      <c r="A47" s="455" t="s">
        <v>119</v>
      </c>
      <c r="B47" s="465" t="s">
        <v>857</v>
      </c>
      <c r="C47" s="466"/>
      <c r="D47" s="820"/>
      <c r="E47" s="820"/>
      <c r="F47" s="822"/>
      <c r="G47" s="822"/>
      <c r="H47" s="822"/>
      <c r="I47" s="823"/>
      <c r="J47" s="823"/>
      <c r="K47" s="822">
        <v>160144</v>
      </c>
      <c r="L47" s="821"/>
      <c r="M47" s="821">
        <f>SUM(D47:L47)</f>
        <v>160144</v>
      </c>
    </row>
    <row r="48" spans="1:13" s="80" customFormat="1" ht="41.25" customHeight="1">
      <c r="A48" s="455" t="s">
        <v>122</v>
      </c>
      <c r="B48" s="465" t="s">
        <v>1004</v>
      </c>
      <c r="C48" s="466"/>
      <c r="D48" s="820"/>
      <c r="E48" s="820"/>
      <c r="F48" s="822"/>
      <c r="G48" s="822"/>
      <c r="H48" s="822"/>
      <c r="I48" s="823"/>
      <c r="J48" s="823"/>
      <c r="K48" s="822">
        <v>159666</v>
      </c>
      <c r="L48" s="821"/>
      <c r="M48" s="821">
        <f>SUM(D48:L48)</f>
        <v>159666</v>
      </c>
    </row>
    <row r="49" spans="1:13" ht="41.25" customHeight="1">
      <c r="A49" s="804" t="s">
        <v>125</v>
      </c>
      <c r="B49" s="805" t="s">
        <v>870</v>
      </c>
      <c r="C49" s="806" t="s">
        <v>871</v>
      </c>
      <c r="D49" s="816"/>
      <c r="E49" s="816"/>
      <c r="F49" s="817"/>
      <c r="G49" s="817"/>
      <c r="H49" s="817"/>
      <c r="I49" s="818"/>
      <c r="J49" s="818"/>
      <c r="K49" s="817"/>
      <c r="L49" s="819"/>
      <c r="M49" s="819">
        <f>SUM(D49:L49)</f>
        <v>0</v>
      </c>
    </row>
    <row r="50" spans="1:13" s="80" customFormat="1" ht="41.25" customHeight="1">
      <c r="A50" s="455" t="s">
        <v>128</v>
      </c>
      <c r="B50" s="465" t="s">
        <v>857</v>
      </c>
      <c r="C50" s="466"/>
      <c r="D50" s="820"/>
      <c r="E50" s="820"/>
      <c r="F50" s="822">
        <f>F51-F49</f>
        <v>499444098</v>
      </c>
      <c r="G50" s="822"/>
      <c r="H50" s="822"/>
      <c r="I50" s="823"/>
      <c r="J50" s="823"/>
      <c r="K50" s="822"/>
      <c r="L50" s="821"/>
      <c r="M50" s="821">
        <f>SUM(D50:L50)</f>
        <v>499444098</v>
      </c>
    </row>
    <row r="51" spans="1:13" s="80" customFormat="1" ht="41.25" customHeight="1">
      <c r="A51" s="455" t="s">
        <v>131</v>
      </c>
      <c r="B51" s="465" t="s">
        <v>1004</v>
      </c>
      <c r="C51" s="466"/>
      <c r="D51" s="820"/>
      <c r="E51" s="820"/>
      <c r="F51" s="822">
        <v>499444098</v>
      </c>
      <c r="G51" s="822"/>
      <c r="H51" s="822"/>
      <c r="I51" s="823"/>
      <c r="J51" s="823"/>
      <c r="K51" s="822"/>
      <c r="L51" s="821"/>
      <c r="M51" s="821">
        <f>SUM(D51:L51)</f>
        <v>499444098</v>
      </c>
    </row>
    <row r="52" spans="1:13" ht="47.25" customHeight="1">
      <c r="A52" s="804" t="s">
        <v>134</v>
      </c>
      <c r="B52" s="811" t="s">
        <v>822</v>
      </c>
      <c r="C52" s="806" t="s">
        <v>787</v>
      </c>
      <c r="D52" s="816"/>
      <c r="E52" s="816"/>
      <c r="F52" s="817"/>
      <c r="G52" s="817"/>
      <c r="H52" s="817">
        <v>8538286</v>
      </c>
      <c r="I52" s="818"/>
      <c r="J52" s="818"/>
      <c r="K52" s="817"/>
      <c r="L52" s="816"/>
      <c r="M52" s="819">
        <f t="shared" si="0"/>
        <v>8538286</v>
      </c>
    </row>
    <row r="53" spans="1:13" s="80" customFormat="1" ht="47.25" customHeight="1">
      <c r="A53" s="455" t="s">
        <v>137</v>
      </c>
      <c r="B53" s="465" t="s">
        <v>857</v>
      </c>
      <c r="C53" s="466"/>
      <c r="D53" s="820"/>
      <c r="E53" s="820"/>
      <c r="F53" s="822"/>
      <c r="G53" s="822"/>
      <c r="H53" s="822">
        <v>8538286</v>
      </c>
      <c r="I53" s="823"/>
      <c r="J53" s="823"/>
      <c r="K53" s="822"/>
      <c r="L53" s="820"/>
      <c r="M53" s="821">
        <f t="shared" si="0"/>
        <v>8538286</v>
      </c>
    </row>
    <row r="54" spans="1:13" s="80" customFormat="1" ht="47.25" customHeight="1">
      <c r="A54" s="455" t="s">
        <v>140</v>
      </c>
      <c r="B54" s="465" t="s">
        <v>1004</v>
      </c>
      <c r="C54" s="466"/>
      <c r="D54" s="820"/>
      <c r="E54" s="820"/>
      <c r="F54" s="822"/>
      <c r="G54" s="822"/>
      <c r="H54" s="822"/>
      <c r="I54" s="823"/>
      <c r="J54" s="823"/>
      <c r="K54" s="822"/>
      <c r="L54" s="820"/>
      <c r="M54" s="821">
        <f t="shared" si="0"/>
        <v>0</v>
      </c>
    </row>
    <row r="55" spans="1:13" ht="47.25" customHeight="1">
      <c r="A55" s="804" t="s">
        <v>143</v>
      </c>
      <c r="B55" s="811" t="s">
        <v>824</v>
      </c>
      <c r="C55" s="806" t="s">
        <v>789</v>
      </c>
      <c r="D55" s="816"/>
      <c r="E55" s="816"/>
      <c r="F55" s="817"/>
      <c r="G55" s="817"/>
      <c r="H55" s="817"/>
      <c r="I55" s="818"/>
      <c r="J55" s="818"/>
      <c r="K55" s="817"/>
      <c r="L55" s="816">
        <v>90000000</v>
      </c>
      <c r="M55" s="819">
        <f t="shared" si="0"/>
        <v>90000000</v>
      </c>
    </row>
    <row r="56" spans="1:13" s="80" customFormat="1" ht="47.25" customHeight="1">
      <c r="A56" s="455" t="s">
        <v>146</v>
      </c>
      <c r="B56" s="465" t="s">
        <v>857</v>
      </c>
      <c r="C56" s="466"/>
      <c r="D56" s="820">
        <v>19000</v>
      </c>
      <c r="E56" s="820"/>
      <c r="F56" s="822">
        <v>317482000</v>
      </c>
      <c r="G56" s="822"/>
      <c r="H56" s="822">
        <v>1267917</v>
      </c>
      <c r="I56" s="823"/>
      <c r="J56" s="823"/>
      <c r="K56" s="822"/>
      <c r="L56" s="820"/>
      <c r="M56" s="821">
        <f t="shared" si="0"/>
        <v>318768917</v>
      </c>
    </row>
    <row r="57" spans="1:13" s="80" customFormat="1" ht="47.25" customHeight="1">
      <c r="A57" s="455" t="s">
        <v>149</v>
      </c>
      <c r="B57" s="465" t="s">
        <v>1004</v>
      </c>
      <c r="C57" s="466"/>
      <c r="D57" s="820"/>
      <c r="E57" s="820"/>
      <c r="F57" s="822">
        <v>2476000</v>
      </c>
      <c r="G57" s="822"/>
      <c r="H57" s="822">
        <v>1259548</v>
      </c>
      <c r="I57" s="823"/>
      <c r="J57" s="823"/>
      <c r="K57" s="822"/>
      <c r="L57" s="820"/>
      <c r="M57" s="821">
        <f t="shared" si="0"/>
        <v>3735548</v>
      </c>
    </row>
    <row r="58" spans="1:13" ht="47.25" customHeight="1">
      <c r="A58" s="804" t="s">
        <v>152</v>
      </c>
      <c r="B58" s="811" t="s">
        <v>767</v>
      </c>
      <c r="C58" s="806" t="s">
        <v>766</v>
      </c>
      <c r="D58" s="816"/>
      <c r="E58" s="816">
        <f>'9.sz.mell.'!D19</f>
        <v>8348400</v>
      </c>
      <c r="F58" s="817"/>
      <c r="G58" s="817"/>
      <c r="H58" s="817"/>
      <c r="I58" s="818"/>
      <c r="J58" s="818"/>
      <c r="K58" s="817"/>
      <c r="L58" s="816"/>
      <c r="M58" s="819">
        <f t="shared" si="0"/>
        <v>8348400</v>
      </c>
    </row>
    <row r="59" spans="1:13" s="80" customFormat="1" ht="47.25" customHeight="1">
      <c r="A59" s="455" t="s">
        <v>155</v>
      </c>
      <c r="B59" s="465" t="s">
        <v>857</v>
      </c>
      <c r="C59" s="466"/>
      <c r="D59" s="820"/>
      <c r="E59" s="820">
        <v>16188000</v>
      </c>
      <c r="F59" s="822"/>
      <c r="G59" s="822"/>
      <c r="H59" s="822"/>
      <c r="I59" s="823"/>
      <c r="J59" s="823"/>
      <c r="K59" s="822"/>
      <c r="L59" s="820"/>
      <c r="M59" s="821">
        <f t="shared" si="0"/>
        <v>16188000</v>
      </c>
    </row>
    <row r="60" spans="1:13" s="80" customFormat="1" ht="47.25" customHeight="1">
      <c r="A60" s="455" t="s">
        <v>158</v>
      </c>
      <c r="B60" s="465" t="s">
        <v>1004</v>
      </c>
      <c r="C60" s="466"/>
      <c r="D60" s="820"/>
      <c r="E60" s="820">
        <v>9413200</v>
      </c>
      <c r="F60" s="822"/>
      <c r="G60" s="822"/>
      <c r="H60" s="822"/>
      <c r="I60" s="823"/>
      <c r="J60" s="823"/>
      <c r="K60" s="822"/>
      <c r="L60" s="820"/>
      <c r="M60" s="821">
        <f t="shared" si="0"/>
        <v>9413200</v>
      </c>
    </row>
    <row r="61" spans="1:13" ht="47.25" customHeight="1">
      <c r="A61" s="804" t="s">
        <v>161</v>
      </c>
      <c r="B61" s="811" t="s">
        <v>832</v>
      </c>
      <c r="C61" s="806" t="s">
        <v>833</v>
      </c>
      <c r="D61" s="816"/>
      <c r="E61" s="816"/>
      <c r="F61" s="817"/>
      <c r="G61" s="817"/>
      <c r="H61" s="817"/>
      <c r="I61" s="818"/>
      <c r="J61" s="818"/>
      <c r="K61" s="817"/>
      <c r="L61" s="816">
        <v>2000000</v>
      </c>
      <c r="M61" s="819">
        <f t="shared" si="0"/>
        <v>2000000</v>
      </c>
    </row>
    <row r="62" spans="1:13" s="80" customFormat="1" ht="47.25" customHeight="1">
      <c r="A62" s="455" t="s">
        <v>164</v>
      </c>
      <c r="B62" s="465" t="s">
        <v>857</v>
      </c>
      <c r="C62" s="466"/>
      <c r="D62" s="820"/>
      <c r="E62" s="820"/>
      <c r="F62" s="822"/>
      <c r="G62" s="822"/>
      <c r="H62" s="822"/>
      <c r="I62" s="823"/>
      <c r="J62" s="823"/>
      <c r="K62" s="822"/>
      <c r="L62" s="820"/>
      <c r="M62" s="821">
        <f t="shared" si="0"/>
        <v>0</v>
      </c>
    </row>
    <row r="63" spans="1:13" s="80" customFormat="1" ht="47.25" customHeight="1">
      <c r="A63" s="455" t="s">
        <v>167</v>
      </c>
      <c r="B63" s="465" t="s">
        <v>1004</v>
      </c>
      <c r="C63" s="466"/>
      <c r="D63" s="820"/>
      <c r="E63" s="820"/>
      <c r="F63" s="822"/>
      <c r="G63" s="822"/>
      <c r="H63" s="822"/>
      <c r="I63" s="823"/>
      <c r="J63" s="823"/>
      <c r="K63" s="822"/>
      <c r="L63" s="820"/>
      <c r="M63" s="821">
        <f t="shared" si="0"/>
        <v>0</v>
      </c>
    </row>
    <row r="64" spans="1:13" ht="41.25" customHeight="1">
      <c r="A64" s="804" t="s">
        <v>170</v>
      </c>
      <c r="B64" s="805" t="s">
        <v>865</v>
      </c>
      <c r="C64" s="806" t="s">
        <v>795</v>
      </c>
      <c r="D64" s="816"/>
      <c r="E64" s="816"/>
      <c r="F64" s="817"/>
      <c r="G64" s="817"/>
      <c r="H64" s="817"/>
      <c r="I64" s="818"/>
      <c r="J64" s="818"/>
      <c r="K64" s="817"/>
      <c r="L64" s="819"/>
      <c r="M64" s="819"/>
    </row>
    <row r="65" spans="1:13" s="80" customFormat="1" ht="41.25" customHeight="1">
      <c r="A65" s="455" t="s">
        <v>173</v>
      </c>
      <c r="B65" s="465" t="s">
        <v>857</v>
      </c>
      <c r="C65" s="466"/>
      <c r="D65" s="820"/>
      <c r="E65" s="820"/>
      <c r="F65" s="822"/>
      <c r="G65" s="822"/>
      <c r="H65" s="822"/>
      <c r="I65" s="823"/>
      <c r="J65" s="823">
        <v>1000000</v>
      </c>
      <c r="K65" s="822"/>
      <c r="L65" s="821"/>
      <c r="M65" s="821">
        <f t="shared" ref="M65" si="2">SUM(D65:L65)</f>
        <v>1000000</v>
      </c>
    </row>
    <row r="66" spans="1:13" s="80" customFormat="1" ht="41.25" customHeight="1">
      <c r="A66" s="455" t="s">
        <v>176</v>
      </c>
      <c r="B66" s="465" t="s">
        <v>1004</v>
      </c>
      <c r="C66" s="466"/>
      <c r="D66" s="820"/>
      <c r="E66" s="820"/>
      <c r="F66" s="822"/>
      <c r="G66" s="822"/>
      <c r="H66" s="822"/>
      <c r="I66" s="823"/>
      <c r="J66" s="823">
        <v>997500</v>
      </c>
      <c r="K66" s="822"/>
      <c r="L66" s="821"/>
      <c r="M66" s="821">
        <f t="shared" ref="M66:M81" si="3">SUM(D66:L66)</f>
        <v>997500</v>
      </c>
    </row>
    <row r="67" spans="1:13" ht="41.25" customHeight="1">
      <c r="A67" s="804" t="s">
        <v>179</v>
      </c>
      <c r="B67" s="805" t="s">
        <v>872</v>
      </c>
      <c r="C67" s="806" t="s">
        <v>799</v>
      </c>
      <c r="D67" s="816"/>
      <c r="E67" s="816"/>
      <c r="F67" s="817"/>
      <c r="G67" s="817"/>
      <c r="H67" s="817"/>
      <c r="I67" s="818"/>
      <c r="J67" s="818"/>
      <c r="K67" s="817"/>
      <c r="L67" s="819"/>
      <c r="M67" s="819">
        <f t="shared" si="3"/>
        <v>0</v>
      </c>
    </row>
    <row r="68" spans="1:13" s="80" customFormat="1" ht="41.25" customHeight="1">
      <c r="A68" s="455" t="s">
        <v>182</v>
      </c>
      <c r="B68" s="465" t="s">
        <v>857</v>
      </c>
      <c r="C68" s="466"/>
      <c r="D68" s="820"/>
      <c r="E68" s="820"/>
      <c r="F68" s="822"/>
      <c r="G68" s="822"/>
      <c r="H68" s="822">
        <v>233679</v>
      </c>
      <c r="I68" s="823"/>
      <c r="J68" s="823"/>
      <c r="K68" s="822"/>
      <c r="L68" s="821"/>
      <c r="M68" s="821">
        <f t="shared" si="3"/>
        <v>233679</v>
      </c>
    </row>
    <row r="69" spans="1:13" s="80" customFormat="1" ht="41.25" customHeight="1">
      <c r="A69" s="455" t="s">
        <v>185</v>
      </c>
      <c r="B69" s="465" t="s">
        <v>1004</v>
      </c>
      <c r="C69" s="466"/>
      <c r="D69" s="820"/>
      <c r="E69" s="820"/>
      <c r="F69" s="822"/>
      <c r="G69" s="822"/>
      <c r="H69" s="822">
        <v>233679</v>
      </c>
      <c r="I69" s="823"/>
      <c r="J69" s="823"/>
      <c r="K69" s="822"/>
      <c r="L69" s="821"/>
      <c r="M69" s="821">
        <f t="shared" si="3"/>
        <v>233679</v>
      </c>
    </row>
    <row r="70" spans="1:13" ht="41.25" customHeight="1">
      <c r="A70" s="804" t="s">
        <v>188</v>
      </c>
      <c r="B70" s="805" t="s">
        <v>873</v>
      </c>
      <c r="C70" s="806" t="s">
        <v>800</v>
      </c>
      <c r="D70" s="816"/>
      <c r="E70" s="816"/>
      <c r="F70" s="817"/>
      <c r="G70" s="817"/>
      <c r="H70" s="817"/>
      <c r="I70" s="818"/>
      <c r="J70" s="818"/>
      <c r="K70" s="817"/>
      <c r="L70" s="819"/>
      <c r="M70" s="819">
        <f t="shared" si="3"/>
        <v>0</v>
      </c>
    </row>
    <row r="71" spans="1:13" s="80" customFormat="1" ht="41.25" customHeight="1">
      <c r="A71" s="455" t="s">
        <v>191</v>
      </c>
      <c r="B71" s="465" t="s">
        <v>857</v>
      </c>
      <c r="C71" s="466"/>
      <c r="D71" s="820"/>
      <c r="E71" s="820"/>
      <c r="F71" s="822"/>
      <c r="G71" s="822"/>
      <c r="H71" s="822">
        <v>23287</v>
      </c>
      <c r="I71" s="823"/>
      <c r="J71" s="823"/>
      <c r="K71" s="822"/>
      <c r="L71" s="821"/>
      <c r="M71" s="821">
        <f t="shared" si="3"/>
        <v>23287</v>
      </c>
    </row>
    <row r="72" spans="1:13" s="80" customFormat="1" ht="41.25" customHeight="1">
      <c r="A72" s="455" t="s">
        <v>194</v>
      </c>
      <c r="B72" s="465" t="s">
        <v>1004</v>
      </c>
      <c r="C72" s="466"/>
      <c r="D72" s="820"/>
      <c r="E72" s="820"/>
      <c r="F72" s="822"/>
      <c r="G72" s="822"/>
      <c r="H72" s="822">
        <v>23287</v>
      </c>
      <c r="I72" s="823"/>
      <c r="J72" s="823"/>
      <c r="K72" s="822"/>
      <c r="L72" s="821"/>
      <c r="M72" s="821">
        <f t="shared" si="3"/>
        <v>23287</v>
      </c>
    </row>
    <row r="73" spans="1:13" ht="41.25" customHeight="1">
      <c r="A73" s="804" t="s">
        <v>197</v>
      </c>
      <c r="B73" s="805" t="s">
        <v>874</v>
      </c>
      <c r="C73" s="806" t="s">
        <v>801</v>
      </c>
      <c r="D73" s="816"/>
      <c r="E73" s="816"/>
      <c r="F73" s="817"/>
      <c r="G73" s="817"/>
      <c r="H73" s="817"/>
      <c r="I73" s="818"/>
      <c r="J73" s="818"/>
      <c r="K73" s="817"/>
      <c r="L73" s="819"/>
      <c r="M73" s="819">
        <f t="shared" si="3"/>
        <v>0</v>
      </c>
    </row>
    <row r="74" spans="1:13" s="80" customFormat="1" ht="41.25" customHeight="1">
      <c r="A74" s="455" t="s">
        <v>200</v>
      </c>
      <c r="B74" s="465" t="s">
        <v>857</v>
      </c>
      <c r="C74" s="466"/>
      <c r="D74" s="820"/>
      <c r="E74" s="820"/>
      <c r="F74" s="822"/>
      <c r="G74" s="822"/>
      <c r="H74" s="822">
        <v>246515</v>
      </c>
      <c r="I74" s="823"/>
      <c r="J74" s="823"/>
      <c r="K74" s="822"/>
      <c r="L74" s="821"/>
      <c r="M74" s="821">
        <f t="shared" si="3"/>
        <v>246515</v>
      </c>
    </row>
    <row r="75" spans="1:13" s="80" customFormat="1" ht="41.25" customHeight="1">
      <c r="A75" s="455" t="s">
        <v>732</v>
      </c>
      <c r="B75" s="465" t="s">
        <v>1004</v>
      </c>
      <c r="C75" s="466"/>
      <c r="D75" s="820"/>
      <c r="E75" s="820"/>
      <c r="F75" s="822"/>
      <c r="G75" s="822"/>
      <c r="H75" s="822">
        <v>246515</v>
      </c>
      <c r="I75" s="823"/>
      <c r="J75" s="823"/>
      <c r="K75" s="822"/>
      <c r="L75" s="821"/>
      <c r="M75" s="821">
        <f t="shared" si="3"/>
        <v>246515</v>
      </c>
    </row>
    <row r="76" spans="1:13" ht="41.25" customHeight="1">
      <c r="A76" s="804" t="s">
        <v>916</v>
      </c>
      <c r="B76" s="805" t="s">
        <v>875</v>
      </c>
      <c r="C76" s="806" t="s">
        <v>802</v>
      </c>
      <c r="D76" s="816"/>
      <c r="E76" s="816"/>
      <c r="F76" s="817"/>
      <c r="G76" s="817"/>
      <c r="H76" s="817"/>
      <c r="I76" s="818"/>
      <c r="J76" s="818"/>
      <c r="K76" s="817"/>
      <c r="L76" s="819"/>
      <c r="M76" s="819">
        <f t="shared" si="3"/>
        <v>0</v>
      </c>
    </row>
    <row r="77" spans="1:13" s="80" customFormat="1" ht="41.25" customHeight="1">
      <c r="A77" s="455" t="s">
        <v>917</v>
      </c>
      <c r="B77" s="465" t="s">
        <v>857</v>
      </c>
      <c r="C77" s="466"/>
      <c r="D77" s="820"/>
      <c r="E77" s="820"/>
      <c r="F77" s="822"/>
      <c r="G77" s="822"/>
      <c r="H77" s="822">
        <v>4654643</v>
      </c>
      <c r="I77" s="823"/>
      <c r="J77" s="823"/>
      <c r="K77" s="822"/>
      <c r="L77" s="821"/>
      <c r="M77" s="821">
        <f t="shared" si="3"/>
        <v>4654643</v>
      </c>
    </row>
    <row r="78" spans="1:13" s="80" customFormat="1" ht="41.25" customHeight="1">
      <c r="A78" s="455" t="s">
        <v>918</v>
      </c>
      <c r="B78" s="465" t="s">
        <v>1004</v>
      </c>
      <c r="C78" s="466"/>
      <c r="D78" s="820"/>
      <c r="E78" s="820"/>
      <c r="F78" s="822"/>
      <c r="G78" s="822"/>
      <c r="H78" s="822">
        <v>4654555</v>
      </c>
      <c r="I78" s="823"/>
      <c r="J78" s="823"/>
      <c r="K78" s="822"/>
      <c r="L78" s="821"/>
      <c r="M78" s="821">
        <f t="shared" si="3"/>
        <v>4654555</v>
      </c>
    </row>
    <row r="79" spans="1:13" ht="41.25" customHeight="1">
      <c r="A79" s="804" t="s">
        <v>919</v>
      </c>
      <c r="B79" s="805" t="s">
        <v>876</v>
      </c>
      <c r="C79" s="806" t="s">
        <v>803</v>
      </c>
      <c r="D79" s="816"/>
      <c r="E79" s="816"/>
      <c r="F79" s="817"/>
      <c r="G79" s="817"/>
      <c r="H79" s="817"/>
      <c r="I79" s="818"/>
      <c r="J79" s="818"/>
      <c r="K79" s="817"/>
      <c r="L79" s="819"/>
      <c r="M79" s="819">
        <f t="shared" si="3"/>
        <v>0</v>
      </c>
    </row>
    <row r="80" spans="1:13" s="80" customFormat="1" ht="41.25" customHeight="1">
      <c r="A80" s="455" t="s">
        <v>920</v>
      </c>
      <c r="B80" s="465" t="s">
        <v>857</v>
      </c>
      <c r="C80" s="466"/>
      <c r="D80" s="820"/>
      <c r="E80" s="820"/>
      <c r="F80" s="822"/>
      <c r="G80" s="822"/>
      <c r="H80" s="822">
        <v>1104411</v>
      </c>
      <c r="I80" s="823"/>
      <c r="J80" s="823"/>
      <c r="K80" s="822"/>
      <c r="L80" s="821"/>
      <c r="M80" s="821">
        <f t="shared" si="3"/>
        <v>1104411</v>
      </c>
    </row>
    <row r="81" spans="1:14" s="80" customFormat="1" ht="41.25" customHeight="1">
      <c r="A81" s="455" t="s">
        <v>921</v>
      </c>
      <c r="B81" s="465" t="s">
        <v>1004</v>
      </c>
      <c r="C81" s="466"/>
      <c r="D81" s="820"/>
      <c r="E81" s="820"/>
      <c r="F81" s="822"/>
      <c r="G81" s="822"/>
      <c r="H81" s="822">
        <v>1104411</v>
      </c>
      <c r="I81" s="823"/>
      <c r="J81" s="823"/>
      <c r="K81" s="822"/>
      <c r="L81" s="821"/>
      <c r="M81" s="821">
        <f t="shared" si="3"/>
        <v>1104411</v>
      </c>
    </row>
    <row r="82" spans="1:14" ht="47.25" customHeight="1">
      <c r="A82" s="804" t="s">
        <v>922</v>
      </c>
      <c r="B82" s="811" t="s">
        <v>843</v>
      </c>
      <c r="C82" s="806" t="s">
        <v>804</v>
      </c>
      <c r="D82" s="816"/>
      <c r="E82" s="816"/>
      <c r="F82" s="817"/>
      <c r="G82" s="817"/>
      <c r="H82" s="817">
        <v>30480000</v>
      </c>
      <c r="I82" s="818"/>
      <c r="J82" s="818"/>
      <c r="K82" s="817"/>
      <c r="L82" s="816"/>
      <c r="M82" s="819">
        <f t="shared" si="0"/>
        <v>30480000</v>
      </c>
    </row>
    <row r="83" spans="1:14" s="80" customFormat="1" ht="47.25" customHeight="1">
      <c r="A83" s="455" t="s">
        <v>923</v>
      </c>
      <c r="B83" s="465" t="s">
        <v>857</v>
      </c>
      <c r="C83" s="466"/>
      <c r="D83" s="820"/>
      <c r="E83" s="820"/>
      <c r="F83" s="822"/>
      <c r="G83" s="822"/>
      <c r="H83" s="822">
        <v>30480000</v>
      </c>
      <c r="I83" s="823"/>
      <c r="J83" s="823"/>
      <c r="K83" s="822"/>
      <c r="L83" s="820"/>
      <c r="M83" s="821">
        <f t="shared" si="0"/>
        <v>30480000</v>
      </c>
    </row>
    <row r="84" spans="1:14" s="80" customFormat="1" ht="47.25" customHeight="1">
      <c r="A84" s="455" t="s">
        <v>924</v>
      </c>
      <c r="B84" s="465" t="s">
        <v>1004</v>
      </c>
      <c r="C84" s="466"/>
      <c r="D84" s="820"/>
      <c r="E84" s="820"/>
      <c r="F84" s="822"/>
      <c r="G84" s="822"/>
      <c r="H84" s="822">
        <v>20397365</v>
      </c>
      <c r="I84" s="823"/>
      <c r="J84" s="823"/>
      <c r="K84" s="822"/>
      <c r="L84" s="820"/>
      <c r="M84" s="821">
        <f t="shared" si="0"/>
        <v>20397365</v>
      </c>
    </row>
    <row r="85" spans="1:14" ht="47.25" customHeight="1">
      <c r="A85" s="804" t="s">
        <v>925</v>
      </c>
      <c r="B85" s="805" t="s">
        <v>1028</v>
      </c>
      <c r="C85" s="806"/>
      <c r="D85" s="816"/>
      <c r="E85" s="816"/>
      <c r="F85" s="817"/>
      <c r="G85" s="817"/>
      <c r="H85" s="817"/>
      <c r="I85" s="818"/>
      <c r="J85" s="818"/>
      <c r="K85" s="817"/>
      <c r="L85" s="816"/>
      <c r="M85" s="821">
        <f t="shared" si="0"/>
        <v>0</v>
      </c>
    </row>
    <row r="86" spans="1:14" s="80" customFormat="1" ht="47.25" customHeight="1">
      <c r="A86" s="455" t="s">
        <v>926</v>
      </c>
      <c r="B86" s="465" t="s">
        <v>857</v>
      </c>
      <c r="C86" s="466"/>
      <c r="D86" s="820"/>
      <c r="E86" s="820"/>
      <c r="F86" s="822"/>
      <c r="G86" s="822"/>
      <c r="H86" s="822">
        <v>2438</v>
      </c>
      <c r="I86" s="823"/>
      <c r="J86" s="823"/>
      <c r="K86" s="822"/>
      <c r="L86" s="820"/>
      <c r="M86" s="821">
        <f t="shared" si="0"/>
        <v>2438</v>
      </c>
    </row>
    <row r="87" spans="1:14" s="80" customFormat="1" ht="47.25" customHeight="1">
      <c r="A87" s="455" t="s">
        <v>927</v>
      </c>
      <c r="B87" s="465" t="s">
        <v>1004</v>
      </c>
      <c r="C87" s="466"/>
      <c r="D87" s="820"/>
      <c r="E87" s="820"/>
      <c r="F87" s="822"/>
      <c r="G87" s="822"/>
      <c r="H87" s="822">
        <v>2438</v>
      </c>
      <c r="I87" s="823"/>
      <c r="J87" s="823"/>
      <c r="K87" s="822"/>
      <c r="L87" s="820"/>
      <c r="M87" s="821">
        <f t="shared" si="0"/>
        <v>2438</v>
      </c>
    </row>
    <row r="88" spans="1:14" ht="41.25" customHeight="1">
      <c r="A88" s="804" t="s">
        <v>928</v>
      </c>
      <c r="B88" s="805" t="s">
        <v>877</v>
      </c>
      <c r="C88" s="806" t="s">
        <v>878</v>
      </c>
      <c r="D88" s="816"/>
      <c r="E88" s="816"/>
      <c r="F88" s="817"/>
      <c r="G88" s="817"/>
      <c r="H88" s="817"/>
      <c r="I88" s="818"/>
      <c r="J88" s="818"/>
      <c r="K88" s="817"/>
      <c r="L88" s="819"/>
      <c r="M88" s="819">
        <f t="shared" ref="M88:M93" si="4">SUM(D88:L88)</f>
        <v>0</v>
      </c>
    </row>
    <row r="89" spans="1:14" s="80" customFormat="1" ht="41.25" customHeight="1">
      <c r="A89" s="455" t="s">
        <v>929</v>
      </c>
      <c r="B89" s="465" t="s">
        <v>857</v>
      </c>
      <c r="C89" s="466"/>
      <c r="D89" s="820"/>
      <c r="E89" s="820"/>
      <c r="F89" s="822">
        <f>F90-F88</f>
        <v>90000000</v>
      </c>
      <c r="G89" s="822"/>
      <c r="H89" s="822"/>
      <c r="I89" s="823"/>
      <c r="J89" s="823"/>
      <c r="K89" s="822"/>
      <c r="L89" s="821"/>
      <c r="M89" s="821">
        <f t="shared" si="4"/>
        <v>90000000</v>
      </c>
    </row>
    <row r="90" spans="1:14" s="80" customFormat="1" ht="41.25" customHeight="1">
      <c r="A90" s="455" t="s">
        <v>930</v>
      </c>
      <c r="B90" s="465" t="s">
        <v>1004</v>
      </c>
      <c r="C90" s="466"/>
      <c r="D90" s="820"/>
      <c r="E90" s="820"/>
      <c r="F90" s="822">
        <v>90000000</v>
      </c>
      <c r="G90" s="822"/>
      <c r="H90" s="822"/>
      <c r="I90" s="823"/>
      <c r="J90" s="823"/>
      <c r="K90" s="822"/>
      <c r="L90" s="821"/>
      <c r="M90" s="821">
        <f t="shared" si="4"/>
        <v>90000000</v>
      </c>
    </row>
    <row r="91" spans="1:14" ht="41.25" customHeight="1">
      <c r="A91" s="804" t="s">
        <v>931</v>
      </c>
      <c r="B91" s="805" t="s">
        <v>879</v>
      </c>
      <c r="C91" s="806" t="s">
        <v>776</v>
      </c>
      <c r="D91" s="816"/>
      <c r="E91" s="816"/>
      <c r="F91" s="817"/>
      <c r="G91" s="817"/>
      <c r="H91" s="817"/>
      <c r="I91" s="818"/>
      <c r="J91" s="818"/>
      <c r="K91" s="817"/>
      <c r="L91" s="819"/>
      <c r="M91" s="819">
        <f t="shared" si="4"/>
        <v>0</v>
      </c>
    </row>
    <row r="92" spans="1:14" s="80" customFormat="1" ht="41.25" customHeight="1">
      <c r="A92" s="455" t="s">
        <v>932</v>
      </c>
      <c r="B92" s="465" t="s">
        <v>857</v>
      </c>
      <c r="C92" s="466"/>
      <c r="D92" s="820"/>
      <c r="E92" s="820">
        <v>6985570</v>
      </c>
      <c r="F92" s="822"/>
      <c r="G92" s="822"/>
      <c r="H92" s="822"/>
      <c r="I92" s="823"/>
      <c r="J92" s="823"/>
      <c r="K92" s="822"/>
      <c r="L92" s="821"/>
      <c r="M92" s="821">
        <f t="shared" si="4"/>
        <v>6985570</v>
      </c>
    </row>
    <row r="93" spans="1:14" s="80" customFormat="1" ht="41.25" customHeight="1">
      <c r="A93" s="455" t="s">
        <v>933</v>
      </c>
      <c r="B93" s="465" t="s">
        <v>1004</v>
      </c>
      <c r="C93" s="466"/>
      <c r="D93" s="820"/>
      <c r="E93" s="820">
        <v>583470</v>
      </c>
      <c r="F93" s="822"/>
      <c r="G93" s="822"/>
      <c r="H93" s="822"/>
      <c r="I93" s="823"/>
      <c r="J93" s="823"/>
      <c r="K93" s="822"/>
      <c r="L93" s="821"/>
      <c r="M93" s="821">
        <f t="shared" si="4"/>
        <v>583470</v>
      </c>
    </row>
    <row r="94" spans="1:14" ht="47.25" customHeight="1">
      <c r="A94" s="804" t="s">
        <v>934</v>
      </c>
      <c r="B94" s="805" t="s">
        <v>762</v>
      </c>
      <c r="C94" s="806" t="s">
        <v>763</v>
      </c>
      <c r="D94" s="816"/>
      <c r="E94" s="816"/>
      <c r="F94" s="817"/>
      <c r="G94" s="817"/>
      <c r="H94" s="817"/>
      <c r="I94" s="818"/>
      <c r="J94" s="818"/>
      <c r="K94" s="817"/>
      <c r="L94" s="819"/>
      <c r="M94" s="819">
        <f t="shared" si="0"/>
        <v>0</v>
      </c>
      <c r="N94" s="840"/>
    </row>
    <row r="95" spans="1:14" s="80" customFormat="1" ht="47.25" customHeight="1">
      <c r="A95" s="455" t="s">
        <v>935</v>
      </c>
      <c r="B95" s="465" t="s">
        <v>857</v>
      </c>
      <c r="C95" s="466"/>
      <c r="D95" s="820"/>
      <c r="E95" s="820">
        <f>E96-E94</f>
        <v>55826180</v>
      </c>
      <c r="F95" s="822"/>
      <c r="G95" s="822"/>
      <c r="H95" s="822"/>
      <c r="I95" s="823"/>
      <c r="J95" s="823"/>
      <c r="K95" s="822"/>
      <c r="L95" s="821"/>
      <c r="M95" s="821">
        <f t="shared" si="0"/>
        <v>55826180</v>
      </c>
      <c r="N95" s="812"/>
    </row>
    <row r="96" spans="1:14" s="80" customFormat="1" ht="47.25" customHeight="1">
      <c r="A96" s="455" t="s">
        <v>936</v>
      </c>
      <c r="B96" s="465" t="s">
        <v>1004</v>
      </c>
      <c r="C96" s="466"/>
      <c r="D96" s="820"/>
      <c r="E96" s="820">
        <v>55826180</v>
      </c>
      <c r="F96" s="822"/>
      <c r="G96" s="822"/>
      <c r="H96" s="822"/>
      <c r="I96" s="823"/>
      <c r="J96" s="823"/>
      <c r="K96" s="822"/>
      <c r="L96" s="821"/>
      <c r="M96" s="821">
        <f t="shared" si="0"/>
        <v>55826180</v>
      </c>
    </row>
    <row r="97" spans="1:13" ht="41.25" customHeight="1">
      <c r="A97" s="804" t="s">
        <v>937</v>
      </c>
      <c r="B97" s="805" t="s">
        <v>880</v>
      </c>
      <c r="C97" s="806" t="s">
        <v>881</v>
      </c>
      <c r="D97" s="816"/>
      <c r="E97" s="816"/>
      <c r="F97" s="817"/>
      <c r="G97" s="817"/>
      <c r="H97" s="817"/>
      <c r="I97" s="818"/>
      <c r="J97" s="818"/>
      <c r="K97" s="817"/>
      <c r="L97" s="819"/>
      <c r="M97" s="819">
        <f>SUM(D97:L97)</f>
        <v>0</v>
      </c>
    </row>
    <row r="98" spans="1:13" s="80" customFormat="1" ht="41.25" customHeight="1">
      <c r="A98" s="455" t="s">
        <v>938</v>
      </c>
      <c r="B98" s="465" t="s">
        <v>857</v>
      </c>
      <c r="C98" s="466"/>
      <c r="D98" s="820"/>
      <c r="E98" s="820"/>
      <c r="F98" s="822">
        <f>F99-F97</f>
        <v>60348839</v>
      </c>
      <c r="G98" s="822"/>
      <c r="H98" s="822"/>
      <c r="I98" s="823"/>
      <c r="J98" s="823"/>
      <c r="K98" s="822"/>
      <c r="L98" s="821"/>
      <c r="M98" s="821">
        <f>SUM(D98:L98)</f>
        <v>60348839</v>
      </c>
    </row>
    <row r="99" spans="1:13" s="80" customFormat="1" ht="41.25" customHeight="1">
      <c r="A99" s="455" t="s">
        <v>939</v>
      </c>
      <c r="B99" s="465" t="s">
        <v>1004</v>
      </c>
      <c r="C99" s="466"/>
      <c r="D99" s="820"/>
      <c r="E99" s="820"/>
      <c r="F99" s="822">
        <v>60348839</v>
      </c>
      <c r="G99" s="822"/>
      <c r="H99" s="822"/>
      <c r="I99" s="823"/>
      <c r="J99" s="823"/>
      <c r="K99" s="822"/>
      <c r="L99" s="821"/>
      <c r="M99" s="821">
        <f>SUM(D99:L99)</f>
        <v>60348839</v>
      </c>
    </row>
    <row r="100" spans="1:13" ht="41.25" customHeight="1">
      <c r="A100" s="804" t="s">
        <v>940</v>
      </c>
      <c r="B100" s="805" t="s">
        <v>882</v>
      </c>
      <c r="C100" s="806" t="s">
        <v>809</v>
      </c>
      <c r="D100" s="816"/>
      <c r="E100" s="816"/>
      <c r="F100" s="817"/>
      <c r="G100" s="817"/>
      <c r="H100" s="817"/>
      <c r="I100" s="818"/>
      <c r="J100" s="818"/>
      <c r="K100" s="817"/>
      <c r="L100" s="819"/>
      <c r="M100" s="819">
        <f t="shared" ref="M100:M102" si="5">SUM(D100:L100)</f>
        <v>0</v>
      </c>
    </row>
    <row r="101" spans="1:13" s="80" customFormat="1" ht="41.25" customHeight="1">
      <c r="A101" s="455" t="s">
        <v>943</v>
      </c>
      <c r="B101" s="465" t="s">
        <v>857</v>
      </c>
      <c r="C101" s="466"/>
      <c r="D101" s="820"/>
      <c r="E101" s="820"/>
      <c r="F101" s="822"/>
      <c r="G101" s="822"/>
      <c r="H101" s="822"/>
      <c r="I101" s="823"/>
      <c r="J101" s="823"/>
      <c r="K101" s="822">
        <v>84000</v>
      </c>
      <c r="L101" s="821"/>
      <c r="M101" s="821">
        <f t="shared" si="5"/>
        <v>84000</v>
      </c>
    </row>
    <row r="102" spans="1:13" s="80" customFormat="1" ht="41.25" customHeight="1">
      <c r="A102" s="455" t="s">
        <v>944</v>
      </c>
      <c r="B102" s="465" t="s">
        <v>1004</v>
      </c>
      <c r="C102" s="466"/>
      <c r="D102" s="820"/>
      <c r="E102" s="820"/>
      <c r="F102" s="822"/>
      <c r="G102" s="822"/>
      <c r="H102" s="822"/>
      <c r="I102" s="823"/>
      <c r="J102" s="823"/>
      <c r="K102" s="822">
        <v>40000</v>
      </c>
      <c r="L102" s="821"/>
      <c r="M102" s="821">
        <f t="shared" si="5"/>
        <v>40000</v>
      </c>
    </row>
    <row r="103" spans="1:13" ht="41.25" customHeight="1">
      <c r="A103" s="804" t="s">
        <v>945</v>
      </c>
      <c r="B103" s="805" t="s">
        <v>771</v>
      </c>
      <c r="C103" s="806" t="s">
        <v>770</v>
      </c>
      <c r="D103" s="816"/>
      <c r="E103" s="816"/>
      <c r="F103" s="817"/>
      <c r="G103" s="817">
        <f>'9.sz.mell.'!D45</f>
        <v>751000000</v>
      </c>
      <c r="H103" s="817"/>
      <c r="I103" s="818"/>
      <c r="J103" s="818"/>
      <c r="K103" s="817"/>
      <c r="L103" s="819"/>
      <c r="M103" s="819">
        <f t="shared" si="0"/>
        <v>751000000</v>
      </c>
    </row>
    <row r="104" spans="1:13" s="80" customFormat="1" ht="41.25" customHeight="1">
      <c r="A104" s="455" t="s">
        <v>946</v>
      </c>
      <c r="B104" s="465" t="s">
        <v>857</v>
      </c>
      <c r="C104" s="466"/>
      <c r="D104" s="820"/>
      <c r="E104" s="820"/>
      <c r="F104" s="822"/>
      <c r="G104" s="822">
        <v>752792280</v>
      </c>
      <c r="H104" s="822"/>
      <c r="I104" s="822"/>
      <c r="J104" s="822"/>
      <c r="K104" s="822">
        <v>370549</v>
      </c>
      <c r="L104" s="821"/>
      <c r="M104" s="821">
        <f t="shared" si="0"/>
        <v>753162829</v>
      </c>
    </row>
    <row r="105" spans="1:13" s="80" customFormat="1" ht="41.25" customHeight="1">
      <c r="A105" s="455" t="s">
        <v>947</v>
      </c>
      <c r="B105" s="465" t="s">
        <v>1004</v>
      </c>
      <c r="C105" s="466"/>
      <c r="D105" s="820"/>
      <c r="E105" s="820"/>
      <c r="F105" s="822"/>
      <c r="G105" s="822">
        <v>667933349</v>
      </c>
      <c r="H105" s="822"/>
      <c r="I105" s="823"/>
      <c r="J105" s="823"/>
      <c r="K105" s="822"/>
      <c r="L105" s="821"/>
      <c r="M105" s="821">
        <f t="shared" si="0"/>
        <v>667933349</v>
      </c>
    </row>
    <row r="106" spans="1:13" ht="41.25" customHeight="1">
      <c r="A106" s="804" t="s">
        <v>948</v>
      </c>
      <c r="B106" s="805" t="s">
        <v>765</v>
      </c>
      <c r="C106" s="806" t="s">
        <v>764</v>
      </c>
      <c r="D106" s="816"/>
      <c r="E106" s="816">
        <v>15049000</v>
      </c>
      <c r="F106" s="817"/>
      <c r="G106" s="817"/>
      <c r="H106" s="817">
        <v>49587039</v>
      </c>
      <c r="I106" s="818"/>
      <c r="J106" s="818"/>
      <c r="K106" s="817"/>
      <c r="L106" s="819">
        <v>30000000</v>
      </c>
      <c r="M106" s="819">
        <f t="shared" si="0"/>
        <v>94636039</v>
      </c>
    </row>
    <row r="107" spans="1:13" s="80" customFormat="1" ht="41.25" customHeight="1">
      <c r="A107" s="455" t="s">
        <v>949</v>
      </c>
      <c r="B107" s="465" t="s">
        <v>857</v>
      </c>
      <c r="C107" s="466"/>
      <c r="D107" s="820"/>
      <c r="E107" s="820">
        <v>15049000</v>
      </c>
      <c r="F107" s="822"/>
      <c r="G107" s="822"/>
      <c r="H107" s="822">
        <v>49823839</v>
      </c>
      <c r="I107" s="822"/>
      <c r="J107" s="822"/>
      <c r="K107" s="822"/>
      <c r="L107" s="822">
        <v>36074310</v>
      </c>
      <c r="M107" s="821">
        <f t="shared" si="0"/>
        <v>100947149</v>
      </c>
    </row>
    <row r="108" spans="1:13" s="80" customFormat="1" ht="41.25" customHeight="1">
      <c r="A108" s="455" t="s">
        <v>950</v>
      </c>
      <c r="B108" s="465" t="s">
        <v>1004</v>
      </c>
      <c r="C108" s="466"/>
      <c r="D108" s="820"/>
      <c r="E108" s="820">
        <v>6865580</v>
      </c>
      <c r="F108" s="822"/>
      <c r="G108" s="822"/>
      <c r="H108" s="822">
        <v>687754</v>
      </c>
      <c r="I108" s="823"/>
      <c r="J108" s="823"/>
      <c r="K108" s="822"/>
      <c r="L108" s="821">
        <v>36074310</v>
      </c>
      <c r="M108" s="821">
        <f t="shared" si="0"/>
        <v>43627644</v>
      </c>
    </row>
    <row r="109" spans="1:13" s="812" customFormat="1" ht="41.25" customHeight="1">
      <c r="A109" s="838" t="s">
        <v>951</v>
      </c>
      <c r="B109" s="839" t="s">
        <v>1016</v>
      </c>
      <c r="C109" s="829"/>
      <c r="D109" s="830">
        <f>D5+D8+D11+D14+D17+D20+D23+D26+D32+D35+D41+D44+D47+D50+D53+D56+D59+D62+D65+D68+D71+D74+D77+D80+D83+D89+D92+D95+D98+D101+D104+D107</f>
        <v>903224675</v>
      </c>
      <c r="E109" s="830">
        <f t="shared" ref="E109" si="6">E5+E8+E11+E14+E17+E20+E23+E26+E32+E35+E41+E44+E47+E50+E53+E56+E59+E62+E65+E68+E71+E74+E77+E80+E83+E89+E92+E95+E98+E101+E104+E107</f>
        <v>397167873</v>
      </c>
      <c r="F109" s="830">
        <f>F5+F8+F11+F14+F17+F20+F23+F26+F29+F32+F35+F38+F41+F44+F47+F50+F53+F56+F59+F62+F65+F68+F71+F74+F77+F80+F83+F89+F92+F95+F98+F101+F104+F107</f>
        <v>1802285187</v>
      </c>
      <c r="G109" s="830">
        <f t="shared" ref="G109" si="7">G5+G8+G11+G14+G17+G20+G23+G26+G29+G32+G35+G38+G41+G44+G47+G50+G53+G56+G59+G62+G65+G68+G71+G74+G77+G80+G83+G89+G92+G95+G98+G101+G104+G107</f>
        <v>752792280</v>
      </c>
      <c r="H109" s="830">
        <f>H5+H8+H11+H14+H17+H20+H23+H26+H29+H32+H35+H38+H41+H44+H47+H50+H53+H56+H59+H62+H65+H68+H71+H74+H77+H80+H83+H86+H89+H92+H95+H98+H101+H104+H107</f>
        <v>188745163</v>
      </c>
      <c r="I109" s="830">
        <f t="shared" ref="I109:M109" si="8">I5+I8+I11+I14+I17+I20+I23+I26+I29+I32+I35+I38+I41+I44+I47+I50+I53+I56+I59+I62+I65+I68+I71+I74+I77+I80+I83+I86+I89+I92+I95+I98+I101+I104+I107</f>
        <v>7150211</v>
      </c>
      <c r="J109" s="830">
        <f t="shared" si="8"/>
        <v>2313497</v>
      </c>
      <c r="K109" s="830">
        <f t="shared" si="8"/>
        <v>1570787</v>
      </c>
      <c r="L109" s="830">
        <f t="shared" si="8"/>
        <v>409654408</v>
      </c>
      <c r="M109" s="830">
        <f t="shared" si="8"/>
        <v>4464904081</v>
      </c>
    </row>
    <row r="110" spans="1:13" s="812" customFormat="1" ht="33" customHeight="1">
      <c r="A110" s="827" t="s">
        <v>952</v>
      </c>
      <c r="B110" s="828" t="s">
        <v>1015</v>
      </c>
      <c r="C110" s="825"/>
      <c r="D110" s="826">
        <f>D6+D9+D12+D15+D18+D21+D24+D27+D33+D36+D42+D45+D48+D51+D54+D57+D60+D63+D66+D69+D72+D75+D78+D81+D84+D90+D93+D96+D99+D102+D105+D108</f>
        <v>707140318</v>
      </c>
      <c r="E110" s="826">
        <f t="shared" ref="E110" si="9">E6+E9+E12+E15+E18+E21+E24+E27+E33+E36+E42+E45+E48+E51+E54+E57+E60+E63+E66+E69+E72+E75+E78+E81+E84+E90+E93+E96+E99+E102+E105+E108</f>
        <v>281178742</v>
      </c>
      <c r="F110" s="826">
        <f>F6+F9+F12+F15+F18+F21+F24+F27+F30+F33+F36+F39+F42+F45+F48+F51+F54+F57+F60+F63+F66+F69+F72+F75+F78+F81+F84+F90+F93+F96+F99+F102+F105+F108</f>
        <v>1802279187</v>
      </c>
      <c r="G110" s="826">
        <f t="shared" ref="G110" si="10">G6+G9+G12+G15+G18+G21+G24+G27+G30+G33+G36+G39+G42+G45+G48+G51+G54+G57+G60+G63+G66+G69+G72+G75+G78+G81+G84+G90+G93+G96+G99+G102+G105+G108</f>
        <v>667893599</v>
      </c>
      <c r="H110" s="826">
        <f>H6+H9+H12+H15+H18+H21+H24+H27+H30+H33+H36+H39+H42+H45+H48+H51+H54+H57+H60+H63+H66+H69+H72+H75+H78+H81+H84+H87+H90+H93+H96+H99+H102+H105+H108</f>
        <v>74482401</v>
      </c>
      <c r="I110" s="826">
        <f t="shared" ref="I110:M110" si="11">I6+I9+I12+I15+I18+I21+I24+I27+I30+I33+I36+I39+I42+I45+I48+I51+I54+I57+I60+I63+I66+I69+I72+I75+I78+I81+I84+I87+I90+I93+I96+I99+I102+I105+I108</f>
        <v>7149437</v>
      </c>
      <c r="J110" s="826">
        <f t="shared" si="11"/>
        <v>2310997</v>
      </c>
      <c r="K110" s="826">
        <f t="shared" si="11"/>
        <v>1155284</v>
      </c>
      <c r="L110" s="826">
        <f t="shared" si="11"/>
        <v>409654408</v>
      </c>
      <c r="M110" s="826">
        <f t="shared" si="11"/>
        <v>3953244373</v>
      </c>
    </row>
    <row r="111" spans="1:13" s="835" customFormat="1" ht="21" customHeight="1">
      <c r="A111" s="831"/>
      <c r="B111" s="832"/>
      <c r="C111" s="912"/>
      <c r="D111" s="833"/>
      <c r="E111" s="833"/>
      <c r="F111" s="834"/>
      <c r="G111" s="834"/>
      <c r="H111" s="833"/>
      <c r="I111" s="833"/>
      <c r="J111" s="833"/>
      <c r="K111" s="834"/>
    </row>
    <row r="112" spans="1:13" s="835" customFormat="1" ht="18.75" customHeight="1">
      <c r="A112" s="831"/>
      <c r="B112" s="836"/>
      <c r="C112" s="912"/>
      <c r="D112" s="813"/>
      <c r="E112" s="813"/>
      <c r="F112" s="834"/>
      <c r="G112" s="834"/>
      <c r="H112" s="834"/>
      <c r="I112" s="833"/>
      <c r="J112" s="833"/>
      <c r="K112" s="833"/>
      <c r="M112" s="837"/>
    </row>
    <row r="113" spans="1:13" s="835" customFormat="1" ht="14.25" customHeight="1">
      <c r="A113" s="831"/>
      <c r="B113" s="836"/>
      <c r="C113" s="912"/>
      <c r="D113" s="813"/>
      <c r="E113" s="813"/>
      <c r="F113" s="834"/>
      <c r="G113" s="834"/>
      <c r="H113" s="834"/>
      <c r="I113" s="833"/>
      <c r="J113" s="833"/>
      <c r="K113" s="833"/>
    </row>
    <row r="114" spans="1:13" ht="16.5" customHeight="1">
      <c r="A114" s="81"/>
      <c r="B114" s="814"/>
      <c r="C114" s="912"/>
      <c r="D114" s="815"/>
      <c r="E114" s="815"/>
      <c r="F114" s="815"/>
      <c r="G114" s="815"/>
      <c r="H114" s="815"/>
      <c r="I114" s="815"/>
      <c r="J114" s="815"/>
      <c r="K114" s="815"/>
      <c r="M114" s="824"/>
    </row>
    <row r="115" spans="1:13" s="92" customFormat="1" ht="13.8">
      <c r="A115" s="243"/>
      <c r="B115" s="72"/>
      <c r="C115" s="72"/>
      <c r="D115" s="244"/>
      <c r="E115" s="244"/>
      <c r="F115" s="74"/>
      <c r="G115" s="74"/>
      <c r="H115" s="91"/>
      <c r="I115" s="91"/>
      <c r="J115" s="91"/>
      <c r="K115" s="91"/>
    </row>
    <row r="116" spans="1:13" ht="13.8">
      <c r="A116" s="71"/>
    </row>
  </sheetData>
  <mergeCells count="2">
    <mergeCell ref="A1:M1"/>
    <mergeCell ref="C111:C114"/>
  </mergeCells>
  <printOptions horizontalCentered="1"/>
  <pageMargins left="0.31496062992125984" right="0.31496062992125984" top="0.98425196850393704" bottom="0.74803149606299213" header="0.70866141732283472" footer="0.31496062992125984"/>
  <pageSetup paperSize="9" scale="55" orientation="landscape" r:id="rId1"/>
  <headerFooter>
    <oddHeader>&amp;C9/1 melléklet a 22/2017.(XII.04.) önkormányzati rendelethez&amp;R&amp;"Times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161"/>
  <sheetViews>
    <sheetView view="pageLayout" topLeftCell="E135" workbookViewId="0">
      <selection activeCell="R163" sqref="R163"/>
    </sheetView>
  </sheetViews>
  <sheetFormatPr defaultRowHeight="13.2"/>
  <cols>
    <col min="1" max="1" width="6" style="235" customWidth="1"/>
    <col min="2" max="2" width="22.33203125" style="237" customWidth="1"/>
    <col min="3" max="3" width="12.44140625" style="242" customWidth="1"/>
    <col min="4" max="4" width="12.6640625" style="236" customWidth="1"/>
    <col min="5" max="5" width="14.33203125" style="236" customWidth="1"/>
    <col min="6" max="6" width="14.44140625" style="236" customWidth="1"/>
    <col min="7" max="7" width="13.33203125" style="236" customWidth="1"/>
    <col min="8" max="8" width="15.21875" style="236" bestFit="1" customWidth="1"/>
    <col min="9" max="9" width="14" style="236" customWidth="1"/>
    <col min="10" max="10" width="13.33203125" style="242" customWidth="1"/>
    <col min="11" max="11" width="12.33203125" style="242" customWidth="1"/>
    <col min="12" max="12" width="14.21875" style="242" bestFit="1" customWidth="1"/>
    <col min="13" max="13" width="15.21875" style="242" customWidth="1"/>
    <col min="14" max="256" width="9.33203125" style="242"/>
    <col min="257" max="257" width="5.77734375" style="242" customWidth="1"/>
    <col min="258" max="258" width="22.33203125" style="242" customWidth="1"/>
    <col min="259" max="259" width="13" style="242" customWidth="1"/>
    <col min="260" max="260" width="11" style="242" customWidth="1"/>
    <col min="261" max="261" width="15.44140625" style="242" customWidth="1"/>
    <col min="262" max="262" width="11.21875" style="242" customWidth="1"/>
    <col min="263" max="263" width="13.33203125" style="242" customWidth="1"/>
    <col min="264" max="265" width="14" style="242" customWidth="1"/>
    <col min="266" max="266" width="13.33203125" style="242" customWidth="1"/>
    <col min="267" max="267" width="12.33203125" style="242" customWidth="1"/>
    <col min="268" max="268" width="14.33203125" style="242" customWidth="1"/>
    <col min="269" max="269" width="15.21875" style="242" customWidth="1"/>
    <col min="270" max="512" width="9.33203125" style="242"/>
    <col min="513" max="513" width="5.77734375" style="242" customWidth="1"/>
    <col min="514" max="514" width="22.33203125" style="242" customWidth="1"/>
    <col min="515" max="515" width="13" style="242" customWidth="1"/>
    <col min="516" max="516" width="11" style="242" customWidth="1"/>
    <col min="517" max="517" width="15.44140625" style="242" customWidth="1"/>
    <col min="518" max="518" width="11.21875" style="242" customWidth="1"/>
    <col min="519" max="519" width="13.33203125" style="242" customWidth="1"/>
    <col min="520" max="521" width="14" style="242" customWidth="1"/>
    <col min="522" max="522" width="13.33203125" style="242" customWidth="1"/>
    <col min="523" max="523" width="12.33203125" style="242" customWidth="1"/>
    <col min="524" max="524" width="14.33203125" style="242" customWidth="1"/>
    <col min="525" max="525" width="15.21875" style="242" customWidth="1"/>
    <col min="526" max="768" width="9.33203125" style="242"/>
    <col min="769" max="769" width="5.77734375" style="242" customWidth="1"/>
    <col min="770" max="770" width="22.33203125" style="242" customWidth="1"/>
    <col min="771" max="771" width="13" style="242" customWidth="1"/>
    <col min="772" max="772" width="11" style="242" customWidth="1"/>
    <col min="773" max="773" width="15.44140625" style="242" customWidth="1"/>
    <col min="774" max="774" width="11.21875" style="242" customWidth="1"/>
    <col min="775" max="775" width="13.33203125" style="242" customWidth="1"/>
    <col min="776" max="777" width="14" style="242" customWidth="1"/>
    <col min="778" max="778" width="13.33203125" style="242" customWidth="1"/>
    <col min="779" max="779" width="12.33203125" style="242" customWidth="1"/>
    <col min="780" max="780" width="14.33203125" style="242" customWidth="1"/>
    <col min="781" max="781" width="15.21875" style="242" customWidth="1"/>
    <col min="782" max="1024" width="9.33203125" style="242"/>
    <col min="1025" max="1025" width="5.77734375" style="242" customWidth="1"/>
    <col min="1026" max="1026" width="22.33203125" style="242" customWidth="1"/>
    <col min="1027" max="1027" width="13" style="242" customWidth="1"/>
    <col min="1028" max="1028" width="11" style="242" customWidth="1"/>
    <col min="1029" max="1029" width="15.44140625" style="242" customWidth="1"/>
    <col min="1030" max="1030" width="11.21875" style="242" customWidth="1"/>
    <col min="1031" max="1031" width="13.33203125" style="242" customWidth="1"/>
    <col min="1032" max="1033" width="14" style="242" customWidth="1"/>
    <col min="1034" max="1034" width="13.33203125" style="242" customWidth="1"/>
    <col min="1035" max="1035" width="12.33203125" style="242" customWidth="1"/>
    <col min="1036" max="1036" width="14.33203125" style="242" customWidth="1"/>
    <col min="1037" max="1037" width="15.21875" style="242" customWidth="1"/>
    <col min="1038" max="1280" width="9.33203125" style="242"/>
    <col min="1281" max="1281" width="5.77734375" style="242" customWidth="1"/>
    <col min="1282" max="1282" width="22.33203125" style="242" customWidth="1"/>
    <col min="1283" max="1283" width="13" style="242" customWidth="1"/>
    <col min="1284" max="1284" width="11" style="242" customWidth="1"/>
    <col min="1285" max="1285" width="15.44140625" style="242" customWidth="1"/>
    <col min="1286" max="1286" width="11.21875" style="242" customWidth="1"/>
    <col min="1287" max="1287" width="13.33203125" style="242" customWidth="1"/>
    <col min="1288" max="1289" width="14" style="242" customWidth="1"/>
    <col min="1290" max="1290" width="13.33203125" style="242" customWidth="1"/>
    <col min="1291" max="1291" width="12.33203125" style="242" customWidth="1"/>
    <col min="1292" max="1292" width="14.33203125" style="242" customWidth="1"/>
    <col min="1293" max="1293" width="15.21875" style="242" customWidth="1"/>
    <col min="1294" max="1536" width="9.33203125" style="242"/>
    <col min="1537" max="1537" width="5.77734375" style="242" customWidth="1"/>
    <col min="1538" max="1538" width="22.33203125" style="242" customWidth="1"/>
    <col min="1539" max="1539" width="13" style="242" customWidth="1"/>
    <col min="1540" max="1540" width="11" style="242" customWidth="1"/>
    <col min="1541" max="1541" width="15.44140625" style="242" customWidth="1"/>
    <col min="1542" max="1542" width="11.21875" style="242" customWidth="1"/>
    <col min="1543" max="1543" width="13.33203125" style="242" customWidth="1"/>
    <col min="1544" max="1545" width="14" style="242" customWidth="1"/>
    <col min="1546" max="1546" width="13.33203125" style="242" customWidth="1"/>
    <col min="1547" max="1547" width="12.33203125" style="242" customWidth="1"/>
    <col min="1548" max="1548" width="14.33203125" style="242" customWidth="1"/>
    <col min="1549" max="1549" width="15.21875" style="242" customWidth="1"/>
    <col min="1550" max="1792" width="9.33203125" style="242"/>
    <col min="1793" max="1793" width="5.77734375" style="242" customWidth="1"/>
    <col min="1794" max="1794" width="22.33203125" style="242" customWidth="1"/>
    <col min="1795" max="1795" width="13" style="242" customWidth="1"/>
    <col min="1796" max="1796" width="11" style="242" customWidth="1"/>
    <col min="1797" max="1797" width="15.44140625" style="242" customWidth="1"/>
    <col min="1798" max="1798" width="11.21875" style="242" customWidth="1"/>
    <col min="1799" max="1799" width="13.33203125" style="242" customWidth="1"/>
    <col min="1800" max="1801" width="14" style="242" customWidth="1"/>
    <col min="1802" max="1802" width="13.33203125" style="242" customWidth="1"/>
    <col min="1803" max="1803" width="12.33203125" style="242" customWidth="1"/>
    <col min="1804" max="1804" width="14.33203125" style="242" customWidth="1"/>
    <col min="1805" max="1805" width="15.21875" style="242" customWidth="1"/>
    <col min="1806" max="2048" width="9.33203125" style="242"/>
    <col min="2049" max="2049" width="5.77734375" style="242" customWidth="1"/>
    <col min="2050" max="2050" width="22.33203125" style="242" customWidth="1"/>
    <col min="2051" max="2051" width="13" style="242" customWidth="1"/>
    <col min="2052" max="2052" width="11" style="242" customWidth="1"/>
    <col min="2053" max="2053" width="15.44140625" style="242" customWidth="1"/>
    <col min="2054" max="2054" width="11.21875" style="242" customWidth="1"/>
    <col min="2055" max="2055" width="13.33203125" style="242" customWidth="1"/>
    <col min="2056" max="2057" width="14" style="242" customWidth="1"/>
    <col min="2058" max="2058" width="13.33203125" style="242" customWidth="1"/>
    <col min="2059" max="2059" width="12.33203125" style="242" customWidth="1"/>
    <col min="2060" max="2060" width="14.33203125" style="242" customWidth="1"/>
    <col min="2061" max="2061" width="15.21875" style="242" customWidth="1"/>
    <col min="2062" max="2304" width="9.33203125" style="242"/>
    <col min="2305" max="2305" width="5.77734375" style="242" customWidth="1"/>
    <col min="2306" max="2306" width="22.33203125" style="242" customWidth="1"/>
    <col min="2307" max="2307" width="13" style="242" customWidth="1"/>
    <col min="2308" max="2308" width="11" style="242" customWidth="1"/>
    <col min="2309" max="2309" width="15.44140625" style="242" customWidth="1"/>
    <col min="2310" max="2310" width="11.21875" style="242" customWidth="1"/>
    <col min="2311" max="2311" width="13.33203125" style="242" customWidth="1"/>
    <col min="2312" max="2313" width="14" style="242" customWidth="1"/>
    <col min="2314" max="2314" width="13.33203125" style="242" customWidth="1"/>
    <col min="2315" max="2315" width="12.33203125" style="242" customWidth="1"/>
    <col min="2316" max="2316" width="14.33203125" style="242" customWidth="1"/>
    <col min="2317" max="2317" width="15.21875" style="242" customWidth="1"/>
    <col min="2318" max="2560" width="9.33203125" style="242"/>
    <col min="2561" max="2561" width="5.77734375" style="242" customWidth="1"/>
    <col min="2562" max="2562" width="22.33203125" style="242" customWidth="1"/>
    <col min="2563" max="2563" width="13" style="242" customWidth="1"/>
    <col min="2564" max="2564" width="11" style="242" customWidth="1"/>
    <col min="2565" max="2565" width="15.44140625" style="242" customWidth="1"/>
    <col min="2566" max="2566" width="11.21875" style="242" customWidth="1"/>
    <col min="2567" max="2567" width="13.33203125" style="242" customWidth="1"/>
    <col min="2568" max="2569" width="14" style="242" customWidth="1"/>
    <col min="2570" max="2570" width="13.33203125" style="242" customWidth="1"/>
    <col min="2571" max="2571" width="12.33203125" style="242" customWidth="1"/>
    <col min="2572" max="2572" width="14.33203125" style="242" customWidth="1"/>
    <col min="2573" max="2573" width="15.21875" style="242" customWidth="1"/>
    <col min="2574" max="2816" width="9.33203125" style="242"/>
    <col min="2817" max="2817" width="5.77734375" style="242" customWidth="1"/>
    <col min="2818" max="2818" width="22.33203125" style="242" customWidth="1"/>
    <col min="2819" max="2819" width="13" style="242" customWidth="1"/>
    <col min="2820" max="2820" width="11" style="242" customWidth="1"/>
    <col min="2821" max="2821" width="15.44140625" style="242" customWidth="1"/>
    <col min="2822" max="2822" width="11.21875" style="242" customWidth="1"/>
    <col min="2823" max="2823" width="13.33203125" style="242" customWidth="1"/>
    <col min="2824" max="2825" width="14" style="242" customWidth="1"/>
    <col min="2826" max="2826" width="13.33203125" style="242" customWidth="1"/>
    <col min="2827" max="2827" width="12.33203125" style="242" customWidth="1"/>
    <col min="2828" max="2828" width="14.33203125" style="242" customWidth="1"/>
    <col min="2829" max="2829" width="15.21875" style="242" customWidth="1"/>
    <col min="2830" max="3072" width="9.33203125" style="242"/>
    <col min="3073" max="3073" width="5.77734375" style="242" customWidth="1"/>
    <col min="3074" max="3074" width="22.33203125" style="242" customWidth="1"/>
    <col min="3075" max="3075" width="13" style="242" customWidth="1"/>
    <col min="3076" max="3076" width="11" style="242" customWidth="1"/>
    <col min="3077" max="3077" width="15.44140625" style="242" customWidth="1"/>
    <col min="3078" max="3078" width="11.21875" style="242" customWidth="1"/>
    <col min="3079" max="3079" width="13.33203125" style="242" customWidth="1"/>
    <col min="3080" max="3081" width="14" style="242" customWidth="1"/>
    <col min="3082" max="3082" width="13.33203125" style="242" customWidth="1"/>
    <col min="3083" max="3083" width="12.33203125" style="242" customWidth="1"/>
    <col min="3084" max="3084" width="14.33203125" style="242" customWidth="1"/>
    <col min="3085" max="3085" width="15.21875" style="242" customWidth="1"/>
    <col min="3086" max="3328" width="9.33203125" style="242"/>
    <col min="3329" max="3329" width="5.77734375" style="242" customWidth="1"/>
    <col min="3330" max="3330" width="22.33203125" style="242" customWidth="1"/>
    <col min="3331" max="3331" width="13" style="242" customWidth="1"/>
    <col min="3332" max="3332" width="11" style="242" customWidth="1"/>
    <col min="3333" max="3333" width="15.44140625" style="242" customWidth="1"/>
    <col min="3334" max="3334" width="11.21875" style="242" customWidth="1"/>
    <col min="3335" max="3335" width="13.33203125" style="242" customWidth="1"/>
    <col min="3336" max="3337" width="14" style="242" customWidth="1"/>
    <col min="3338" max="3338" width="13.33203125" style="242" customWidth="1"/>
    <col min="3339" max="3339" width="12.33203125" style="242" customWidth="1"/>
    <col min="3340" max="3340" width="14.33203125" style="242" customWidth="1"/>
    <col min="3341" max="3341" width="15.21875" style="242" customWidth="1"/>
    <col min="3342" max="3584" width="9.33203125" style="242"/>
    <col min="3585" max="3585" width="5.77734375" style="242" customWidth="1"/>
    <col min="3586" max="3586" width="22.33203125" style="242" customWidth="1"/>
    <col min="3587" max="3587" width="13" style="242" customWidth="1"/>
    <col min="3588" max="3588" width="11" style="242" customWidth="1"/>
    <col min="3589" max="3589" width="15.44140625" style="242" customWidth="1"/>
    <col min="3590" max="3590" width="11.21875" style="242" customWidth="1"/>
    <col min="3591" max="3591" width="13.33203125" style="242" customWidth="1"/>
    <col min="3592" max="3593" width="14" style="242" customWidth="1"/>
    <col min="3594" max="3594" width="13.33203125" style="242" customWidth="1"/>
    <col min="3595" max="3595" width="12.33203125" style="242" customWidth="1"/>
    <col min="3596" max="3596" width="14.33203125" style="242" customWidth="1"/>
    <col min="3597" max="3597" width="15.21875" style="242" customWidth="1"/>
    <col min="3598" max="3840" width="9.33203125" style="242"/>
    <col min="3841" max="3841" width="5.77734375" style="242" customWidth="1"/>
    <col min="3842" max="3842" width="22.33203125" style="242" customWidth="1"/>
    <col min="3843" max="3843" width="13" style="242" customWidth="1"/>
    <col min="3844" max="3844" width="11" style="242" customWidth="1"/>
    <col min="3845" max="3845" width="15.44140625" style="242" customWidth="1"/>
    <col min="3846" max="3846" width="11.21875" style="242" customWidth="1"/>
    <col min="3847" max="3847" width="13.33203125" style="242" customWidth="1"/>
    <col min="3848" max="3849" width="14" style="242" customWidth="1"/>
    <col min="3850" max="3850" width="13.33203125" style="242" customWidth="1"/>
    <col min="3851" max="3851" width="12.33203125" style="242" customWidth="1"/>
    <col min="3852" max="3852" width="14.33203125" style="242" customWidth="1"/>
    <col min="3853" max="3853" width="15.21875" style="242" customWidth="1"/>
    <col min="3854" max="4096" width="9.33203125" style="242"/>
    <col min="4097" max="4097" width="5.77734375" style="242" customWidth="1"/>
    <col min="4098" max="4098" width="22.33203125" style="242" customWidth="1"/>
    <col min="4099" max="4099" width="13" style="242" customWidth="1"/>
    <col min="4100" max="4100" width="11" style="242" customWidth="1"/>
    <col min="4101" max="4101" width="15.44140625" style="242" customWidth="1"/>
    <col min="4102" max="4102" width="11.21875" style="242" customWidth="1"/>
    <col min="4103" max="4103" width="13.33203125" style="242" customWidth="1"/>
    <col min="4104" max="4105" width="14" style="242" customWidth="1"/>
    <col min="4106" max="4106" width="13.33203125" style="242" customWidth="1"/>
    <col min="4107" max="4107" width="12.33203125" style="242" customWidth="1"/>
    <col min="4108" max="4108" width="14.33203125" style="242" customWidth="1"/>
    <col min="4109" max="4109" width="15.21875" style="242" customWidth="1"/>
    <col min="4110" max="4352" width="9.33203125" style="242"/>
    <col min="4353" max="4353" width="5.77734375" style="242" customWidth="1"/>
    <col min="4354" max="4354" width="22.33203125" style="242" customWidth="1"/>
    <col min="4355" max="4355" width="13" style="242" customWidth="1"/>
    <col min="4356" max="4356" width="11" style="242" customWidth="1"/>
    <col min="4357" max="4357" width="15.44140625" style="242" customWidth="1"/>
    <col min="4358" max="4358" width="11.21875" style="242" customWidth="1"/>
    <col min="4359" max="4359" width="13.33203125" style="242" customWidth="1"/>
    <col min="4360" max="4361" width="14" style="242" customWidth="1"/>
    <col min="4362" max="4362" width="13.33203125" style="242" customWidth="1"/>
    <col min="4363" max="4363" width="12.33203125" style="242" customWidth="1"/>
    <col min="4364" max="4364" width="14.33203125" style="242" customWidth="1"/>
    <col min="4365" max="4365" width="15.21875" style="242" customWidth="1"/>
    <col min="4366" max="4608" width="9.33203125" style="242"/>
    <col min="4609" max="4609" width="5.77734375" style="242" customWidth="1"/>
    <col min="4610" max="4610" width="22.33203125" style="242" customWidth="1"/>
    <col min="4611" max="4611" width="13" style="242" customWidth="1"/>
    <col min="4612" max="4612" width="11" style="242" customWidth="1"/>
    <col min="4613" max="4613" width="15.44140625" style="242" customWidth="1"/>
    <col min="4614" max="4614" width="11.21875" style="242" customWidth="1"/>
    <col min="4615" max="4615" width="13.33203125" style="242" customWidth="1"/>
    <col min="4616" max="4617" width="14" style="242" customWidth="1"/>
    <col min="4618" max="4618" width="13.33203125" style="242" customWidth="1"/>
    <col min="4619" max="4619" width="12.33203125" style="242" customWidth="1"/>
    <col min="4620" max="4620" width="14.33203125" style="242" customWidth="1"/>
    <col min="4621" max="4621" width="15.21875" style="242" customWidth="1"/>
    <col min="4622" max="4864" width="9.33203125" style="242"/>
    <col min="4865" max="4865" width="5.77734375" style="242" customWidth="1"/>
    <col min="4866" max="4866" width="22.33203125" style="242" customWidth="1"/>
    <col min="4867" max="4867" width="13" style="242" customWidth="1"/>
    <col min="4868" max="4868" width="11" style="242" customWidth="1"/>
    <col min="4869" max="4869" width="15.44140625" style="242" customWidth="1"/>
    <col min="4870" max="4870" width="11.21875" style="242" customWidth="1"/>
    <col min="4871" max="4871" width="13.33203125" style="242" customWidth="1"/>
    <col min="4872" max="4873" width="14" style="242" customWidth="1"/>
    <col min="4874" max="4874" width="13.33203125" style="242" customWidth="1"/>
    <col min="4875" max="4875" width="12.33203125" style="242" customWidth="1"/>
    <col min="4876" max="4876" width="14.33203125" style="242" customWidth="1"/>
    <col min="4877" max="4877" width="15.21875" style="242" customWidth="1"/>
    <col min="4878" max="5120" width="9.33203125" style="242"/>
    <col min="5121" max="5121" width="5.77734375" style="242" customWidth="1"/>
    <col min="5122" max="5122" width="22.33203125" style="242" customWidth="1"/>
    <col min="5123" max="5123" width="13" style="242" customWidth="1"/>
    <col min="5124" max="5124" width="11" style="242" customWidth="1"/>
    <col min="5125" max="5125" width="15.44140625" style="242" customWidth="1"/>
    <col min="5126" max="5126" width="11.21875" style="242" customWidth="1"/>
    <col min="5127" max="5127" width="13.33203125" style="242" customWidth="1"/>
    <col min="5128" max="5129" width="14" style="242" customWidth="1"/>
    <col min="5130" max="5130" width="13.33203125" style="242" customWidth="1"/>
    <col min="5131" max="5131" width="12.33203125" style="242" customWidth="1"/>
    <col min="5132" max="5132" width="14.33203125" style="242" customWidth="1"/>
    <col min="5133" max="5133" width="15.21875" style="242" customWidth="1"/>
    <col min="5134" max="5376" width="9.33203125" style="242"/>
    <col min="5377" max="5377" width="5.77734375" style="242" customWidth="1"/>
    <col min="5378" max="5378" width="22.33203125" style="242" customWidth="1"/>
    <col min="5379" max="5379" width="13" style="242" customWidth="1"/>
    <col min="5380" max="5380" width="11" style="242" customWidth="1"/>
    <col min="5381" max="5381" width="15.44140625" style="242" customWidth="1"/>
    <col min="5382" max="5382" width="11.21875" style="242" customWidth="1"/>
    <col min="5383" max="5383" width="13.33203125" style="242" customWidth="1"/>
    <col min="5384" max="5385" width="14" style="242" customWidth="1"/>
    <col min="5386" max="5386" width="13.33203125" style="242" customWidth="1"/>
    <col min="5387" max="5387" width="12.33203125" style="242" customWidth="1"/>
    <col min="5388" max="5388" width="14.33203125" style="242" customWidth="1"/>
    <col min="5389" max="5389" width="15.21875" style="242" customWidth="1"/>
    <col min="5390" max="5632" width="9.33203125" style="242"/>
    <col min="5633" max="5633" width="5.77734375" style="242" customWidth="1"/>
    <col min="5634" max="5634" width="22.33203125" style="242" customWidth="1"/>
    <col min="5635" max="5635" width="13" style="242" customWidth="1"/>
    <col min="5636" max="5636" width="11" style="242" customWidth="1"/>
    <col min="5637" max="5637" width="15.44140625" style="242" customWidth="1"/>
    <col min="5638" max="5638" width="11.21875" style="242" customWidth="1"/>
    <col min="5639" max="5639" width="13.33203125" style="242" customWidth="1"/>
    <col min="5640" max="5641" width="14" style="242" customWidth="1"/>
    <col min="5642" max="5642" width="13.33203125" style="242" customWidth="1"/>
    <col min="5643" max="5643" width="12.33203125" style="242" customWidth="1"/>
    <col min="5644" max="5644" width="14.33203125" style="242" customWidth="1"/>
    <col min="5645" max="5645" width="15.21875" style="242" customWidth="1"/>
    <col min="5646" max="5888" width="9.33203125" style="242"/>
    <col min="5889" max="5889" width="5.77734375" style="242" customWidth="1"/>
    <col min="5890" max="5890" width="22.33203125" style="242" customWidth="1"/>
    <col min="5891" max="5891" width="13" style="242" customWidth="1"/>
    <col min="5892" max="5892" width="11" style="242" customWidth="1"/>
    <col min="5893" max="5893" width="15.44140625" style="242" customWidth="1"/>
    <col min="5894" max="5894" width="11.21875" style="242" customWidth="1"/>
    <col min="5895" max="5895" width="13.33203125" style="242" customWidth="1"/>
    <col min="5896" max="5897" width="14" style="242" customWidth="1"/>
    <col min="5898" max="5898" width="13.33203125" style="242" customWidth="1"/>
    <col min="5899" max="5899" width="12.33203125" style="242" customWidth="1"/>
    <col min="5900" max="5900" width="14.33203125" style="242" customWidth="1"/>
    <col min="5901" max="5901" width="15.21875" style="242" customWidth="1"/>
    <col min="5902" max="6144" width="9.33203125" style="242"/>
    <col min="6145" max="6145" width="5.77734375" style="242" customWidth="1"/>
    <col min="6146" max="6146" width="22.33203125" style="242" customWidth="1"/>
    <col min="6147" max="6147" width="13" style="242" customWidth="1"/>
    <col min="6148" max="6148" width="11" style="242" customWidth="1"/>
    <col min="6149" max="6149" width="15.44140625" style="242" customWidth="1"/>
    <col min="6150" max="6150" width="11.21875" style="242" customWidth="1"/>
    <col min="6151" max="6151" width="13.33203125" style="242" customWidth="1"/>
    <col min="6152" max="6153" width="14" style="242" customWidth="1"/>
    <col min="6154" max="6154" width="13.33203125" style="242" customWidth="1"/>
    <col min="6155" max="6155" width="12.33203125" style="242" customWidth="1"/>
    <col min="6156" max="6156" width="14.33203125" style="242" customWidth="1"/>
    <col min="6157" max="6157" width="15.21875" style="242" customWidth="1"/>
    <col min="6158" max="6400" width="9.33203125" style="242"/>
    <col min="6401" max="6401" width="5.77734375" style="242" customWidth="1"/>
    <col min="6402" max="6402" width="22.33203125" style="242" customWidth="1"/>
    <col min="6403" max="6403" width="13" style="242" customWidth="1"/>
    <col min="6404" max="6404" width="11" style="242" customWidth="1"/>
    <col min="6405" max="6405" width="15.44140625" style="242" customWidth="1"/>
    <col min="6406" max="6406" width="11.21875" style="242" customWidth="1"/>
    <col min="6407" max="6407" width="13.33203125" style="242" customWidth="1"/>
    <col min="6408" max="6409" width="14" style="242" customWidth="1"/>
    <col min="6410" max="6410" width="13.33203125" style="242" customWidth="1"/>
    <col min="6411" max="6411" width="12.33203125" style="242" customWidth="1"/>
    <col min="6412" max="6412" width="14.33203125" style="242" customWidth="1"/>
    <col min="6413" max="6413" width="15.21875" style="242" customWidth="1"/>
    <col min="6414" max="6656" width="9.33203125" style="242"/>
    <col min="6657" max="6657" width="5.77734375" style="242" customWidth="1"/>
    <col min="6658" max="6658" width="22.33203125" style="242" customWidth="1"/>
    <col min="6659" max="6659" width="13" style="242" customWidth="1"/>
    <col min="6660" max="6660" width="11" style="242" customWidth="1"/>
    <col min="6661" max="6661" width="15.44140625" style="242" customWidth="1"/>
    <col min="6662" max="6662" width="11.21875" style="242" customWidth="1"/>
    <col min="6663" max="6663" width="13.33203125" style="242" customWidth="1"/>
    <col min="6664" max="6665" width="14" style="242" customWidth="1"/>
    <col min="6666" max="6666" width="13.33203125" style="242" customWidth="1"/>
    <col min="6667" max="6667" width="12.33203125" style="242" customWidth="1"/>
    <col min="6668" max="6668" width="14.33203125" style="242" customWidth="1"/>
    <col min="6669" max="6669" width="15.21875" style="242" customWidth="1"/>
    <col min="6670" max="6912" width="9.33203125" style="242"/>
    <col min="6913" max="6913" width="5.77734375" style="242" customWidth="1"/>
    <col min="6914" max="6914" width="22.33203125" style="242" customWidth="1"/>
    <col min="6915" max="6915" width="13" style="242" customWidth="1"/>
    <col min="6916" max="6916" width="11" style="242" customWidth="1"/>
    <col min="6917" max="6917" width="15.44140625" style="242" customWidth="1"/>
    <col min="6918" max="6918" width="11.21875" style="242" customWidth="1"/>
    <col min="6919" max="6919" width="13.33203125" style="242" customWidth="1"/>
    <col min="6920" max="6921" width="14" style="242" customWidth="1"/>
    <col min="6922" max="6922" width="13.33203125" style="242" customWidth="1"/>
    <col min="6923" max="6923" width="12.33203125" style="242" customWidth="1"/>
    <col min="6924" max="6924" width="14.33203125" style="242" customWidth="1"/>
    <col min="6925" max="6925" width="15.21875" style="242" customWidth="1"/>
    <col min="6926" max="7168" width="9.33203125" style="242"/>
    <col min="7169" max="7169" width="5.77734375" style="242" customWidth="1"/>
    <col min="7170" max="7170" width="22.33203125" style="242" customWidth="1"/>
    <col min="7171" max="7171" width="13" style="242" customWidth="1"/>
    <col min="7172" max="7172" width="11" style="242" customWidth="1"/>
    <col min="7173" max="7173" width="15.44140625" style="242" customWidth="1"/>
    <col min="7174" max="7174" width="11.21875" style="242" customWidth="1"/>
    <col min="7175" max="7175" width="13.33203125" style="242" customWidth="1"/>
    <col min="7176" max="7177" width="14" style="242" customWidth="1"/>
    <col min="7178" max="7178" width="13.33203125" style="242" customWidth="1"/>
    <col min="7179" max="7179" width="12.33203125" style="242" customWidth="1"/>
    <col min="7180" max="7180" width="14.33203125" style="242" customWidth="1"/>
    <col min="7181" max="7181" width="15.21875" style="242" customWidth="1"/>
    <col min="7182" max="7424" width="9.33203125" style="242"/>
    <col min="7425" max="7425" width="5.77734375" style="242" customWidth="1"/>
    <col min="7426" max="7426" width="22.33203125" style="242" customWidth="1"/>
    <col min="7427" max="7427" width="13" style="242" customWidth="1"/>
    <col min="7428" max="7428" width="11" style="242" customWidth="1"/>
    <col min="7429" max="7429" width="15.44140625" style="242" customWidth="1"/>
    <col min="7430" max="7430" width="11.21875" style="242" customWidth="1"/>
    <col min="7431" max="7431" width="13.33203125" style="242" customWidth="1"/>
    <col min="7432" max="7433" width="14" style="242" customWidth="1"/>
    <col min="7434" max="7434" width="13.33203125" style="242" customWidth="1"/>
    <col min="7435" max="7435" width="12.33203125" style="242" customWidth="1"/>
    <col min="7436" max="7436" width="14.33203125" style="242" customWidth="1"/>
    <col min="7437" max="7437" width="15.21875" style="242" customWidth="1"/>
    <col min="7438" max="7680" width="9.33203125" style="242"/>
    <col min="7681" max="7681" width="5.77734375" style="242" customWidth="1"/>
    <col min="7682" max="7682" width="22.33203125" style="242" customWidth="1"/>
    <col min="7683" max="7683" width="13" style="242" customWidth="1"/>
    <col min="7684" max="7684" width="11" style="242" customWidth="1"/>
    <col min="7685" max="7685" width="15.44140625" style="242" customWidth="1"/>
    <col min="7686" max="7686" width="11.21875" style="242" customWidth="1"/>
    <col min="7687" max="7687" width="13.33203125" style="242" customWidth="1"/>
    <col min="7688" max="7689" width="14" style="242" customWidth="1"/>
    <col min="7690" max="7690" width="13.33203125" style="242" customWidth="1"/>
    <col min="7691" max="7691" width="12.33203125" style="242" customWidth="1"/>
    <col min="7692" max="7692" width="14.33203125" style="242" customWidth="1"/>
    <col min="7693" max="7693" width="15.21875" style="242" customWidth="1"/>
    <col min="7694" max="7936" width="9.33203125" style="242"/>
    <col min="7937" max="7937" width="5.77734375" style="242" customWidth="1"/>
    <col min="7938" max="7938" width="22.33203125" style="242" customWidth="1"/>
    <col min="7939" max="7939" width="13" style="242" customWidth="1"/>
    <col min="7940" max="7940" width="11" style="242" customWidth="1"/>
    <col min="7941" max="7941" width="15.44140625" style="242" customWidth="1"/>
    <col min="7942" max="7942" width="11.21875" style="242" customWidth="1"/>
    <col min="7943" max="7943" width="13.33203125" style="242" customWidth="1"/>
    <col min="7944" max="7945" width="14" style="242" customWidth="1"/>
    <col min="7946" max="7946" width="13.33203125" style="242" customWidth="1"/>
    <col min="7947" max="7947" width="12.33203125" style="242" customWidth="1"/>
    <col min="7948" max="7948" width="14.33203125" style="242" customWidth="1"/>
    <col min="7949" max="7949" width="15.21875" style="242" customWidth="1"/>
    <col min="7950" max="8192" width="9.33203125" style="242"/>
    <col min="8193" max="8193" width="5.77734375" style="242" customWidth="1"/>
    <col min="8194" max="8194" width="22.33203125" style="242" customWidth="1"/>
    <col min="8195" max="8195" width="13" style="242" customWidth="1"/>
    <col min="8196" max="8196" width="11" style="242" customWidth="1"/>
    <col min="8197" max="8197" width="15.44140625" style="242" customWidth="1"/>
    <col min="8198" max="8198" width="11.21875" style="242" customWidth="1"/>
    <col min="8199" max="8199" width="13.33203125" style="242" customWidth="1"/>
    <col min="8200" max="8201" width="14" style="242" customWidth="1"/>
    <col min="8202" max="8202" width="13.33203125" style="242" customWidth="1"/>
    <col min="8203" max="8203" width="12.33203125" style="242" customWidth="1"/>
    <col min="8204" max="8204" width="14.33203125" style="242" customWidth="1"/>
    <col min="8205" max="8205" width="15.21875" style="242" customWidth="1"/>
    <col min="8206" max="8448" width="9.33203125" style="242"/>
    <col min="8449" max="8449" width="5.77734375" style="242" customWidth="1"/>
    <col min="8450" max="8450" width="22.33203125" style="242" customWidth="1"/>
    <col min="8451" max="8451" width="13" style="242" customWidth="1"/>
    <col min="8452" max="8452" width="11" style="242" customWidth="1"/>
    <col min="8453" max="8453" width="15.44140625" style="242" customWidth="1"/>
    <col min="8454" max="8454" width="11.21875" style="242" customWidth="1"/>
    <col min="8455" max="8455" width="13.33203125" style="242" customWidth="1"/>
    <col min="8456" max="8457" width="14" style="242" customWidth="1"/>
    <col min="8458" max="8458" width="13.33203125" style="242" customWidth="1"/>
    <col min="8459" max="8459" width="12.33203125" style="242" customWidth="1"/>
    <col min="8460" max="8460" width="14.33203125" style="242" customWidth="1"/>
    <col min="8461" max="8461" width="15.21875" style="242" customWidth="1"/>
    <col min="8462" max="8704" width="9.33203125" style="242"/>
    <col min="8705" max="8705" width="5.77734375" style="242" customWidth="1"/>
    <col min="8706" max="8706" width="22.33203125" style="242" customWidth="1"/>
    <col min="8707" max="8707" width="13" style="242" customWidth="1"/>
    <col min="8708" max="8708" width="11" style="242" customWidth="1"/>
    <col min="8709" max="8709" width="15.44140625" style="242" customWidth="1"/>
    <col min="8710" max="8710" width="11.21875" style="242" customWidth="1"/>
    <col min="8711" max="8711" width="13.33203125" style="242" customWidth="1"/>
    <col min="8712" max="8713" width="14" style="242" customWidth="1"/>
    <col min="8714" max="8714" width="13.33203125" style="242" customWidth="1"/>
    <col min="8715" max="8715" width="12.33203125" style="242" customWidth="1"/>
    <col min="8716" max="8716" width="14.33203125" style="242" customWidth="1"/>
    <col min="8717" max="8717" width="15.21875" style="242" customWidth="1"/>
    <col min="8718" max="8960" width="9.33203125" style="242"/>
    <col min="8961" max="8961" width="5.77734375" style="242" customWidth="1"/>
    <col min="8962" max="8962" width="22.33203125" style="242" customWidth="1"/>
    <col min="8963" max="8963" width="13" style="242" customWidth="1"/>
    <col min="8964" max="8964" width="11" style="242" customWidth="1"/>
    <col min="8965" max="8965" width="15.44140625" style="242" customWidth="1"/>
    <col min="8966" max="8966" width="11.21875" style="242" customWidth="1"/>
    <col min="8967" max="8967" width="13.33203125" style="242" customWidth="1"/>
    <col min="8968" max="8969" width="14" style="242" customWidth="1"/>
    <col min="8970" max="8970" width="13.33203125" style="242" customWidth="1"/>
    <col min="8971" max="8971" width="12.33203125" style="242" customWidth="1"/>
    <col min="8972" max="8972" width="14.33203125" style="242" customWidth="1"/>
    <col min="8973" max="8973" width="15.21875" style="242" customWidth="1"/>
    <col min="8974" max="9216" width="9.33203125" style="242"/>
    <col min="9217" max="9217" width="5.77734375" style="242" customWidth="1"/>
    <col min="9218" max="9218" width="22.33203125" style="242" customWidth="1"/>
    <col min="9219" max="9219" width="13" style="242" customWidth="1"/>
    <col min="9220" max="9220" width="11" style="242" customWidth="1"/>
    <col min="9221" max="9221" width="15.44140625" style="242" customWidth="1"/>
    <col min="9222" max="9222" width="11.21875" style="242" customWidth="1"/>
    <col min="9223" max="9223" width="13.33203125" style="242" customWidth="1"/>
    <col min="9224" max="9225" width="14" style="242" customWidth="1"/>
    <col min="9226" max="9226" width="13.33203125" style="242" customWidth="1"/>
    <col min="9227" max="9227" width="12.33203125" style="242" customWidth="1"/>
    <col min="9228" max="9228" width="14.33203125" style="242" customWidth="1"/>
    <col min="9229" max="9229" width="15.21875" style="242" customWidth="1"/>
    <col min="9230" max="9472" width="9.33203125" style="242"/>
    <col min="9473" max="9473" width="5.77734375" style="242" customWidth="1"/>
    <col min="9474" max="9474" width="22.33203125" style="242" customWidth="1"/>
    <col min="9475" max="9475" width="13" style="242" customWidth="1"/>
    <col min="9476" max="9476" width="11" style="242" customWidth="1"/>
    <col min="9477" max="9477" width="15.44140625" style="242" customWidth="1"/>
    <col min="9478" max="9478" width="11.21875" style="242" customWidth="1"/>
    <col min="9479" max="9479" width="13.33203125" style="242" customWidth="1"/>
    <col min="9480" max="9481" width="14" style="242" customWidth="1"/>
    <col min="9482" max="9482" width="13.33203125" style="242" customWidth="1"/>
    <col min="9483" max="9483" width="12.33203125" style="242" customWidth="1"/>
    <col min="9484" max="9484" width="14.33203125" style="242" customWidth="1"/>
    <col min="9485" max="9485" width="15.21875" style="242" customWidth="1"/>
    <col min="9486" max="9728" width="9.33203125" style="242"/>
    <col min="9729" max="9729" width="5.77734375" style="242" customWidth="1"/>
    <col min="9730" max="9730" width="22.33203125" style="242" customWidth="1"/>
    <col min="9731" max="9731" width="13" style="242" customWidth="1"/>
    <col min="9732" max="9732" width="11" style="242" customWidth="1"/>
    <col min="9733" max="9733" width="15.44140625" style="242" customWidth="1"/>
    <col min="9734" max="9734" width="11.21875" style="242" customWidth="1"/>
    <col min="9735" max="9735" width="13.33203125" style="242" customWidth="1"/>
    <col min="9736" max="9737" width="14" style="242" customWidth="1"/>
    <col min="9738" max="9738" width="13.33203125" style="242" customWidth="1"/>
    <col min="9739" max="9739" width="12.33203125" style="242" customWidth="1"/>
    <col min="9740" max="9740" width="14.33203125" style="242" customWidth="1"/>
    <col min="9741" max="9741" width="15.21875" style="242" customWidth="1"/>
    <col min="9742" max="9984" width="9.33203125" style="242"/>
    <col min="9985" max="9985" width="5.77734375" style="242" customWidth="1"/>
    <col min="9986" max="9986" width="22.33203125" style="242" customWidth="1"/>
    <col min="9987" max="9987" width="13" style="242" customWidth="1"/>
    <col min="9988" max="9988" width="11" style="242" customWidth="1"/>
    <col min="9989" max="9989" width="15.44140625" style="242" customWidth="1"/>
    <col min="9990" max="9990" width="11.21875" style="242" customWidth="1"/>
    <col min="9991" max="9991" width="13.33203125" style="242" customWidth="1"/>
    <col min="9992" max="9993" width="14" style="242" customWidth="1"/>
    <col min="9994" max="9994" width="13.33203125" style="242" customWidth="1"/>
    <col min="9995" max="9995" width="12.33203125" style="242" customWidth="1"/>
    <col min="9996" max="9996" width="14.33203125" style="242" customWidth="1"/>
    <col min="9997" max="9997" width="15.21875" style="242" customWidth="1"/>
    <col min="9998" max="10240" width="9.33203125" style="242"/>
    <col min="10241" max="10241" width="5.77734375" style="242" customWidth="1"/>
    <col min="10242" max="10242" width="22.33203125" style="242" customWidth="1"/>
    <col min="10243" max="10243" width="13" style="242" customWidth="1"/>
    <col min="10244" max="10244" width="11" style="242" customWidth="1"/>
    <col min="10245" max="10245" width="15.44140625" style="242" customWidth="1"/>
    <col min="10246" max="10246" width="11.21875" style="242" customWidth="1"/>
    <col min="10247" max="10247" width="13.33203125" style="242" customWidth="1"/>
    <col min="10248" max="10249" width="14" style="242" customWidth="1"/>
    <col min="10250" max="10250" width="13.33203125" style="242" customWidth="1"/>
    <col min="10251" max="10251" width="12.33203125" style="242" customWidth="1"/>
    <col min="10252" max="10252" width="14.33203125" style="242" customWidth="1"/>
    <col min="10253" max="10253" width="15.21875" style="242" customWidth="1"/>
    <col min="10254" max="10496" width="9.33203125" style="242"/>
    <col min="10497" max="10497" width="5.77734375" style="242" customWidth="1"/>
    <col min="10498" max="10498" width="22.33203125" style="242" customWidth="1"/>
    <col min="10499" max="10499" width="13" style="242" customWidth="1"/>
    <col min="10500" max="10500" width="11" style="242" customWidth="1"/>
    <col min="10501" max="10501" width="15.44140625" style="242" customWidth="1"/>
    <col min="10502" max="10502" width="11.21875" style="242" customWidth="1"/>
    <col min="10503" max="10503" width="13.33203125" style="242" customWidth="1"/>
    <col min="10504" max="10505" width="14" style="242" customWidth="1"/>
    <col min="10506" max="10506" width="13.33203125" style="242" customWidth="1"/>
    <col min="10507" max="10507" width="12.33203125" style="242" customWidth="1"/>
    <col min="10508" max="10508" width="14.33203125" style="242" customWidth="1"/>
    <col min="10509" max="10509" width="15.21875" style="242" customWidth="1"/>
    <col min="10510" max="10752" width="9.33203125" style="242"/>
    <col min="10753" max="10753" width="5.77734375" style="242" customWidth="1"/>
    <col min="10754" max="10754" width="22.33203125" style="242" customWidth="1"/>
    <col min="10755" max="10755" width="13" style="242" customWidth="1"/>
    <col min="10756" max="10756" width="11" style="242" customWidth="1"/>
    <col min="10757" max="10757" width="15.44140625" style="242" customWidth="1"/>
    <col min="10758" max="10758" width="11.21875" style="242" customWidth="1"/>
    <col min="10759" max="10759" width="13.33203125" style="242" customWidth="1"/>
    <col min="10760" max="10761" width="14" style="242" customWidth="1"/>
    <col min="10762" max="10762" width="13.33203125" style="242" customWidth="1"/>
    <col min="10763" max="10763" width="12.33203125" style="242" customWidth="1"/>
    <col min="10764" max="10764" width="14.33203125" style="242" customWidth="1"/>
    <col min="10765" max="10765" width="15.21875" style="242" customWidth="1"/>
    <col min="10766" max="11008" width="9.33203125" style="242"/>
    <col min="11009" max="11009" width="5.77734375" style="242" customWidth="1"/>
    <col min="11010" max="11010" width="22.33203125" style="242" customWidth="1"/>
    <col min="11011" max="11011" width="13" style="242" customWidth="1"/>
    <col min="11012" max="11012" width="11" style="242" customWidth="1"/>
    <col min="11013" max="11013" width="15.44140625" style="242" customWidth="1"/>
    <col min="11014" max="11014" width="11.21875" style="242" customWidth="1"/>
    <col min="11015" max="11015" width="13.33203125" style="242" customWidth="1"/>
    <col min="11016" max="11017" width="14" style="242" customWidth="1"/>
    <col min="11018" max="11018" width="13.33203125" style="242" customWidth="1"/>
    <col min="11019" max="11019" width="12.33203125" style="242" customWidth="1"/>
    <col min="11020" max="11020" width="14.33203125" style="242" customWidth="1"/>
    <col min="11021" max="11021" width="15.21875" style="242" customWidth="1"/>
    <col min="11022" max="11264" width="9.33203125" style="242"/>
    <col min="11265" max="11265" width="5.77734375" style="242" customWidth="1"/>
    <col min="11266" max="11266" width="22.33203125" style="242" customWidth="1"/>
    <col min="11267" max="11267" width="13" style="242" customWidth="1"/>
    <col min="11268" max="11268" width="11" style="242" customWidth="1"/>
    <col min="11269" max="11269" width="15.44140625" style="242" customWidth="1"/>
    <col min="11270" max="11270" width="11.21875" style="242" customWidth="1"/>
    <col min="11271" max="11271" width="13.33203125" style="242" customWidth="1"/>
    <col min="11272" max="11273" width="14" style="242" customWidth="1"/>
    <col min="11274" max="11274" width="13.33203125" style="242" customWidth="1"/>
    <col min="11275" max="11275" width="12.33203125" style="242" customWidth="1"/>
    <col min="11276" max="11276" width="14.33203125" style="242" customWidth="1"/>
    <col min="11277" max="11277" width="15.21875" style="242" customWidth="1"/>
    <col min="11278" max="11520" width="9.33203125" style="242"/>
    <col min="11521" max="11521" width="5.77734375" style="242" customWidth="1"/>
    <col min="11522" max="11522" width="22.33203125" style="242" customWidth="1"/>
    <col min="11523" max="11523" width="13" style="242" customWidth="1"/>
    <col min="11524" max="11524" width="11" style="242" customWidth="1"/>
    <col min="11525" max="11525" width="15.44140625" style="242" customWidth="1"/>
    <col min="11526" max="11526" width="11.21875" style="242" customWidth="1"/>
    <col min="11527" max="11527" width="13.33203125" style="242" customWidth="1"/>
    <col min="11528" max="11529" width="14" style="242" customWidth="1"/>
    <col min="11530" max="11530" width="13.33203125" style="242" customWidth="1"/>
    <col min="11531" max="11531" width="12.33203125" style="242" customWidth="1"/>
    <col min="11532" max="11532" width="14.33203125" style="242" customWidth="1"/>
    <col min="11533" max="11533" width="15.21875" style="242" customWidth="1"/>
    <col min="11534" max="11776" width="9.33203125" style="242"/>
    <col min="11777" max="11777" width="5.77734375" style="242" customWidth="1"/>
    <col min="11778" max="11778" width="22.33203125" style="242" customWidth="1"/>
    <col min="11779" max="11779" width="13" style="242" customWidth="1"/>
    <col min="11780" max="11780" width="11" style="242" customWidth="1"/>
    <col min="11781" max="11781" width="15.44140625" style="242" customWidth="1"/>
    <col min="11782" max="11782" width="11.21875" style="242" customWidth="1"/>
    <col min="11783" max="11783" width="13.33203125" style="242" customWidth="1"/>
    <col min="11784" max="11785" width="14" style="242" customWidth="1"/>
    <col min="11786" max="11786" width="13.33203125" style="242" customWidth="1"/>
    <col min="11787" max="11787" width="12.33203125" style="242" customWidth="1"/>
    <col min="11788" max="11788" width="14.33203125" style="242" customWidth="1"/>
    <col min="11789" max="11789" width="15.21875" style="242" customWidth="1"/>
    <col min="11790" max="12032" width="9.33203125" style="242"/>
    <col min="12033" max="12033" width="5.77734375" style="242" customWidth="1"/>
    <col min="12034" max="12034" width="22.33203125" style="242" customWidth="1"/>
    <col min="12035" max="12035" width="13" style="242" customWidth="1"/>
    <col min="12036" max="12036" width="11" style="242" customWidth="1"/>
    <col min="12037" max="12037" width="15.44140625" style="242" customWidth="1"/>
    <col min="12038" max="12038" width="11.21875" style="242" customWidth="1"/>
    <col min="12039" max="12039" width="13.33203125" style="242" customWidth="1"/>
    <col min="12040" max="12041" width="14" style="242" customWidth="1"/>
    <col min="12042" max="12042" width="13.33203125" style="242" customWidth="1"/>
    <col min="12043" max="12043" width="12.33203125" style="242" customWidth="1"/>
    <col min="12044" max="12044" width="14.33203125" style="242" customWidth="1"/>
    <col min="12045" max="12045" width="15.21875" style="242" customWidth="1"/>
    <col min="12046" max="12288" width="9.33203125" style="242"/>
    <col min="12289" max="12289" width="5.77734375" style="242" customWidth="1"/>
    <col min="12290" max="12290" width="22.33203125" style="242" customWidth="1"/>
    <col min="12291" max="12291" width="13" style="242" customWidth="1"/>
    <col min="12292" max="12292" width="11" style="242" customWidth="1"/>
    <col min="12293" max="12293" width="15.44140625" style="242" customWidth="1"/>
    <col min="12294" max="12294" width="11.21875" style="242" customWidth="1"/>
    <col min="12295" max="12295" width="13.33203125" style="242" customWidth="1"/>
    <col min="12296" max="12297" width="14" style="242" customWidth="1"/>
    <col min="12298" max="12298" width="13.33203125" style="242" customWidth="1"/>
    <col min="12299" max="12299" width="12.33203125" style="242" customWidth="1"/>
    <col min="12300" max="12300" width="14.33203125" style="242" customWidth="1"/>
    <col min="12301" max="12301" width="15.21875" style="242" customWidth="1"/>
    <col min="12302" max="12544" width="9.33203125" style="242"/>
    <col min="12545" max="12545" width="5.77734375" style="242" customWidth="1"/>
    <col min="12546" max="12546" width="22.33203125" style="242" customWidth="1"/>
    <col min="12547" max="12547" width="13" style="242" customWidth="1"/>
    <col min="12548" max="12548" width="11" style="242" customWidth="1"/>
    <col min="12549" max="12549" width="15.44140625" style="242" customWidth="1"/>
    <col min="12550" max="12550" width="11.21875" style="242" customWidth="1"/>
    <col min="12551" max="12551" width="13.33203125" style="242" customWidth="1"/>
    <col min="12552" max="12553" width="14" style="242" customWidth="1"/>
    <col min="12554" max="12554" width="13.33203125" style="242" customWidth="1"/>
    <col min="12555" max="12555" width="12.33203125" style="242" customWidth="1"/>
    <col min="12556" max="12556" width="14.33203125" style="242" customWidth="1"/>
    <col min="12557" max="12557" width="15.21875" style="242" customWidth="1"/>
    <col min="12558" max="12800" width="9.33203125" style="242"/>
    <col min="12801" max="12801" width="5.77734375" style="242" customWidth="1"/>
    <col min="12802" max="12802" width="22.33203125" style="242" customWidth="1"/>
    <col min="12803" max="12803" width="13" style="242" customWidth="1"/>
    <col min="12804" max="12804" width="11" style="242" customWidth="1"/>
    <col min="12805" max="12805" width="15.44140625" style="242" customWidth="1"/>
    <col min="12806" max="12806" width="11.21875" style="242" customWidth="1"/>
    <col min="12807" max="12807" width="13.33203125" style="242" customWidth="1"/>
    <col min="12808" max="12809" width="14" style="242" customWidth="1"/>
    <col min="12810" max="12810" width="13.33203125" style="242" customWidth="1"/>
    <col min="12811" max="12811" width="12.33203125" style="242" customWidth="1"/>
    <col min="12812" max="12812" width="14.33203125" style="242" customWidth="1"/>
    <col min="12813" max="12813" width="15.21875" style="242" customWidth="1"/>
    <col min="12814" max="13056" width="9.33203125" style="242"/>
    <col min="13057" max="13057" width="5.77734375" style="242" customWidth="1"/>
    <col min="13058" max="13058" width="22.33203125" style="242" customWidth="1"/>
    <col min="13059" max="13059" width="13" style="242" customWidth="1"/>
    <col min="13060" max="13060" width="11" style="242" customWidth="1"/>
    <col min="13061" max="13061" width="15.44140625" style="242" customWidth="1"/>
    <col min="13062" max="13062" width="11.21875" style="242" customWidth="1"/>
    <col min="13063" max="13063" width="13.33203125" style="242" customWidth="1"/>
    <col min="13064" max="13065" width="14" style="242" customWidth="1"/>
    <col min="13066" max="13066" width="13.33203125" style="242" customWidth="1"/>
    <col min="13067" max="13067" width="12.33203125" style="242" customWidth="1"/>
    <col min="13068" max="13068" width="14.33203125" style="242" customWidth="1"/>
    <col min="13069" max="13069" width="15.21875" style="242" customWidth="1"/>
    <col min="13070" max="13312" width="9.33203125" style="242"/>
    <col min="13313" max="13313" width="5.77734375" style="242" customWidth="1"/>
    <col min="13314" max="13314" width="22.33203125" style="242" customWidth="1"/>
    <col min="13315" max="13315" width="13" style="242" customWidth="1"/>
    <col min="13316" max="13316" width="11" style="242" customWidth="1"/>
    <col min="13317" max="13317" width="15.44140625" style="242" customWidth="1"/>
    <col min="13318" max="13318" width="11.21875" style="242" customWidth="1"/>
    <col min="13319" max="13319" width="13.33203125" style="242" customWidth="1"/>
    <col min="13320" max="13321" width="14" style="242" customWidth="1"/>
    <col min="13322" max="13322" width="13.33203125" style="242" customWidth="1"/>
    <col min="13323" max="13323" width="12.33203125" style="242" customWidth="1"/>
    <col min="13324" max="13324" width="14.33203125" style="242" customWidth="1"/>
    <col min="13325" max="13325" width="15.21875" style="242" customWidth="1"/>
    <col min="13326" max="13568" width="9.33203125" style="242"/>
    <col min="13569" max="13569" width="5.77734375" style="242" customWidth="1"/>
    <col min="13570" max="13570" width="22.33203125" style="242" customWidth="1"/>
    <col min="13571" max="13571" width="13" style="242" customWidth="1"/>
    <col min="13572" max="13572" width="11" style="242" customWidth="1"/>
    <col min="13573" max="13573" width="15.44140625" style="242" customWidth="1"/>
    <col min="13574" max="13574" width="11.21875" style="242" customWidth="1"/>
    <col min="13575" max="13575" width="13.33203125" style="242" customWidth="1"/>
    <col min="13576" max="13577" width="14" style="242" customWidth="1"/>
    <col min="13578" max="13578" width="13.33203125" style="242" customWidth="1"/>
    <col min="13579" max="13579" width="12.33203125" style="242" customWidth="1"/>
    <col min="13580" max="13580" width="14.33203125" style="242" customWidth="1"/>
    <col min="13581" max="13581" width="15.21875" style="242" customWidth="1"/>
    <col min="13582" max="13824" width="9.33203125" style="242"/>
    <col min="13825" max="13825" width="5.77734375" style="242" customWidth="1"/>
    <col min="13826" max="13826" width="22.33203125" style="242" customWidth="1"/>
    <col min="13827" max="13827" width="13" style="242" customWidth="1"/>
    <col min="13828" max="13828" width="11" style="242" customWidth="1"/>
    <col min="13829" max="13829" width="15.44140625" style="242" customWidth="1"/>
    <col min="13830" max="13830" width="11.21875" style="242" customWidth="1"/>
    <col min="13831" max="13831" width="13.33203125" style="242" customWidth="1"/>
    <col min="13832" max="13833" width="14" style="242" customWidth="1"/>
    <col min="13834" max="13834" width="13.33203125" style="242" customWidth="1"/>
    <col min="13835" max="13835" width="12.33203125" style="242" customWidth="1"/>
    <col min="13836" max="13836" width="14.33203125" style="242" customWidth="1"/>
    <col min="13837" max="13837" width="15.21875" style="242" customWidth="1"/>
    <col min="13838" max="14080" width="9.33203125" style="242"/>
    <col min="14081" max="14081" width="5.77734375" style="242" customWidth="1"/>
    <col min="14082" max="14082" width="22.33203125" style="242" customWidth="1"/>
    <col min="14083" max="14083" width="13" style="242" customWidth="1"/>
    <col min="14084" max="14084" width="11" style="242" customWidth="1"/>
    <col min="14085" max="14085" width="15.44140625" style="242" customWidth="1"/>
    <col min="14086" max="14086" width="11.21875" style="242" customWidth="1"/>
    <col min="14087" max="14087" width="13.33203125" style="242" customWidth="1"/>
    <col min="14088" max="14089" width="14" style="242" customWidth="1"/>
    <col min="14090" max="14090" width="13.33203125" style="242" customWidth="1"/>
    <col min="14091" max="14091" width="12.33203125" style="242" customWidth="1"/>
    <col min="14092" max="14092" width="14.33203125" style="242" customWidth="1"/>
    <col min="14093" max="14093" width="15.21875" style="242" customWidth="1"/>
    <col min="14094" max="14336" width="9.33203125" style="242"/>
    <col min="14337" max="14337" width="5.77734375" style="242" customWidth="1"/>
    <col min="14338" max="14338" width="22.33203125" style="242" customWidth="1"/>
    <col min="14339" max="14339" width="13" style="242" customWidth="1"/>
    <col min="14340" max="14340" width="11" style="242" customWidth="1"/>
    <col min="14341" max="14341" width="15.44140625" style="242" customWidth="1"/>
    <col min="14342" max="14342" width="11.21875" style="242" customWidth="1"/>
    <col min="14343" max="14343" width="13.33203125" style="242" customWidth="1"/>
    <col min="14344" max="14345" width="14" style="242" customWidth="1"/>
    <col min="14346" max="14346" width="13.33203125" style="242" customWidth="1"/>
    <col min="14347" max="14347" width="12.33203125" style="242" customWidth="1"/>
    <col min="14348" max="14348" width="14.33203125" style="242" customWidth="1"/>
    <col min="14349" max="14349" width="15.21875" style="242" customWidth="1"/>
    <col min="14350" max="14592" width="9.33203125" style="242"/>
    <col min="14593" max="14593" width="5.77734375" style="242" customWidth="1"/>
    <col min="14594" max="14594" width="22.33203125" style="242" customWidth="1"/>
    <col min="14595" max="14595" width="13" style="242" customWidth="1"/>
    <col min="14596" max="14596" width="11" style="242" customWidth="1"/>
    <col min="14597" max="14597" width="15.44140625" style="242" customWidth="1"/>
    <col min="14598" max="14598" width="11.21875" style="242" customWidth="1"/>
    <col min="14599" max="14599" width="13.33203125" style="242" customWidth="1"/>
    <col min="14600" max="14601" width="14" style="242" customWidth="1"/>
    <col min="14602" max="14602" width="13.33203125" style="242" customWidth="1"/>
    <col min="14603" max="14603" width="12.33203125" style="242" customWidth="1"/>
    <col min="14604" max="14604" width="14.33203125" style="242" customWidth="1"/>
    <col min="14605" max="14605" width="15.21875" style="242" customWidth="1"/>
    <col min="14606" max="14848" width="9.33203125" style="242"/>
    <col min="14849" max="14849" width="5.77734375" style="242" customWidth="1"/>
    <col min="14850" max="14850" width="22.33203125" style="242" customWidth="1"/>
    <col min="14851" max="14851" width="13" style="242" customWidth="1"/>
    <col min="14852" max="14852" width="11" style="242" customWidth="1"/>
    <col min="14853" max="14853" width="15.44140625" style="242" customWidth="1"/>
    <col min="14854" max="14854" width="11.21875" style="242" customWidth="1"/>
    <col min="14855" max="14855" width="13.33203125" style="242" customWidth="1"/>
    <col min="14856" max="14857" width="14" style="242" customWidth="1"/>
    <col min="14858" max="14858" width="13.33203125" style="242" customWidth="1"/>
    <col min="14859" max="14859" width="12.33203125" style="242" customWidth="1"/>
    <col min="14860" max="14860" width="14.33203125" style="242" customWidth="1"/>
    <col min="14861" max="14861" width="15.21875" style="242" customWidth="1"/>
    <col min="14862" max="15104" width="9.33203125" style="242"/>
    <col min="15105" max="15105" width="5.77734375" style="242" customWidth="1"/>
    <col min="15106" max="15106" width="22.33203125" style="242" customWidth="1"/>
    <col min="15107" max="15107" width="13" style="242" customWidth="1"/>
    <col min="15108" max="15108" width="11" style="242" customWidth="1"/>
    <col min="15109" max="15109" width="15.44140625" style="242" customWidth="1"/>
    <col min="15110" max="15110" width="11.21875" style="242" customWidth="1"/>
    <col min="15111" max="15111" width="13.33203125" style="242" customWidth="1"/>
    <col min="15112" max="15113" width="14" style="242" customWidth="1"/>
    <col min="15114" max="15114" width="13.33203125" style="242" customWidth="1"/>
    <col min="15115" max="15115" width="12.33203125" style="242" customWidth="1"/>
    <col min="15116" max="15116" width="14.33203125" style="242" customWidth="1"/>
    <col min="15117" max="15117" width="15.21875" style="242" customWidth="1"/>
    <col min="15118" max="15360" width="9.33203125" style="242"/>
    <col min="15361" max="15361" width="5.77734375" style="242" customWidth="1"/>
    <col min="15362" max="15362" width="22.33203125" style="242" customWidth="1"/>
    <col min="15363" max="15363" width="13" style="242" customWidth="1"/>
    <col min="15364" max="15364" width="11" style="242" customWidth="1"/>
    <col min="15365" max="15365" width="15.44140625" style="242" customWidth="1"/>
    <col min="15366" max="15366" width="11.21875" style="242" customWidth="1"/>
    <col min="15367" max="15367" width="13.33203125" style="242" customWidth="1"/>
    <col min="15368" max="15369" width="14" style="242" customWidth="1"/>
    <col min="15370" max="15370" width="13.33203125" style="242" customWidth="1"/>
    <col min="15371" max="15371" width="12.33203125" style="242" customWidth="1"/>
    <col min="15372" max="15372" width="14.33203125" style="242" customWidth="1"/>
    <col min="15373" max="15373" width="15.21875" style="242" customWidth="1"/>
    <col min="15374" max="15616" width="9.33203125" style="242"/>
    <col min="15617" max="15617" width="5.77734375" style="242" customWidth="1"/>
    <col min="15618" max="15618" width="22.33203125" style="242" customWidth="1"/>
    <col min="15619" max="15619" width="13" style="242" customWidth="1"/>
    <col min="15620" max="15620" width="11" style="242" customWidth="1"/>
    <col min="15621" max="15621" width="15.44140625" style="242" customWidth="1"/>
    <col min="15622" max="15622" width="11.21875" style="242" customWidth="1"/>
    <col min="15623" max="15623" width="13.33203125" style="242" customWidth="1"/>
    <col min="15624" max="15625" width="14" style="242" customWidth="1"/>
    <col min="15626" max="15626" width="13.33203125" style="242" customWidth="1"/>
    <col min="15627" max="15627" width="12.33203125" style="242" customWidth="1"/>
    <col min="15628" max="15628" width="14.33203125" style="242" customWidth="1"/>
    <col min="15629" max="15629" width="15.21875" style="242" customWidth="1"/>
    <col min="15630" max="15872" width="9.33203125" style="242"/>
    <col min="15873" max="15873" width="5.77734375" style="242" customWidth="1"/>
    <col min="15874" max="15874" width="22.33203125" style="242" customWidth="1"/>
    <col min="15875" max="15875" width="13" style="242" customWidth="1"/>
    <col min="15876" max="15876" width="11" style="242" customWidth="1"/>
    <col min="15877" max="15877" width="15.44140625" style="242" customWidth="1"/>
    <col min="15878" max="15878" width="11.21875" style="242" customWidth="1"/>
    <col min="15879" max="15879" width="13.33203125" style="242" customWidth="1"/>
    <col min="15880" max="15881" width="14" style="242" customWidth="1"/>
    <col min="15882" max="15882" width="13.33203125" style="242" customWidth="1"/>
    <col min="15883" max="15883" width="12.33203125" style="242" customWidth="1"/>
    <col min="15884" max="15884" width="14.33203125" style="242" customWidth="1"/>
    <col min="15885" max="15885" width="15.21875" style="242" customWidth="1"/>
    <col min="15886" max="16128" width="9.33203125" style="242"/>
    <col min="16129" max="16129" width="5.77734375" style="242" customWidth="1"/>
    <col min="16130" max="16130" width="22.33203125" style="242" customWidth="1"/>
    <col min="16131" max="16131" width="13" style="242" customWidth="1"/>
    <col min="16132" max="16132" width="11" style="242" customWidth="1"/>
    <col min="16133" max="16133" width="15.44140625" style="242" customWidth="1"/>
    <col min="16134" max="16134" width="11.21875" style="242" customWidth="1"/>
    <col min="16135" max="16135" width="13.33203125" style="242" customWidth="1"/>
    <col min="16136" max="16137" width="14" style="242" customWidth="1"/>
    <col min="16138" max="16138" width="13.33203125" style="242" customWidth="1"/>
    <col min="16139" max="16139" width="12.33203125" style="242" customWidth="1"/>
    <col min="16140" max="16140" width="14.33203125" style="242" customWidth="1"/>
    <col min="16141" max="16141" width="15.21875" style="242" customWidth="1"/>
    <col min="16142" max="16384" width="9.33203125" style="242"/>
  </cols>
  <sheetData>
    <row r="1" spans="1:13" ht="41.25" customHeight="1">
      <c r="A1" s="910" t="s">
        <v>474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</row>
    <row r="2" spans="1:13" ht="13.8">
      <c r="A2" s="243"/>
      <c r="B2" s="241"/>
      <c r="C2" s="245"/>
      <c r="D2" s="246" t="s">
        <v>205</v>
      </c>
      <c r="E2" s="244" t="s">
        <v>207</v>
      </c>
      <c r="F2" s="244" t="s">
        <v>209</v>
      </c>
      <c r="G2" s="244" t="s">
        <v>211</v>
      </c>
      <c r="H2" s="244" t="s">
        <v>213</v>
      </c>
      <c r="I2" s="244" t="s">
        <v>232</v>
      </c>
      <c r="J2" s="242" t="s">
        <v>234</v>
      </c>
      <c r="K2" s="849" t="s">
        <v>236</v>
      </c>
      <c r="L2" s="849" t="s">
        <v>260</v>
      </c>
      <c r="M2" s="849" t="s">
        <v>1</v>
      </c>
    </row>
    <row r="3" spans="1:13" s="239" customFormat="1" ht="75.75" customHeight="1">
      <c r="A3" s="455" t="s">
        <v>407</v>
      </c>
      <c r="B3" s="455" t="s">
        <v>454</v>
      </c>
      <c r="C3" s="455" t="s">
        <v>455</v>
      </c>
      <c r="D3" s="455" t="s">
        <v>465</v>
      </c>
      <c r="E3" s="455" t="s">
        <v>206</v>
      </c>
      <c r="F3" s="455" t="s">
        <v>466</v>
      </c>
      <c r="G3" s="456" t="s">
        <v>210</v>
      </c>
      <c r="H3" s="456" t="s">
        <v>467</v>
      </c>
      <c r="I3" s="456" t="s">
        <v>231</v>
      </c>
      <c r="J3" s="477" t="s">
        <v>233</v>
      </c>
      <c r="K3" s="247" t="s">
        <v>235</v>
      </c>
      <c r="L3" s="477" t="s">
        <v>468</v>
      </c>
      <c r="M3" s="247" t="s">
        <v>469</v>
      </c>
    </row>
    <row r="4" spans="1:13" ht="65.25" customHeight="1">
      <c r="A4" s="804" t="s">
        <v>10</v>
      </c>
      <c r="B4" s="811" t="s">
        <v>461</v>
      </c>
      <c r="C4" s="806" t="s">
        <v>462</v>
      </c>
      <c r="D4" s="841">
        <v>52821164</v>
      </c>
      <c r="E4" s="842">
        <v>11900245</v>
      </c>
      <c r="F4" s="842">
        <v>67877431</v>
      </c>
      <c r="G4" s="843"/>
      <c r="H4" s="843">
        <v>1300000</v>
      </c>
      <c r="I4" s="842"/>
      <c r="J4" s="844"/>
      <c r="K4" s="844"/>
      <c r="L4" s="844"/>
      <c r="M4" s="845">
        <f>SUM(D4:L4)</f>
        <v>133898840</v>
      </c>
    </row>
    <row r="5" spans="1:13" s="240" customFormat="1" ht="40.5" customHeight="1">
      <c r="A5" s="455" t="s">
        <v>13</v>
      </c>
      <c r="B5" s="471" t="s">
        <v>857</v>
      </c>
      <c r="C5" s="466"/>
      <c r="D5" s="481">
        <v>56776965</v>
      </c>
      <c r="E5" s="481">
        <v>12758302</v>
      </c>
      <c r="F5" s="481">
        <v>53244507</v>
      </c>
      <c r="G5" s="481"/>
      <c r="H5" s="481">
        <v>24123171</v>
      </c>
      <c r="I5" s="481">
        <v>2074961</v>
      </c>
      <c r="J5" s="481"/>
      <c r="K5" s="481"/>
      <c r="L5" s="481"/>
      <c r="M5" s="485">
        <f>SUM(D5:L5)</f>
        <v>148977906</v>
      </c>
    </row>
    <row r="6" spans="1:13" s="240" customFormat="1" ht="30" customHeight="1">
      <c r="A6" s="455" t="s">
        <v>16</v>
      </c>
      <c r="B6" s="471" t="s">
        <v>1004</v>
      </c>
      <c r="C6" s="466"/>
      <c r="D6" s="481">
        <v>42886239</v>
      </c>
      <c r="E6" s="482">
        <v>9898476</v>
      </c>
      <c r="F6" s="482">
        <v>33295214</v>
      </c>
      <c r="G6" s="483"/>
      <c r="H6" s="483">
        <v>600000</v>
      </c>
      <c r="I6" s="482">
        <v>0</v>
      </c>
      <c r="J6" s="484"/>
      <c r="K6" s="484"/>
      <c r="L6" s="484"/>
      <c r="M6" s="485">
        <f>SUM(D6:L6)</f>
        <v>86679929</v>
      </c>
    </row>
    <row r="7" spans="1:13" ht="36.75" customHeight="1">
      <c r="A7" s="804" t="s">
        <v>19</v>
      </c>
      <c r="B7" s="811" t="s">
        <v>811</v>
      </c>
      <c r="C7" s="806" t="s">
        <v>779</v>
      </c>
      <c r="D7" s="841"/>
      <c r="E7" s="842"/>
      <c r="F7" s="842"/>
      <c r="G7" s="843"/>
      <c r="H7" s="843">
        <v>524700</v>
      </c>
      <c r="I7" s="842"/>
      <c r="J7" s="844"/>
      <c r="K7" s="844"/>
      <c r="L7" s="844"/>
      <c r="M7" s="845">
        <f t="shared" ref="M7:M155" si="0">SUM(D7:L7)</f>
        <v>524700</v>
      </c>
    </row>
    <row r="8" spans="1:13" s="240" customFormat="1" ht="36.75" customHeight="1">
      <c r="A8" s="455" t="s">
        <v>22</v>
      </c>
      <c r="B8" s="471" t="s">
        <v>857</v>
      </c>
      <c r="C8" s="466"/>
      <c r="D8" s="481"/>
      <c r="E8" s="482"/>
      <c r="F8" s="482"/>
      <c r="G8" s="483"/>
      <c r="H8" s="483">
        <v>524700</v>
      </c>
      <c r="I8" s="482"/>
      <c r="J8" s="484"/>
      <c r="K8" s="484"/>
      <c r="L8" s="484"/>
      <c r="M8" s="846">
        <f t="shared" si="0"/>
        <v>524700</v>
      </c>
    </row>
    <row r="9" spans="1:13" s="240" customFormat="1" ht="36.75" customHeight="1">
      <c r="A9" s="455" t="s">
        <v>25</v>
      </c>
      <c r="B9" s="471" t="s">
        <v>1004</v>
      </c>
      <c r="C9" s="466"/>
      <c r="D9" s="481"/>
      <c r="E9" s="482"/>
      <c r="F9" s="482"/>
      <c r="G9" s="483"/>
      <c r="H9" s="483">
        <v>217000</v>
      </c>
      <c r="I9" s="482"/>
      <c r="J9" s="484"/>
      <c r="K9" s="484"/>
      <c r="L9" s="484"/>
      <c r="M9" s="485">
        <f>SUM(D9:L9)</f>
        <v>217000</v>
      </c>
    </row>
    <row r="10" spans="1:13" ht="51" customHeight="1">
      <c r="A10" s="804" t="s">
        <v>28</v>
      </c>
      <c r="B10" s="811" t="s">
        <v>757</v>
      </c>
      <c r="C10" s="806" t="s">
        <v>756</v>
      </c>
      <c r="D10" s="841"/>
      <c r="E10" s="842"/>
      <c r="F10" s="842">
        <v>17202450</v>
      </c>
      <c r="G10" s="843"/>
      <c r="H10" s="843"/>
      <c r="I10" s="842">
        <v>42320000</v>
      </c>
      <c r="J10" s="844"/>
      <c r="K10" s="844"/>
      <c r="L10" s="844"/>
      <c r="M10" s="845">
        <f t="shared" si="0"/>
        <v>59522450</v>
      </c>
    </row>
    <row r="11" spans="1:13" s="240" customFormat="1" ht="51" customHeight="1">
      <c r="A11" s="455" t="s">
        <v>31</v>
      </c>
      <c r="B11" s="471" t="s">
        <v>857</v>
      </c>
      <c r="C11" s="466"/>
      <c r="D11" s="481"/>
      <c r="E11" s="482"/>
      <c r="F11" s="482">
        <v>15942533</v>
      </c>
      <c r="G11" s="482"/>
      <c r="H11" s="482">
        <v>6222729</v>
      </c>
      <c r="I11" s="482">
        <v>42405039</v>
      </c>
      <c r="J11" s="482"/>
      <c r="K11" s="482"/>
      <c r="L11" s="482"/>
      <c r="M11" s="485">
        <f t="shared" si="0"/>
        <v>64570301</v>
      </c>
    </row>
    <row r="12" spans="1:13" s="240" customFormat="1" ht="51" customHeight="1">
      <c r="A12" s="455" t="s">
        <v>34</v>
      </c>
      <c r="B12" s="471" t="s">
        <v>1004</v>
      </c>
      <c r="C12" s="466"/>
      <c r="D12" s="481"/>
      <c r="E12" s="482"/>
      <c r="F12" s="482">
        <v>12647696</v>
      </c>
      <c r="G12" s="483"/>
      <c r="H12" s="483">
        <v>5364494</v>
      </c>
      <c r="I12" s="482">
        <v>34120000</v>
      </c>
      <c r="J12" s="484"/>
      <c r="K12" s="484"/>
      <c r="L12" s="484"/>
      <c r="M12" s="485">
        <f>SUM(D12:L12)</f>
        <v>52132190</v>
      </c>
    </row>
    <row r="13" spans="1:13" ht="39.75" customHeight="1">
      <c r="A13" s="804" t="s">
        <v>37</v>
      </c>
      <c r="B13" s="811" t="s">
        <v>812</v>
      </c>
      <c r="C13" s="806" t="s">
        <v>780</v>
      </c>
      <c r="D13" s="807">
        <v>4800000</v>
      </c>
      <c r="E13" s="808">
        <v>1544800</v>
      </c>
      <c r="F13" s="808">
        <v>434950</v>
      </c>
      <c r="G13" s="809"/>
      <c r="H13" s="809"/>
      <c r="I13" s="808"/>
      <c r="J13" s="847"/>
      <c r="K13" s="847"/>
      <c r="L13" s="847"/>
      <c r="M13" s="845">
        <f t="shared" si="0"/>
        <v>6779750</v>
      </c>
    </row>
    <row r="14" spans="1:13" s="240" customFormat="1" ht="39.75" customHeight="1">
      <c r="A14" s="455" t="s">
        <v>39</v>
      </c>
      <c r="B14" s="471" t="s">
        <v>857</v>
      </c>
      <c r="C14" s="466"/>
      <c r="D14" s="467">
        <v>4720000</v>
      </c>
      <c r="E14" s="468">
        <v>1544800</v>
      </c>
      <c r="F14" s="468">
        <v>1996086</v>
      </c>
      <c r="G14" s="469"/>
      <c r="H14" s="469"/>
      <c r="I14" s="468"/>
      <c r="J14" s="486"/>
      <c r="K14" s="486"/>
      <c r="L14" s="486"/>
      <c r="M14" s="485">
        <f t="shared" si="0"/>
        <v>8260886</v>
      </c>
    </row>
    <row r="15" spans="1:13" s="240" customFormat="1" ht="39.75" customHeight="1">
      <c r="A15" s="455" t="s">
        <v>41</v>
      </c>
      <c r="B15" s="471" t="s">
        <v>1004</v>
      </c>
      <c r="C15" s="466"/>
      <c r="D15" s="467">
        <v>2518293</v>
      </c>
      <c r="E15" s="468">
        <v>0</v>
      </c>
      <c r="F15" s="468">
        <v>2482726</v>
      </c>
      <c r="G15" s="469"/>
      <c r="H15" s="469"/>
      <c r="I15" s="468"/>
      <c r="J15" s="486"/>
      <c r="K15" s="486"/>
      <c r="L15" s="486"/>
      <c r="M15" s="485">
        <f>SUM(D15:L15)</f>
        <v>5001019</v>
      </c>
    </row>
    <row r="16" spans="1:13" ht="39" customHeight="1">
      <c r="A16" s="804" t="s">
        <v>43</v>
      </c>
      <c r="B16" s="811" t="s">
        <v>759</v>
      </c>
      <c r="C16" s="806" t="s">
        <v>758</v>
      </c>
      <c r="D16" s="807"/>
      <c r="E16" s="808"/>
      <c r="F16" s="808"/>
      <c r="G16" s="809"/>
      <c r="H16" s="809">
        <v>11554719</v>
      </c>
      <c r="I16" s="808"/>
      <c r="J16" s="847"/>
      <c r="K16" s="847"/>
      <c r="L16" s="847">
        <v>30364900</v>
      </c>
      <c r="M16" s="845">
        <f t="shared" si="0"/>
        <v>41919619</v>
      </c>
    </row>
    <row r="17" spans="1:13" s="240" customFormat="1" ht="39" customHeight="1">
      <c r="A17" s="455" t="s">
        <v>45</v>
      </c>
      <c r="B17" s="471" t="s">
        <v>857</v>
      </c>
      <c r="C17" s="466"/>
      <c r="D17" s="467"/>
      <c r="E17" s="468"/>
      <c r="F17" s="468"/>
      <c r="G17" s="469"/>
      <c r="H17" s="469">
        <v>14441761</v>
      </c>
      <c r="I17" s="468"/>
      <c r="J17" s="486"/>
      <c r="K17" s="486"/>
      <c r="L17" s="486">
        <v>30364900</v>
      </c>
      <c r="M17" s="846">
        <f t="shared" si="0"/>
        <v>44806661</v>
      </c>
    </row>
    <row r="18" spans="1:13" s="240" customFormat="1" ht="39" customHeight="1">
      <c r="A18" s="455" t="s">
        <v>47</v>
      </c>
      <c r="B18" s="471" t="s">
        <v>1004</v>
      </c>
      <c r="C18" s="466"/>
      <c r="D18" s="467"/>
      <c r="E18" s="468"/>
      <c r="F18" s="468"/>
      <c r="G18" s="469"/>
      <c r="H18" s="469">
        <v>14441761</v>
      </c>
      <c r="I18" s="468"/>
      <c r="J18" s="486"/>
      <c r="K18" s="486"/>
      <c r="L18" s="486">
        <v>30364900</v>
      </c>
      <c r="M18" s="846">
        <f t="shared" si="0"/>
        <v>44806661</v>
      </c>
    </row>
    <row r="19" spans="1:13" ht="34.5" customHeight="1">
      <c r="A19" s="804" t="s">
        <v>49</v>
      </c>
      <c r="B19" s="811" t="s">
        <v>852</v>
      </c>
      <c r="C19" s="806" t="s">
        <v>464</v>
      </c>
      <c r="D19" s="807"/>
      <c r="E19" s="808"/>
      <c r="F19" s="808"/>
      <c r="G19" s="809"/>
      <c r="H19" s="809">
        <f>'9.sz.mell.'!D89</f>
        <v>435516731</v>
      </c>
      <c r="I19" s="808"/>
      <c r="J19" s="847"/>
      <c r="K19" s="847"/>
      <c r="L19" s="847">
        <v>300546462</v>
      </c>
      <c r="M19" s="845">
        <f t="shared" si="0"/>
        <v>736063193</v>
      </c>
    </row>
    <row r="20" spans="1:13" s="240" customFormat="1" ht="34.5" customHeight="1">
      <c r="A20" s="455" t="s">
        <v>51</v>
      </c>
      <c r="B20" s="471" t="s">
        <v>857</v>
      </c>
      <c r="C20" s="466"/>
      <c r="D20" s="467"/>
      <c r="E20" s="468"/>
      <c r="F20" s="468"/>
      <c r="G20" s="469"/>
      <c r="H20" s="469">
        <v>484627304</v>
      </c>
      <c r="I20" s="469"/>
      <c r="J20" s="469"/>
      <c r="K20" s="469"/>
      <c r="L20" s="469">
        <v>312069113</v>
      </c>
      <c r="M20" s="485">
        <f t="shared" si="0"/>
        <v>796696417</v>
      </c>
    </row>
    <row r="21" spans="1:13" s="240" customFormat="1" ht="34.5" customHeight="1">
      <c r="A21" s="455" t="s">
        <v>54</v>
      </c>
      <c r="B21" s="471" t="s">
        <v>1004</v>
      </c>
      <c r="C21" s="466"/>
      <c r="D21" s="467"/>
      <c r="E21" s="468"/>
      <c r="F21" s="468"/>
      <c r="G21" s="469"/>
      <c r="H21" s="469">
        <v>357422546</v>
      </c>
      <c r="I21" s="468"/>
      <c r="J21" s="486"/>
      <c r="K21" s="486"/>
      <c r="L21" s="486">
        <v>216321330</v>
      </c>
      <c r="M21" s="485">
        <f t="shared" si="0"/>
        <v>573743876</v>
      </c>
    </row>
    <row r="22" spans="1:13" ht="34.5" customHeight="1">
      <c r="A22" s="804" t="s">
        <v>57</v>
      </c>
      <c r="B22" s="805" t="s">
        <v>745</v>
      </c>
      <c r="C22" s="806" t="s">
        <v>744</v>
      </c>
      <c r="D22" s="841">
        <v>19823393</v>
      </c>
      <c r="E22" s="842">
        <v>2180573</v>
      </c>
      <c r="F22" s="842"/>
      <c r="G22" s="843"/>
      <c r="H22" s="843">
        <v>11420528</v>
      </c>
      <c r="I22" s="842"/>
      <c r="J22" s="844"/>
      <c r="K22" s="844"/>
      <c r="L22" s="844"/>
      <c r="M22" s="845">
        <f t="shared" si="0"/>
        <v>33424494</v>
      </c>
    </row>
    <row r="23" spans="1:13" s="240" customFormat="1" ht="34.5" customHeight="1">
      <c r="A23" s="455" t="s">
        <v>60</v>
      </c>
      <c r="B23" s="471" t="s">
        <v>857</v>
      </c>
      <c r="C23" s="466"/>
      <c r="D23" s="481">
        <v>32308608</v>
      </c>
      <c r="E23" s="481">
        <v>3553247</v>
      </c>
      <c r="F23" s="481">
        <v>1000</v>
      </c>
      <c r="G23" s="481"/>
      <c r="H23" s="481">
        <v>11420528</v>
      </c>
      <c r="I23" s="481"/>
      <c r="J23" s="481"/>
      <c r="K23" s="481"/>
      <c r="L23" s="481"/>
      <c r="M23" s="485">
        <f t="shared" si="0"/>
        <v>47283383</v>
      </c>
    </row>
    <row r="24" spans="1:13" s="240" customFormat="1" ht="34.5" customHeight="1">
      <c r="A24" s="455" t="s">
        <v>62</v>
      </c>
      <c r="B24" s="471" t="s">
        <v>1004</v>
      </c>
      <c r="C24" s="466"/>
      <c r="D24" s="481">
        <v>28242833</v>
      </c>
      <c r="E24" s="482">
        <v>3375986</v>
      </c>
      <c r="F24" s="482">
        <v>57</v>
      </c>
      <c r="G24" s="483"/>
      <c r="H24" s="483">
        <v>6091073</v>
      </c>
      <c r="I24" s="482"/>
      <c r="J24" s="484"/>
      <c r="K24" s="484"/>
      <c r="L24" s="484"/>
      <c r="M24" s="485">
        <f>SUM(D24:L24)</f>
        <v>37709949</v>
      </c>
    </row>
    <row r="25" spans="1:13" ht="34.5" customHeight="1">
      <c r="A25" s="804" t="s">
        <v>64</v>
      </c>
      <c r="B25" s="805" t="s">
        <v>761</v>
      </c>
      <c r="C25" s="806" t="s">
        <v>760</v>
      </c>
      <c r="D25" s="841">
        <f>65351496-19823393</f>
        <v>45528103</v>
      </c>
      <c r="E25" s="842">
        <f>12621075-2180573</f>
        <v>10440502</v>
      </c>
      <c r="F25" s="842">
        <v>12918956</v>
      </c>
      <c r="G25" s="843"/>
      <c r="H25" s="843">
        <v>11420529</v>
      </c>
      <c r="I25" s="842"/>
      <c r="J25" s="844"/>
      <c r="K25" s="844"/>
      <c r="L25" s="847"/>
      <c r="M25" s="845">
        <f t="shared" si="0"/>
        <v>80308090</v>
      </c>
    </row>
    <row r="26" spans="1:13" s="240" customFormat="1" ht="34.5" customHeight="1">
      <c r="A26" s="455" t="s">
        <v>66</v>
      </c>
      <c r="B26" s="471" t="s">
        <v>857</v>
      </c>
      <c r="C26" s="466"/>
      <c r="D26" s="481">
        <v>200831427</v>
      </c>
      <c r="E26" s="481">
        <v>27523868</v>
      </c>
      <c r="F26" s="481">
        <v>68419751</v>
      </c>
      <c r="G26" s="481"/>
      <c r="H26" s="481">
        <v>11420529</v>
      </c>
      <c r="I26" s="481">
        <v>17704403</v>
      </c>
      <c r="J26" s="481"/>
      <c r="K26" s="481"/>
      <c r="L26" s="481"/>
      <c r="M26" s="485">
        <f t="shared" si="0"/>
        <v>325899978</v>
      </c>
    </row>
    <row r="27" spans="1:13" s="240" customFormat="1" ht="34.5" customHeight="1">
      <c r="A27" s="455" t="s">
        <v>68</v>
      </c>
      <c r="B27" s="471" t="s">
        <v>1004</v>
      </c>
      <c r="C27" s="466"/>
      <c r="D27" s="481">
        <v>118010834</v>
      </c>
      <c r="E27" s="482">
        <v>14094760</v>
      </c>
      <c r="F27" s="482">
        <v>39602118</v>
      </c>
      <c r="G27" s="483"/>
      <c r="H27" s="483">
        <v>6257875</v>
      </c>
      <c r="I27" s="482">
        <v>18422621</v>
      </c>
      <c r="J27" s="484"/>
      <c r="K27" s="484"/>
      <c r="L27" s="484"/>
      <c r="M27" s="485">
        <f>SUM(D27:L27)</f>
        <v>196388208</v>
      </c>
    </row>
    <row r="28" spans="1:13" s="240" customFormat="1" ht="36" customHeight="1">
      <c r="A28" s="804" t="s">
        <v>70</v>
      </c>
      <c r="B28" s="811" t="s">
        <v>813</v>
      </c>
      <c r="C28" s="806" t="s">
        <v>768</v>
      </c>
      <c r="D28" s="841"/>
      <c r="E28" s="841"/>
      <c r="F28" s="841">
        <v>6096000</v>
      </c>
      <c r="G28" s="841"/>
      <c r="H28" s="841"/>
      <c r="I28" s="841"/>
      <c r="J28" s="841">
        <v>50000000</v>
      </c>
      <c r="K28" s="841"/>
      <c r="L28" s="841"/>
      <c r="M28" s="845">
        <f t="shared" si="0"/>
        <v>56096000</v>
      </c>
    </row>
    <row r="29" spans="1:13" s="240" customFormat="1" ht="34.5" customHeight="1">
      <c r="A29" s="455" t="s">
        <v>72</v>
      </c>
      <c r="B29" s="471" t="s">
        <v>857</v>
      </c>
      <c r="C29" s="466"/>
      <c r="D29" s="481"/>
      <c r="E29" s="482"/>
      <c r="F29" s="482">
        <v>7609497</v>
      </c>
      <c r="G29" s="482"/>
      <c r="H29" s="482"/>
      <c r="I29" s="482">
        <v>5684936</v>
      </c>
      <c r="J29" s="482">
        <v>45290000</v>
      </c>
      <c r="K29" s="482">
        <f t="shared" ref="K29" si="1">K30-K28</f>
        <v>0</v>
      </c>
      <c r="L29" s="482"/>
      <c r="M29" s="485">
        <f t="shared" si="0"/>
        <v>58584433</v>
      </c>
    </row>
    <row r="30" spans="1:13" s="240" customFormat="1" ht="34.5" customHeight="1">
      <c r="A30" s="455" t="s">
        <v>75</v>
      </c>
      <c r="B30" s="471" t="s">
        <v>1004</v>
      </c>
      <c r="C30" s="466"/>
      <c r="D30" s="481"/>
      <c r="E30" s="482"/>
      <c r="F30" s="482">
        <v>7322566</v>
      </c>
      <c r="G30" s="483"/>
      <c r="H30" s="483"/>
      <c r="I30" s="482">
        <v>5314869</v>
      </c>
      <c r="J30" s="484">
        <v>0</v>
      </c>
      <c r="K30" s="484"/>
      <c r="L30" s="484"/>
      <c r="M30" s="485">
        <f>SUM(D30:L30)</f>
        <v>12637435</v>
      </c>
    </row>
    <row r="31" spans="1:13" ht="34.5" customHeight="1">
      <c r="A31" s="804" t="s">
        <v>78</v>
      </c>
      <c r="B31" s="805" t="s">
        <v>941</v>
      </c>
      <c r="C31" s="806" t="s">
        <v>867</v>
      </c>
      <c r="D31" s="841"/>
      <c r="E31" s="842"/>
      <c r="F31" s="842"/>
      <c r="G31" s="843"/>
      <c r="H31" s="843"/>
      <c r="I31" s="842"/>
      <c r="J31" s="844"/>
      <c r="K31" s="844"/>
      <c r="L31" s="844"/>
      <c r="M31" s="846">
        <f t="shared" ref="M31:M33" si="2">SUM(D31:L31)</f>
        <v>0</v>
      </c>
    </row>
    <row r="32" spans="1:13" s="240" customFormat="1" ht="34.5" customHeight="1">
      <c r="A32" s="455" t="s">
        <v>81</v>
      </c>
      <c r="B32" s="471" t="s">
        <v>857</v>
      </c>
      <c r="C32" s="466"/>
      <c r="D32" s="481"/>
      <c r="E32" s="482"/>
      <c r="F32" s="482">
        <v>448010250</v>
      </c>
      <c r="G32" s="483"/>
      <c r="H32" s="483"/>
      <c r="I32" s="482"/>
      <c r="J32" s="484"/>
      <c r="K32" s="484"/>
      <c r="L32" s="484"/>
      <c r="M32" s="485">
        <f t="shared" si="2"/>
        <v>448010250</v>
      </c>
    </row>
    <row r="33" spans="1:13" s="240" customFormat="1" ht="34.5" customHeight="1">
      <c r="A33" s="455" t="s">
        <v>83</v>
      </c>
      <c r="B33" s="471" t="s">
        <v>1004</v>
      </c>
      <c r="C33" s="466"/>
      <c r="D33" s="481"/>
      <c r="E33" s="482"/>
      <c r="F33" s="482">
        <v>0</v>
      </c>
      <c r="G33" s="483"/>
      <c r="H33" s="483"/>
      <c r="I33" s="482"/>
      <c r="J33" s="484"/>
      <c r="K33" s="484"/>
      <c r="L33" s="484"/>
      <c r="M33" s="485">
        <f t="shared" si="2"/>
        <v>0</v>
      </c>
    </row>
    <row r="34" spans="1:13" ht="38.25" customHeight="1">
      <c r="A34" s="804" t="s">
        <v>85</v>
      </c>
      <c r="B34" s="811" t="s">
        <v>814</v>
      </c>
      <c r="C34" s="806" t="s">
        <v>781</v>
      </c>
      <c r="D34" s="841"/>
      <c r="E34" s="841"/>
      <c r="F34" s="841"/>
      <c r="G34" s="841"/>
      <c r="H34" s="841">
        <v>27862750</v>
      </c>
      <c r="I34" s="841"/>
      <c r="J34" s="841"/>
      <c r="K34" s="841"/>
      <c r="L34" s="841"/>
      <c r="M34" s="845">
        <f t="shared" si="0"/>
        <v>27862750</v>
      </c>
    </row>
    <row r="35" spans="1:13" s="240" customFormat="1" ht="34.5" customHeight="1">
      <c r="A35" s="455" t="s">
        <v>87</v>
      </c>
      <c r="B35" s="471" t="s">
        <v>857</v>
      </c>
      <c r="C35" s="466"/>
      <c r="D35" s="481"/>
      <c r="E35" s="482"/>
      <c r="F35" s="482"/>
      <c r="G35" s="483"/>
      <c r="H35" s="483">
        <v>27862750</v>
      </c>
      <c r="I35" s="482"/>
      <c r="J35" s="484"/>
      <c r="K35" s="484"/>
      <c r="L35" s="484"/>
      <c r="M35" s="485">
        <f t="shared" si="0"/>
        <v>27862750</v>
      </c>
    </row>
    <row r="36" spans="1:13" s="240" customFormat="1" ht="34.5" customHeight="1">
      <c r="A36" s="455" t="s">
        <v>90</v>
      </c>
      <c r="B36" s="471" t="s">
        <v>1004</v>
      </c>
      <c r="C36" s="466"/>
      <c r="D36" s="481"/>
      <c r="E36" s="482"/>
      <c r="F36" s="482">
        <v>102620</v>
      </c>
      <c r="G36" s="483"/>
      <c r="H36" s="483">
        <v>18426736</v>
      </c>
      <c r="I36" s="482"/>
      <c r="J36" s="484"/>
      <c r="K36" s="484"/>
      <c r="L36" s="484"/>
      <c r="M36" s="485">
        <f>SUM(D36:L36)</f>
        <v>18529356</v>
      </c>
    </row>
    <row r="37" spans="1:13" ht="36" customHeight="1">
      <c r="A37" s="804" t="s">
        <v>92</v>
      </c>
      <c r="B37" s="811" t="s">
        <v>815</v>
      </c>
      <c r="C37" s="806" t="s">
        <v>782</v>
      </c>
      <c r="D37" s="841"/>
      <c r="E37" s="841"/>
      <c r="F37" s="841"/>
      <c r="G37" s="841"/>
      <c r="H37" s="841"/>
      <c r="I37" s="841"/>
      <c r="J37" s="841">
        <v>16951029</v>
      </c>
      <c r="K37" s="841"/>
      <c r="L37" s="841"/>
      <c r="M37" s="845">
        <f t="shared" si="0"/>
        <v>16951029</v>
      </c>
    </row>
    <row r="38" spans="1:13" s="240" customFormat="1" ht="34.5" customHeight="1">
      <c r="A38" s="455" t="s">
        <v>94</v>
      </c>
      <c r="B38" s="471" t="s">
        <v>857</v>
      </c>
      <c r="C38" s="466"/>
      <c r="D38" s="481"/>
      <c r="E38" s="482"/>
      <c r="F38" s="482">
        <v>213740</v>
      </c>
      <c r="G38" s="483"/>
      <c r="H38" s="483"/>
      <c r="I38" s="482"/>
      <c r="J38" s="484">
        <v>16951030</v>
      </c>
      <c r="K38" s="484"/>
      <c r="L38" s="484"/>
      <c r="M38" s="485">
        <f t="shared" si="0"/>
        <v>17164770</v>
      </c>
    </row>
    <row r="39" spans="1:13" s="240" customFormat="1" ht="34.5" customHeight="1">
      <c r="A39" s="455" t="s">
        <v>97</v>
      </c>
      <c r="B39" s="471" t="s">
        <v>1004</v>
      </c>
      <c r="C39" s="466"/>
      <c r="D39" s="481"/>
      <c r="E39" s="482"/>
      <c r="F39" s="482">
        <v>112000</v>
      </c>
      <c r="G39" s="483"/>
      <c r="H39" s="483"/>
      <c r="I39" s="482"/>
      <c r="J39" s="484">
        <v>16951030</v>
      </c>
      <c r="K39" s="484"/>
      <c r="L39" s="484"/>
      <c r="M39" s="485">
        <f t="shared" si="0"/>
        <v>17063030</v>
      </c>
    </row>
    <row r="40" spans="1:13" ht="34.5" customHeight="1">
      <c r="A40" s="804" t="s">
        <v>100</v>
      </c>
      <c r="B40" s="805" t="s">
        <v>869</v>
      </c>
      <c r="C40" s="806" t="s">
        <v>868</v>
      </c>
      <c r="D40" s="841"/>
      <c r="E40" s="842"/>
      <c r="F40" s="842"/>
      <c r="G40" s="843"/>
      <c r="H40" s="843"/>
      <c r="I40" s="842"/>
      <c r="J40" s="844"/>
      <c r="K40" s="844"/>
      <c r="L40" s="844"/>
      <c r="M40" s="846">
        <f t="shared" si="0"/>
        <v>0</v>
      </c>
    </row>
    <row r="41" spans="1:13" s="240" customFormat="1" ht="34.5" customHeight="1">
      <c r="A41" s="455" t="s">
        <v>102</v>
      </c>
      <c r="B41" s="471" t="s">
        <v>857</v>
      </c>
      <c r="C41" s="466"/>
      <c r="D41" s="481"/>
      <c r="E41" s="482"/>
      <c r="F41" s="482">
        <v>60000000</v>
      </c>
      <c r="G41" s="483"/>
      <c r="H41" s="483"/>
      <c r="I41" s="482"/>
      <c r="J41" s="484"/>
      <c r="K41" s="484"/>
      <c r="L41" s="484"/>
      <c r="M41" s="485">
        <f t="shared" si="0"/>
        <v>60000000</v>
      </c>
    </row>
    <row r="42" spans="1:13" s="240" customFormat="1" ht="34.5" customHeight="1">
      <c r="A42" s="455" t="s">
        <v>104</v>
      </c>
      <c r="B42" s="471" t="s">
        <v>1004</v>
      </c>
      <c r="C42" s="466"/>
      <c r="D42" s="481"/>
      <c r="E42" s="482"/>
      <c r="F42" s="482"/>
      <c r="G42" s="483"/>
      <c r="H42" s="483"/>
      <c r="I42" s="482"/>
      <c r="J42" s="484"/>
      <c r="K42" s="484"/>
      <c r="L42" s="484"/>
      <c r="M42" s="485">
        <f t="shared" si="0"/>
        <v>0</v>
      </c>
    </row>
    <row r="43" spans="1:13" ht="36" customHeight="1">
      <c r="A43" s="804" t="s">
        <v>107</v>
      </c>
      <c r="B43" s="811" t="s">
        <v>817</v>
      </c>
      <c r="C43" s="806" t="s">
        <v>816</v>
      </c>
      <c r="D43" s="841"/>
      <c r="E43" s="841"/>
      <c r="F43" s="841">
        <v>3135000</v>
      </c>
      <c r="G43" s="841"/>
      <c r="H43" s="841"/>
      <c r="I43" s="841"/>
      <c r="J43" s="841"/>
      <c r="K43" s="841"/>
      <c r="L43" s="841"/>
      <c r="M43" s="845">
        <f t="shared" si="0"/>
        <v>3135000</v>
      </c>
    </row>
    <row r="44" spans="1:13" s="240" customFormat="1" ht="34.5" customHeight="1">
      <c r="A44" s="455" t="s">
        <v>110</v>
      </c>
      <c r="B44" s="471" t="s">
        <v>857</v>
      </c>
      <c r="C44" s="466"/>
      <c r="D44" s="481"/>
      <c r="E44" s="482"/>
      <c r="F44" s="482">
        <v>1720197</v>
      </c>
      <c r="G44" s="483"/>
      <c r="H44" s="483"/>
      <c r="I44" s="482">
        <v>276840000</v>
      </c>
      <c r="J44" s="484"/>
      <c r="K44" s="484"/>
      <c r="L44" s="484"/>
      <c r="M44" s="485">
        <f t="shared" si="0"/>
        <v>278560197</v>
      </c>
    </row>
    <row r="45" spans="1:13" s="240" customFormat="1" ht="34.5" customHeight="1">
      <c r="A45" s="455" t="s">
        <v>113</v>
      </c>
      <c r="B45" s="471" t="s">
        <v>1004</v>
      </c>
      <c r="C45" s="466"/>
      <c r="D45" s="481"/>
      <c r="E45" s="482"/>
      <c r="F45" s="482">
        <v>235484</v>
      </c>
      <c r="G45" s="483"/>
      <c r="H45" s="483"/>
      <c r="I45" s="482"/>
      <c r="J45" s="484"/>
      <c r="K45" s="484"/>
      <c r="L45" s="484"/>
      <c r="M45" s="485">
        <f t="shared" si="0"/>
        <v>235484</v>
      </c>
    </row>
    <row r="46" spans="1:13" ht="54" customHeight="1">
      <c r="A46" s="804" t="s">
        <v>116</v>
      </c>
      <c r="B46" s="811" t="s">
        <v>818</v>
      </c>
      <c r="C46" s="806" t="s">
        <v>783</v>
      </c>
      <c r="D46" s="841"/>
      <c r="E46" s="841"/>
      <c r="F46" s="841">
        <v>635000</v>
      </c>
      <c r="G46" s="841"/>
      <c r="H46" s="841"/>
      <c r="I46" s="841"/>
      <c r="J46" s="841"/>
      <c r="K46" s="841"/>
      <c r="L46" s="841"/>
      <c r="M46" s="845">
        <f t="shared" si="0"/>
        <v>635000</v>
      </c>
    </row>
    <row r="47" spans="1:13" s="240" customFormat="1" ht="34.5" customHeight="1">
      <c r="A47" s="455" t="s">
        <v>119</v>
      </c>
      <c r="B47" s="471" t="s">
        <v>857</v>
      </c>
      <c r="C47" s="466"/>
      <c r="D47" s="481"/>
      <c r="E47" s="482"/>
      <c r="F47" s="482">
        <v>535000</v>
      </c>
      <c r="G47" s="483"/>
      <c r="H47" s="483"/>
      <c r="I47" s="482"/>
      <c r="J47" s="484"/>
      <c r="K47" s="484"/>
      <c r="L47" s="484"/>
      <c r="M47" s="485">
        <f t="shared" si="0"/>
        <v>535000</v>
      </c>
    </row>
    <row r="48" spans="1:13" s="240" customFormat="1" ht="34.5" customHeight="1">
      <c r="A48" s="455" t="s">
        <v>122</v>
      </c>
      <c r="B48" s="471" t="s">
        <v>1004</v>
      </c>
      <c r="C48" s="466"/>
      <c r="D48" s="481"/>
      <c r="E48" s="482"/>
      <c r="F48" s="482">
        <v>0</v>
      </c>
      <c r="G48" s="483"/>
      <c r="H48" s="483"/>
      <c r="I48" s="482"/>
      <c r="J48" s="484"/>
      <c r="K48" s="484"/>
      <c r="L48" s="484"/>
      <c r="M48" s="485">
        <f t="shared" si="0"/>
        <v>0</v>
      </c>
    </row>
    <row r="49" spans="1:13" ht="52.5" customHeight="1">
      <c r="A49" s="804" t="s">
        <v>125</v>
      </c>
      <c r="B49" s="811" t="s">
        <v>819</v>
      </c>
      <c r="C49" s="806" t="s">
        <v>784</v>
      </c>
      <c r="D49" s="841"/>
      <c r="E49" s="841"/>
      <c r="F49" s="841">
        <v>6000000</v>
      </c>
      <c r="G49" s="841"/>
      <c r="H49" s="841"/>
      <c r="I49" s="841"/>
      <c r="J49" s="841"/>
      <c r="K49" s="841"/>
      <c r="L49" s="841"/>
      <c r="M49" s="845">
        <f t="shared" si="0"/>
        <v>6000000</v>
      </c>
    </row>
    <row r="50" spans="1:13" s="240" customFormat="1" ht="34.5" customHeight="1">
      <c r="A50" s="455" t="s">
        <v>128</v>
      </c>
      <c r="B50" s="471" t="s">
        <v>857</v>
      </c>
      <c r="C50" s="466"/>
      <c r="D50" s="481"/>
      <c r="E50" s="482"/>
      <c r="F50" s="482">
        <v>3760815</v>
      </c>
      <c r="G50" s="483"/>
      <c r="H50" s="483"/>
      <c r="I50" s="482"/>
      <c r="J50" s="484"/>
      <c r="K50" s="484"/>
      <c r="L50" s="484"/>
      <c r="M50" s="485">
        <f t="shared" si="0"/>
        <v>3760815</v>
      </c>
    </row>
    <row r="51" spans="1:13" s="240" customFormat="1" ht="34.5" customHeight="1">
      <c r="A51" s="455" t="s">
        <v>131</v>
      </c>
      <c r="B51" s="471" t="s">
        <v>1004</v>
      </c>
      <c r="C51" s="466"/>
      <c r="D51" s="481"/>
      <c r="E51" s="482"/>
      <c r="F51" s="482">
        <v>5845307</v>
      </c>
      <c r="G51" s="483"/>
      <c r="H51" s="483"/>
      <c r="I51" s="482"/>
      <c r="J51" s="484"/>
      <c r="K51" s="484"/>
      <c r="L51" s="484"/>
      <c r="M51" s="485">
        <f t="shared" si="0"/>
        <v>5845307</v>
      </c>
    </row>
    <row r="52" spans="1:13" s="234" customFormat="1" ht="36" customHeight="1">
      <c r="A52" s="804" t="s">
        <v>134</v>
      </c>
      <c r="B52" s="811" t="s">
        <v>820</v>
      </c>
      <c r="C52" s="806" t="s">
        <v>785</v>
      </c>
      <c r="D52" s="841"/>
      <c r="E52" s="841"/>
      <c r="F52" s="841">
        <v>7000000</v>
      </c>
      <c r="G52" s="841"/>
      <c r="H52" s="841"/>
      <c r="I52" s="841"/>
      <c r="J52" s="841"/>
      <c r="K52" s="841"/>
      <c r="L52" s="841"/>
      <c r="M52" s="845">
        <f t="shared" si="0"/>
        <v>7000000</v>
      </c>
    </row>
    <row r="53" spans="1:13" s="240" customFormat="1" ht="34.5" customHeight="1">
      <c r="A53" s="455" t="s">
        <v>137</v>
      </c>
      <c r="B53" s="471" t="s">
        <v>857</v>
      </c>
      <c r="C53" s="466"/>
      <c r="D53" s="481"/>
      <c r="E53" s="482"/>
      <c r="F53" s="482">
        <v>7000000</v>
      </c>
      <c r="G53" s="483"/>
      <c r="H53" s="483"/>
      <c r="I53" s="482"/>
      <c r="J53" s="484"/>
      <c r="K53" s="484"/>
      <c r="L53" s="484"/>
      <c r="M53" s="485">
        <f t="shared" si="0"/>
        <v>7000000</v>
      </c>
    </row>
    <row r="54" spans="1:13" s="240" customFormat="1" ht="34.5" customHeight="1">
      <c r="A54" s="455" t="s">
        <v>140</v>
      </c>
      <c r="B54" s="471" t="s">
        <v>1004</v>
      </c>
      <c r="C54" s="466"/>
      <c r="D54" s="481"/>
      <c r="E54" s="482"/>
      <c r="F54" s="482">
        <v>4678802</v>
      </c>
      <c r="G54" s="483"/>
      <c r="H54" s="483"/>
      <c r="I54" s="482"/>
      <c r="J54" s="484"/>
      <c r="K54" s="484"/>
      <c r="L54" s="484"/>
      <c r="M54" s="485">
        <f t="shared" si="0"/>
        <v>4678802</v>
      </c>
    </row>
    <row r="55" spans="1:13" ht="36" customHeight="1">
      <c r="A55" s="804" t="s">
        <v>143</v>
      </c>
      <c r="B55" s="811" t="s">
        <v>821</v>
      </c>
      <c r="C55" s="806" t="s">
        <v>786</v>
      </c>
      <c r="D55" s="841"/>
      <c r="E55" s="841"/>
      <c r="F55" s="841"/>
      <c r="G55" s="841"/>
      <c r="H55" s="841"/>
      <c r="I55" s="841"/>
      <c r="J55" s="841">
        <v>21021256</v>
      </c>
      <c r="K55" s="841"/>
      <c r="L55" s="841"/>
      <c r="M55" s="845">
        <f t="shared" si="0"/>
        <v>21021256</v>
      </c>
    </row>
    <row r="56" spans="1:13" s="240" customFormat="1" ht="34.5" customHeight="1">
      <c r="A56" s="455" t="s">
        <v>146</v>
      </c>
      <c r="B56" s="471" t="s">
        <v>857</v>
      </c>
      <c r="C56" s="466"/>
      <c r="D56" s="481"/>
      <c r="E56" s="482"/>
      <c r="F56" s="482"/>
      <c r="G56" s="483"/>
      <c r="H56" s="483"/>
      <c r="I56" s="482"/>
      <c r="J56" s="485">
        <v>60618850</v>
      </c>
      <c r="K56" s="484"/>
      <c r="L56" s="484"/>
      <c r="M56" s="485">
        <f t="shared" si="0"/>
        <v>60618850</v>
      </c>
    </row>
    <row r="57" spans="1:13" s="240" customFormat="1" ht="34.5" customHeight="1">
      <c r="A57" s="455" t="s">
        <v>149</v>
      </c>
      <c r="B57" s="471" t="s">
        <v>1004</v>
      </c>
      <c r="C57" s="466"/>
      <c r="D57" s="481"/>
      <c r="E57" s="482"/>
      <c r="F57" s="482"/>
      <c r="G57" s="483"/>
      <c r="H57" s="483"/>
      <c r="I57" s="482"/>
      <c r="J57" s="484">
        <v>1035050</v>
      </c>
      <c r="K57" s="484"/>
      <c r="L57" s="484"/>
      <c r="M57" s="485">
        <f t="shared" si="0"/>
        <v>1035050</v>
      </c>
    </row>
    <row r="58" spans="1:13" ht="34.5" customHeight="1">
      <c r="A58" s="804" t="s">
        <v>152</v>
      </c>
      <c r="B58" s="805" t="s">
        <v>942</v>
      </c>
      <c r="C58" s="806" t="s">
        <v>871</v>
      </c>
      <c r="D58" s="841"/>
      <c r="E58" s="842"/>
      <c r="F58" s="842"/>
      <c r="G58" s="843"/>
      <c r="H58" s="843"/>
      <c r="I58" s="842"/>
      <c r="J58" s="844"/>
      <c r="K58" s="844"/>
      <c r="L58" s="844"/>
      <c r="M58" s="845">
        <f t="shared" si="0"/>
        <v>0</v>
      </c>
    </row>
    <row r="59" spans="1:13" s="240" customFormat="1" ht="34.5" customHeight="1">
      <c r="A59" s="455" t="s">
        <v>155</v>
      </c>
      <c r="B59" s="471" t="s">
        <v>857</v>
      </c>
      <c r="C59" s="466"/>
      <c r="D59" s="481"/>
      <c r="E59" s="482"/>
      <c r="F59" s="482">
        <v>494293598</v>
      </c>
      <c r="G59" s="483"/>
      <c r="H59" s="483">
        <v>5150500</v>
      </c>
      <c r="I59" s="482"/>
      <c r="J59" s="484"/>
      <c r="K59" s="484"/>
      <c r="L59" s="484"/>
      <c r="M59" s="485">
        <f t="shared" si="0"/>
        <v>499444098</v>
      </c>
    </row>
    <row r="60" spans="1:13" s="240" customFormat="1" ht="34.5" customHeight="1">
      <c r="A60" s="455" t="s">
        <v>158</v>
      </c>
      <c r="B60" s="471" t="s">
        <v>1004</v>
      </c>
      <c r="C60" s="466"/>
      <c r="D60" s="481"/>
      <c r="E60" s="482"/>
      <c r="F60" s="482">
        <v>0</v>
      </c>
      <c r="G60" s="483"/>
      <c r="H60" s="483">
        <v>0</v>
      </c>
      <c r="I60" s="482"/>
      <c r="J60" s="484"/>
      <c r="K60" s="484"/>
      <c r="L60" s="484"/>
      <c r="M60" s="485">
        <f t="shared" si="0"/>
        <v>0</v>
      </c>
    </row>
    <row r="61" spans="1:13" ht="36" customHeight="1">
      <c r="A61" s="804" t="s">
        <v>161</v>
      </c>
      <c r="B61" s="811" t="s">
        <v>822</v>
      </c>
      <c r="C61" s="806" t="s">
        <v>787</v>
      </c>
      <c r="D61" s="841"/>
      <c r="E61" s="841"/>
      <c r="F61" s="841">
        <v>1905000</v>
      </c>
      <c r="G61" s="841"/>
      <c r="H61" s="841"/>
      <c r="I61" s="841"/>
      <c r="J61" s="841">
        <v>8538286</v>
      </c>
      <c r="K61" s="841"/>
      <c r="L61" s="841"/>
      <c r="M61" s="845">
        <f t="shared" si="0"/>
        <v>10443286</v>
      </c>
    </row>
    <row r="62" spans="1:13" s="240" customFormat="1" ht="34.5" customHeight="1">
      <c r="A62" s="455" t="s">
        <v>164</v>
      </c>
      <c r="B62" s="471" t="s">
        <v>857</v>
      </c>
      <c r="C62" s="466"/>
      <c r="D62" s="481">
        <v>300000</v>
      </c>
      <c r="E62" s="482">
        <v>-59400</v>
      </c>
      <c r="F62" s="482">
        <v>1500000</v>
      </c>
      <c r="G62" s="483"/>
      <c r="H62" s="483"/>
      <c r="I62" s="482"/>
      <c r="J62" s="485">
        <v>32064972</v>
      </c>
      <c r="K62" s="484"/>
      <c r="L62" s="484"/>
      <c r="M62" s="485">
        <f t="shared" si="0"/>
        <v>33805572</v>
      </c>
    </row>
    <row r="63" spans="1:13" s="240" customFormat="1" ht="34.5" customHeight="1">
      <c r="A63" s="455" t="s">
        <v>167</v>
      </c>
      <c r="B63" s="471" t="s">
        <v>1004</v>
      </c>
      <c r="C63" s="466"/>
      <c r="D63" s="481">
        <v>300000</v>
      </c>
      <c r="E63" s="482">
        <v>59400</v>
      </c>
      <c r="F63" s="482">
        <v>0</v>
      </c>
      <c r="G63" s="483"/>
      <c r="H63" s="483"/>
      <c r="I63" s="482"/>
      <c r="J63" s="484">
        <v>12694034</v>
      </c>
      <c r="K63" s="484"/>
      <c r="L63" s="484"/>
      <c r="M63" s="485">
        <f>SUM(D63:L63)</f>
        <v>13053434</v>
      </c>
    </row>
    <row r="64" spans="1:13" ht="36" customHeight="1">
      <c r="A64" s="804" t="s">
        <v>170</v>
      </c>
      <c r="B64" s="811" t="s">
        <v>823</v>
      </c>
      <c r="C64" s="806" t="s">
        <v>788</v>
      </c>
      <c r="D64" s="841"/>
      <c r="E64" s="841"/>
      <c r="F64" s="841">
        <v>38336500</v>
      </c>
      <c r="G64" s="841"/>
      <c r="H64" s="841"/>
      <c r="I64" s="841">
        <v>3000000</v>
      </c>
      <c r="J64" s="841"/>
      <c r="K64" s="841"/>
      <c r="L64" s="841"/>
      <c r="M64" s="845">
        <f t="shared" si="0"/>
        <v>41336500</v>
      </c>
    </row>
    <row r="65" spans="1:13" s="240" customFormat="1" ht="34.5" customHeight="1">
      <c r="A65" s="455" t="s">
        <v>173</v>
      </c>
      <c r="B65" s="471" t="s">
        <v>857</v>
      </c>
      <c r="C65" s="466"/>
      <c r="D65" s="481"/>
      <c r="E65" s="482"/>
      <c r="F65" s="482">
        <v>38304100</v>
      </c>
      <c r="G65" s="483"/>
      <c r="H65" s="483"/>
      <c r="I65" s="482">
        <v>3032400</v>
      </c>
      <c r="J65" s="484"/>
      <c r="K65" s="484"/>
      <c r="L65" s="484"/>
      <c r="M65" s="485">
        <f t="shared" si="0"/>
        <v>41336500</v>
      </c>
    </row>
    <row r="66" spans="1:13" s="240" customFormat="1" ht="34.5" customHeight="1">
      <c r="A66" s="455" t="s">
        <v>176</v>
      </c>
      <c r="B66" s="471" t="s">
        <v>1004</v>
      </c>
      <c r="C66" s="466"/>
      <c r="D66" s="481"/>
      <c r="E66" s="482"/>
      <c r="F66" s="482">
        <v>23553563</v>
      </c>
      <c r="G66" s="483"/>
      <c r="H66" s="483"/>
      <c r="I66" s="482">
        <v>152400</v>
      </c>
      <c r="J66" s="484"/>
      <c r="K66" s="484"/>
      <c r="L66" s="484"/>
      <c r="M66" s="485">
        <f t="shared" si="0"/>
        <v>23705963</v>
      </c>
    </row>
    <row r="67" spans="1:13" ht="36" customHeight="1">
      <c r="A67" s="804" t="s">
        <v>179</v>
      </c>
      <c r="B67" s="811" t="s">
        <v>826</v>
      </c>
      <c r="C67" s="806" t="s">
        <v>825</v>
      </c>
      <c r="D67" s="841"/>
      <c r="E67" s="841"/>
      <c r="F67" s="841"/>
      <c r="G67" s="841"/>
      <c r="H67" s="841">
        <v>22337910</v>
      </c>
      <c r="I67" s="841"/>
      <c r="J67" s="841"/>
      <c r="K67" s="841"/>
      <c r="L67" s="841"/>
      <c r="M67" s="845">
        <f t="shared" si="0"/>
        <v>22337910</v>
      </c>
    </row>
    <row r="68" spans="1:13" s="240" customFormat="1" ht="34.5" customHeight="1">
      <c r="A68" s="455" t="s">
        <v>182</v>
      </c>
      <c r="B68" s="471" t="s">
        <v>857</v>
      </c>
      <c r="C68" s="466"/>
      <c r="D68" s="481"/>
      <c r="E68" s="482"/>
      <c r="F68" s="482"/>
      <c r="G68" s="483"/>
      <c r="H68" s="483">
        <v>22337910</v>
      </c>
      <c r="I68" s="482"/>
      <c r="J68" s="484"/>
      <c r="K68" s="484"/>
      <c r="L68" s="484"/>
      <c r="M68" s="485">
        <f t="shared" si="0"/>
        <v>22337910</v>
      </c>
    </row>
    <row r="69" spans="1:13" s="240" customFormat="1" ht="34.5" customHeight="1">
      <c r="A69" s="455" t="s">
        <v>185</v>
      </c>
      <c r="B69" s="471" t="s">
        <v>1004</v>
      </c>
      <c r="C69" s="466"/>
      <c r="D69" s="481"/>
      <c r="E69" s="482"/>
      <c r="F69" s="482"/>
      <c r="G69" s="483"/>
      <c r="H69" s="483">
        <v>9848557</v>
      </c>
      <c r="I69" s="482"/>
      <c r="J69" s="484"/>
      <c r="K69" s="484"/>
      <c r="L69" s="484"/>
      <c r="M69" s="485">
        <f t="shared" si="0"/>
        <v>9848557</v>
      </c>
    </row>
    <row r="70" spans="1:13" ht="38.25" customHeight="1">
      <c r="A70" s="804" t="s">
        <v>188</v>
      </c>
      <c r="B70" s="811" t="s">
        <v>824</v>
      </c>
      <c r="C70" s="806" t="s">
        <v>789</v>
      </c>
      <c r="D70" s="841"/>
      <c r="E70" s="841"/>
      <c r="F70" s="841">
        <v>27133429</v>
      </c>
      <c r="G70" s="841"/>
      <c r="H70" s="841">
        <f>108949113+23931518+11944525+26162980</f>
        <v>170988136</v>
      </c>
      <c r="I70" s="841"/>
      <c r="J70" s="841"/>
      <c r="K70" s="841"/>
      <c r="L70" s="841"/>
      <c r="M70" s="845">
        <f t="shared" si="0"/>
        <v>198121565</v>
      </c>
    </row>
    <row r="71" spans="1:13" s="240" customFormat="1" ht="34.5" customHeight="1">
      <c r="A71" s="455" t="s">
        <v>191</v>
      </c>
      <c r="B71" s="471" t="s">
        <v>857</v>
      </c>
      <c r="C71" s="466"/>
      <c r="D71" s="481">
        <v>150000</v>
      </c>
      <c r="E71" s="482"/>
      <c r="F71" s="482">
        <v>53791995</v>
      </c>
      <c r="G71" s="482"/>
      <c r="H71" s="482">
        <v>171065306</v>
      </c>
      <c r="I71" s="482">
        <v>317482000</v>
      </c>
      <c r="J71" s="484"/>
      <c r="K71" s="484"/>
      <c r="L71" s="484"/>
      <c r="M71" s="485">
        <f t="shared" si="0"/>
        <v>542489301</v>
      </c>
    </row>
    <row r="72" spans="1:13" s="240" customFormat="1" ht="34.5" customHeight="1">
      <c r="A72" s="455" t="s">
        <v>194</v>
      </c>
      <c r="B72" s="471" t="s">
        <v>1004</v>
      </c>
      <c r="C72" s="466"/>
      <c r="D72" s="481">
        <v>90193</v>
      </c>
      <c r="E72" s="482"/>
      <c r="F72" s="482">
        <v>42978942</v>
      </c>
      <c r="G72" s="483"/>
      <c r="H72" s="483">
        <v>133582584</v>
      </c>
      <c r="I72" s="482">
        <v>285750</v>
      </c>
      <c r="J72" s="484"/>
      <c r="K72" s="484"/>
      <c r="L72" s="484"/>
      <c r="M72" s="485">
        <f>SUM(D72:L72)</f>
        <v>176937469</v>
      </c>
    </row>
    <row r="73" spans="1:13" ht="36" customHeight="1">
      <c r="A73" s="804" t="s">
        <v>197</v>
      </c>
      <c r="B73" s="811" t="s">
        <v>767</v>
      </c>
      <c r="C73" s="806" t="s">
        <v>766</v>
      </c>
      <c r="D73" s="841"/>
      <c r="E73" s="841"/>
      <c r="F73" s="841">
        <v>207010</v>
      </c>
      <c r="G73" s="841"/>
      <c r="H73" s="841">
        <v>8348400</v>
      </c>
      <c r="I73" s="841"/>
      <c r="J73" s="841"/>
      <c r="K73" s="841"/>
      <c r="L73" s="841"/>
      <c r="M73" s="845">
        <f t="shared" si="0"/>
        <v>8555410</v>
      </c>
    </row>
    <row r="74" spans="1:13" s="240" customFormat="1" ht="34.5" customHeight="1">
      <c r="A74" s="455" t="s">
        <v>200</v>
      </c>
      <c r="B74" s="471" t="s">
        <v>857</v>
      </c>
      <c r="C74" s="466"/>
      <c r="D74" s="481">
        <v>499958</v>
      </c>
      <c r="E74" s="482"/>
      <c r="F74" s="482">
        <v>303444</v>
      </c>
      <c r="G74" s="483"/>
      <c r="H74" s="483">
        <v>15097520</v>
      </c>
      <c r="I74" s="482"/>
      <c r="J74" s="484"/>
      <c r="K74" s="484"/>
      <c r="L74" s="484"/>
      <c r="M74" s="485">
        <f t="shared" si="0"/>
        <v>15900922</v>
      </c>
    </row>
    <row r="75" spans="1:13" s="240" customFormat="1" ht="34.5" customHeight="1">
      <c r="A75" s="455" t="s">
        <v>732</v>
      </c>
      <c r="B75" s="471" t="s">
        <v>1004</v>
      </c>
      <c r="C75" s="466"/>
      <c r="D75" s="481"/>
      <c r="E75" s="482"/>
      <c r="F75" s="482">
        <v>181941</v>
      </c>
      <c r="G75" s="483"/>
      <c r="H75" s="483">
        <v>5894900</v>
      </c>
      <c r="I75" s="482"/>
      <c r="J75" s="484"/>
      <c r="K75" s="484"/>
      <c r="L75" s="484"/>
      <c r="M75" s="485">
        <f>SUM(D75:L75)</f>
        <v>6076841</v>
      </c>
    </row>
    <row r="76" spans="1:13" ht="36" customHeight="1">
      <c r="A76" s="804" t="s">
        <v>916</v>
      </c>
      <c r="B76" s="811" t="s">
        <v>827</v>
      </c>
      <c r="C76" s="806" t="s">
        <v>790</v>
      </c>
      <c r="D76" s="841"/>
      <c r="E76" s="841"/>
      <c r="F76" s="841">
        <v>14235000</v>
      </c>
      <c r="G76" s="841"/>
      <c r="H76" s="841"/>
      <c r="I76" s="841"/>
      <c r="J76" s="841"/>
      <c r="K76" s="841"/>
      <c r="L76" s="841"/>
      <c r="M76" s="845">
        <f t="shared" si="0"/>
        <v>14235000</v>
      </c>
    </row>
    <row r="77" spans="1:13" s="240" customFormat="1" ht="34.5" customHeight="1">
      <c r="A77" s="455" t="s">
        <v>917</v>
      </c>
      <c r="B77" s="471" t="s">
        <v>857</v>
      </c>
      <c r="C77" s="466"/>
      <c r="D77" s="481"/>
      <c r="E77" s="482"/>
      <c r="F77" s="482">
        <v>14235000</v>
      </c>
      <c r="G77" s="483"/>
      <c r="H77" s="483"/>
      <c r="I77" s="482"/>
      <c r="J77" s="484"/>
      <c r="K77" s="484"/>
      <c r="L77" s="484"/>
      <c r="M77" s="485">
        <f t="shared" si="0"/>
        <v>14235000</v>
      </c>
    </row>
    <row r="78" spans="1:13" s="240" customFormat="1" ht="34.5" customHeight="1">
      <c r="A78" s="455" t="s">
        <v>918</v>
      </c>
      <c r="B78" s="471" t="s">
        <v>1004</v>
      </c>
      <c r="C78" s="466"/>
      <c r="D78" s="481"/>
      <c r="E78" s="482"/>
      <c r="F78" s="482">
        <v>9619001</v>
      </c>
      <c r="G78" s="483"/>
      <c r="H78" s="483"/>
      <c r="I78" s="482"/>
      <c r="J78" s="484"/>
      <c r="K78" s="484"/>
      <c r="L78" s="484"/>
      <c r="M78" s="485">
        <f>SUM(D78:L78)</f>
        <v>9619001</v>
      </c>
    </row>
    <row r="79" spans="1:13" ht="51.75" customHeight="1">
      <c r="A79" s="804" t="s">
        <v>919</v>
      </c>
      <c r="B79" s="811" t="s">
        <v>828</v>
      </c>
      <c r="C79" s="806" t="s">
        <v>791</v>
      </c>
      <c r="D79" s="841"/>
      <c r="E79" s="841"/>
      <c r="F79" s="841"/>
      <c r="G79" s="841"/>
      <c r="H79" s="841">
        <v>25800000</v>
      </c>
      <c r="I79" s="841"/>
      <c r="J79" s="841"/>
      <c r="K79" s="841"/>
      <c r="L79" s="841"/>
      <c r="M79" s="845">
        <f t="shared" si="0"/>
        <v>25800000</v>
      </c>
    </row>
    <row r="80" spans="1:13" s="240" customFormat="1" ht="34.5" customHeight="1">
      <c r="A80" s="455" t="s">
        <v>920</v>
      </c>
      <c r="B80" s="471" t="s">
        <v>857</v>
      </c>
      <c r="C80" s="466"/>
      <c r="D80" s="481"/>
      <c r="E80" s="482"/>
      <c r="F80" s="482"/>
      <c r="G80" s="483"/>
      <c r="H80" s="483">
        <v>50800000</v>
      </c>
      <c r="I80" s="482"/>
      <c r="J80" s="484"/>
      <c r="K80" s="484"/>
      <c r="L80" s="484"/>
      <c r="M80" s="485">
        <f t="shared" si="0"/>
        <v>50800000</v>
      </c>
    </row>
    <row r="81" spans="1:13" s="240" customFormat="1" ht="34.5" customHeight="1">
      <c r="A81" s="455" t="s">
        <v>921</v>
      </c>
      <c r="B81" s="471" t="s">
        <v>1004</v>
      </c>
      <c r="C81" s="466"/>
      <c r="D81" s="481"/>
      <c r="E81" s="482"/>
      <c r="F81" s="482"/>
      <c r="G81" s="483"/>
      <c r="H81" s="483">
        <v>40550000</v>
      </c>
      <c r="I81" s="482"/>
      <c r="J81" s="484"/>
      <c r="K81" s="484"/>
      <c r="L81" s="484"/>
      <c r="M81" s="485">
        <f t="shared" si="0"/>
        <v>40550000</v>
      </c>
    </row>
    <row r="82" spans="1:13" ht="25.5" customHeight="1">
      <c r="A82" s="804" t="s">
        <v>922</v>
      </c>
      <c r="B82" s="811" t="s">
        <v>829</v>
      </c>
      <c r="C82" s="806" t="s">
        <v>792</v>
      </c>
      <c r="D82" s="841"/>
      <c r="E82" s="841"/>
      <c r="F82" s="841"/>
      <c r="G82" s="841"/>
      <c r="H82" s="841">
        <v>15000000</v>
      </c>
      <c r="I82" s="841"/>
      <c r="J82" s="841"/>
      <c r="K82" s="841"/>
      <c r="L82" s="841"/>
      <c r="M82" s="845">
        <f t="shared" si="0"/>
        <v>15000000</v>
      </c>
    </row>
    <row r="83" spans="1:13" s="240" customFormat="1" ht="34.5" customHeight="1">
      <c r="A83" s="455" t="s">
        <v>923</v>
      </c>
      <c r="B83" s="471" t="s">
        <v>857</v>
      </c>
      <c r="C83" s="466"/>
      <c r="D83" s="481"/>
      <c r="E83" s="482"/>
      <c r="F83" s="482">
        <v>12700</v>
      </c>
      <c r="G83" s="483"/>
      <c r="H83" s="483">
        <v>17307931</v>
      </c>
      <c r="I83" s="482"/>
      <c r="J83" s="484"/>
      <c r="K83" s="484">
        <v>8000000</v>
      </c>
      <c r="L83" s="484"/>
      <c r="M83" s="485">
        <f t="shared" si="0"/>
        <v>25320631</v>
      </c>
    </row>
    <row r="84" spans="1:13" s="240" customFormat="1" ht="34.5" customHeight="1">
      <c r="A84" s="455" t="s">
        <v>924</v>
      </c>
      <c r="B84" s="471" t="s">
        <v>1004</v>
      </c>
      <c r="C84" s="466"/>
      <c r="D84" s="481"/>
      <c r="E84" s="482"/>
      <c r="F84" s="482">
        <v>8360</v>
      </c>
      <c r="G84" s="483"/>
      <c r="H84" s="483">
        <v>17120631</v>
      </c>
      <c r="I84" s="482"/>
      <c r="J84" s="484"/>
      <c r="K84" s="484">
        <v>8000000</v>
      </c>
      <c r="L84" s="484"/>
      <c r="M84" s="485">
        <f t="shared" si="0"/>
        <v>25128991</v>
      </c>
    </row>
    <row r="85" spans="1:13" ht="25.5" customHeight="1">
      <c r="A85" s="804" t="s">
        <v>925</v>
      </c>
      <c r="B85" s="811" t="s">
        <v>830</v>
      </c>
      <c r="C85" s="806" t="s">
        <v>793</v>
      </c>
      <c r="D85" s="841"/>
      <c r="E85" s="841"/>
      <c r="F85" s="841"/>
      <c r="G85" s="841"/>
      <c r="H85" s="841">
        <v>24575231</v>
      </c>
      <c r="I85" s="841"/>
      <c r="J85" s="841">
        <v>25500000</v>
      </c>
      <c r="K85" s="841"/>
      <c r="L85" s="841"/>
      <c r="M85" s="845">
        <f t="shared" si="0"/>
        <v>50075231</v>
      </c>
    </row>
    <row r="86" spans="1:13" s="240" customFormat="1" ht="34.5" customHeight="1">
      <c r="A86" s="455" t="s">
        <v>926</v>
      </c>
      <c r="B86" s="471" t="s">
        <v>857</v>
      </c>
      <c r="C86" s="466"/>
      <c r="D86" s="481"/>
      <c r="E86" s="482"/>
      <c r="F86" s="482"/>
      <c r="G86" s="483"/>
      <c r="H86" s="483">
        <v>22075231</v>
      </c>
      <c r="I86" s="483">
        <v>2300000</v>
      </c>
      <c r="J86" s="483">
        <v>500000</v>
      </c>
      <c r="K86" s="483">
        <f t="shared" ref="K86" si="3">K87-K85</f>
        <v>0</v>
      </c>
      <c r="L86" s="483"/>
      <c r="M86" s="485">
        <f t="shared" si="0"/>
        <v>24875231</v>
      </c>
    </row>
    <row r="87" spans="1:13" s="240" customFormat="1" ht="34.5" customHeight="1">
      <c r="A87" s="455" t="s">
        <v>927</v>
      </c>
      <c r="B87" s="471" t="s">
        <v>1004</v>
      </c>
      <c r="C87" s="466"/>
      <c r="D87" s="481"/>
      <c r="E87" s="482"/>
      <c r="F87" s="482"/>
      <c r="G87" s="483"/>
      <c r="H87" s="483">
        <v>11565259</v>
      </c>
      <c r="I87" s="482">
        <v>2159000</v>
      </c>
      <c r="J87" s="484">
        <v>0</v>
      </c>
      <c r="K87" s="484"/>
      <c r="L87" s="484"/>
      <c r="M87" s="485">
        <f>SUM(D87:L87)</f>
        <v>13724259</v>
      </c>
    </row>
    <row r="88" spans="1:13" ht="25.5" customHeight="1">
      <c r="A88" s="848" t="s">
        <v>928</v>
      </c>
      <c r="B88" s="811" t="s">
        <v>831</v>
      </c>
      <c r="C88" s="806" t="s">
        <v>794</v>
      </c>
      <c r="D88" s="841"/>
      <c r="E88" s="841"/>
      <c r="F88" s="841">
        <v>320000</v>
      </c>
      <c r="G88" s="841"/>
      <c r="H88" s="841">
        <v>0</v>
      </c>
      <c r="I88" s="841"/>
      <c r="J88" s="841"/>
      <c r="K88" s="841"/>
      <c r="L88" s="841"/>
      <c r="M88" s="845">
        <f t="shared" si="0"/>
        <v>320000</v>
      </c>
    </row>
    <row r="89" spans="1:13" s="240" customFormat="1" ht="34.5" customHeight="1">
      <c r="A89" s="455" t="s">
        <v>929</v>
      </c>
      <c r="B89" s="471" t="s">
        <v>857</v>
      </c>
      <c r="C89" s="466"/>
      <c r="D89" s="481"/>
      <c r="E89" s="482"/>
      <c r="F89" s="482"/>
      <c r="G89" s="483"/>
      <c r="H89" s="483">
        <v>320000</v>
      </c>
      <c r="I89" s="482"/>
      <c r="J89" s="484"/>
      <c r="K89" s="484"/>
      <c r="L89" s="484"/>
      <c r="M89" s="485">
        <f t="shared" si="0"/>
        <v>320000</v>
      </c>
    </row>
    <row r="90" spans="1:13" s="240" customFormat="1" ht="34.5" customHeight="1">
      <c r="A90" s="455" t="s">
        <v>930</v>
      </c>
      <c r="B90" s="471" t="s">
        <v>1004</v>
      </c>
      <c r="C90" s="466"/>
      <c r="D90" s="481"/>
      <c r="E90" s="482"/>
      <c r="F90" s="482">
        <v>0</v>
      </c>
      <c r="G90" s="483"/>
      <c r="H90" s="483">
        <v>302000</v>
      </c>
      <c r="I90" s="482"/>
      <c r="J90" s="484"/>
      <c r="K90" s="484"/>
      <c r="L90" s="484"/>
      <c r="M90" s="485">
        <f>SUM(D90:L90)</f>
        <v>302000</v>
      </c>
    </row>
    <row r="91" spans="1:13" ht="51" customHeight="1">
      <c r="A91" s="804" t="s">
        <v>931</v>
      </c>
      <c r="B91" s="811" t="s">
        <v>832</v>
      </c>
      <c r="C91" s="806" t="s">
        <v>833</v>
      </c>
      <c r="D91" s="841"/>
      <c r="E91" s="841"/>
      <c r="F91" s="841">
        <v>2000000</v>
      </c>
      <c r="G91" s="841"/>
      <c r="H91" s="841"/>
      <c r="I91" s="841"/>
      <c r="J91" s="841"/>
      <c r="K91" s="841"/>
      <c r="L91" s="841"/>
      <c r="M91" s="845">
        <f t="shared" si="0"/>
        <v>2000000</v>
      </c>
    </row>
    <row r="92" spans="1:13" s="240" customFormat="1" ht="34.5" customHeight="1">
      <c r="A92" s="455" t="s">
        <v>932</v>
      </c>
      <c r="B92" s="471" t="s">
        <v>857</v>
      </c>
      <c r="C92" s="466"/>
      <c r="D92" s="481">
        <v>150000</v>
      </c>
      <c r="E92" s="482">
        <v>43200</v>
      </c>
      <c r="F92" s="482">
        <v>2000000</v>
      </c>
      <c r="G92" s="483"/>
      <c r="H92" s="483">
        <v>11800000</v>
      </c>
      <c r="I92" s="482"/>
      <c r="J92" s="484"/>
      <c r="K92" s="484"/>
      <c r="L92" s="484"/>
      <c r="M92" s="485">
        <f t="shared" si="0"/>
        <v>13993200</v>
      </c>
    </row>
    <row r="93" spans="1:13" s="240" customFormat="1" ht="34.5" customHeight="1">
      <c r="A93" s="455" t="s">
        <v>933</v>
      </c>
      <c r="B93" s="471" t="s">
        <v>1004</v>
      </c>
      <c r="C93" s="466"/>
      <c r="D93" s="481">
        <v>150000</v>
      </c>
      <c r="E93" s="482">
        <v>43200</v>
      </c>
      <c r="F93" s="482">
        <v>1845671</v>
      </c>
      <c r="G93" s="483"/>
      <c r="H93" s="483">
        <v>6579000</v>
      </c>
      <c r="I93" s="482"/>
      <c r="J93" s="484"/>
      <c r="K93" s="484"/>
      <c r="L93" s="484"/>
      <c r="M93" s="485">
        <f>SUM(D93:L93)</f>
        <v>8617871</v>
      </c>
    </row>
    <row r="94" spans="1:13" ht="54.75" customHeight="1">
      <c r="A94" s="848" t="s">
        <v>934</v>
      </c>
      <c r="B94" s="811" t="s">
        <v>834</v>
      </c>
      <c r="C94" s="806" t="s">
        <v>795</v>
      </c>
      <c r="D94" s="841"/>
      <c r="E94" s="841"/>
      <c r="F94" s="841">
        <v>406400</v>
      </c>
      <c r="G94" s="841"/>
      <c r="H94" s="841">
        <v>83700000</v>
      </c>
      <c r="I94" s="841">
        <v>4000000</v>
      </c>
      <c r="J94" s="841"/>
      <c r="K94" s="841"/>
      <c r="L94" s="841"/>
      <c r="M94" s="845">
        <f t="shared" si="0"/>
        <v>88106400</v>
      </c>
    </row>
    <row r="95" spans="1:13" s="240" customFormat="1" ht="34.5" customHeight="1">
      <c r="A95" s="455" t="s">
        <v>935</v>
      </c>
      <c r="B95" s="471" t="s">
        <v>857</v>
      </c>
      <c r="C95" s="466"/>
      <c r="D95" s="481"/>
      <c r="E95" s="482"/>
      <c r="F95" s="482">
        <v>6595809</v>
      </c>
      <c r="G95" s="483"/>
      <c r="H95" s="483">
        <v>83500000</v>
      </c>
      <c r="I95" s="482">
        <v>4000000</v>
      </c>
      <c r="J95" s="484"/>
      <c r="K95" s="484"/>
      <c r="L95" s="484"/>
      <c r="M95" s="485">
        <f t="shared" si="0"/>
        <v>94095809</v>
      </c>
    </row>
    <row r="96" spans="1:13" s="240" customFormat="1" ht="34.5" customHeight="1">
      <c r="A96" s="455" t="s">
        <v>936</v>
      </c>
      <c r="B96" s="471" t="s">
        <v>1004</v>
      </c>
      <c r="C96" s="466"/>
      <c r="D96" s="481"/>
      <c r="E96" s="482"/>
      <c r="F96" s="482">
        <v>6459542</v>
      </c>
      <c r="G96" s="483"/>
      <c r="H96" s="483">
        <v>59830000</v>
      </c>
      <c r="I96" s="482">
        <v>0</v>
      </c>
      <c r="J96" s="484"/>
      <c r="K96" s="484"/>
      <c r="L96" s="484"/>
      <c r="M96" s="485">
        <f>SUM(D96:L96)</f>
        <v>66289542</v>
      </c>
    </row>
    <row r="97" spans="1:13" ht="39.75" customHeight="1">
      <c r="A97" s="804" t="s">
        <v>937</v>
      </c>
      <c r="B97" s="811" t="s">
        <v>835</v>
      </c>
      <c r="C97" s="806" t="s">
        <v>796</v>
      </c>
      <c r="D97" s="841"/>
      <c r="E97" s="841"/>
      <c r="F97" s="841"/>
      <c r="G97" s="841"/>
      <c r="H97" s="841">
        <v>10769000</v>
      </c>
      <c r="I97" s="841"/>
      <c r="J97" s="841"/>
      <c r="K97" s="841"/>
      <c r="L97" s="841"/>
      <c r="M97" s="845">
        <f t="shared" si="0"/>
        <v>10769000</v>
      </c>
    </row>
    <row r="98" spans="1:13" s="240" customFormat="1" ht="34.5" customHeight="1">
      <c r="A98" s="455" t="s">
        <v>938</v>
      </c>
      <c r="B98" s="471" t="s">
        <v>857</v>
      </c>
      <c r="C98" s="466"/>
      <c r="D98" s="481"/>
      <c r="E98" s="482"/>
      <c r="F98" s="482"/>
      <c r="G98" s="483"/>
      <c r="H98" s="483">
        <v>10769000</v>
      </c>
      <c r="I98" s="482"/>
      <c r="J98" s="484"/>
      <c r="K98" s="484"/>
      <c r="L98" s="484"/>
      <c r="M98" s="485">
        <f t="shared" si="0"/>
        <v>10769000</v>
      </c>
    </row>
    <row r="99" spans="1:13" s="240" customFormat="1" ht="34.5" customHeight="1">
      <c r="A99" s="455" t="s">
        <v>939</v>
      </c>
      <c r="B99" s="471" t="s">
        <v>1004</v>
      </c>
      <c r="C99" s="466"/>
      <c r="D99" s="481"/>
      <c r="E99" s="482"/>
      <c r="F99" s="482"/>
      <c r="G99" s="483"/>
      <c r="H99" s="483">
        <v>6279000</v>
      </c>
      <c r="I99" s="482"/>
      <c r="J99" s="484"/>
      <c r="K99" s="484"/>
      <c r="L99" s="484"/>
      <c r="M99" s="485">
        <f t="shared" si="0"/>
        <v>6279000</v>
      </c>
    </row>
    <row r="100" spans="1:13" ht="25.5" customHeight="1">
      <c r="A100" s="804" t="s">
        <v>940</v>
      </c>
      <c r="B100" s="811" t="s">
        <v>836</v>
      </c>
      <c r="C100" s="806" t="s">
        <v>797</v>
      </c>
      <c r="D100" s="841"/>
      <c r="E100" s="841"/>
      <c r="F100" s="841"/>
      <c r="G100" s="841"/>
      <c r="H100" s="841">
        <v>5450000</v>
      </c>
      <c r="I100" s="841"/>
      <c r="J100" s="841"/>
      <c r="K100" s="841"/>
      <c r="L100" s="841"/>
      <c r="M100" s="845">
        <f t="shared" si="0"/>
        <v>5450000</v>
      </c>
    </row>
    <row r="101" spans="1:13" s="240" customFormat="1" ht="34.5" customHeight="1">
      <c r="A101" s="455" t="s">
        <v>943</v>
      </c>
      <c r="B101" s="471" t="s">
        <v>857</v>
      </c>
      <c r="C101" s="466"/>
      <c r="D101" s="481"/>
      <c r="E101" s="482"/>
      <c r="F101" s="482"/>
      <c r="G101" s="483"/>
      <c r="H101" s="483">
        <v>5650000</v>
      </c>
      <c r="I101" s="482"/>
      <c r="J101" s="484"/>
      <c r="K101" s="484"/>
      <c r="L101" s="484"/>
      <c r="M101" s="485">
        <f t="shared" si="0"/>
        <v>5650000</v>
      </c>
    </row>
    <row r="102" spans="1:13" s="240" customFormat="1" ht="34.5" customHeight="1">
      <c r="A102" s="455" t="s">
        <v>944</v>
      </c>
      <c r="B102" s="471" t="s">
        <v>1004</v>
      </c>
      <c r="C102" s="466"/>
      <c r="D102" s="481"/>
      <c r="E102" s="482"/>
      <c r="F102" s="482"/>
      <c r="G102" s="483"/>
      <c r="H102" s="483">
        <v>4550000</v>
      </c>
      <c r="I102" s="482"/>
      <c r="J102" s="484"/>
      <c r="K102" s="484"/>
      <c r="L102" s="484"/>
      <c r="M102" s="485">
        <f t="shared" si="0"/>
        <v>4550000</v>
      </c>
    </row>
    <row r="103" spans="1:13" ht="25.5" customHeight="1">
      <c r="A103" s="804" t="s">
        <v>945</v>
      </c>
      <c r="B103" s="811" t="s">
        <v>837</v>
      </c>
      <c r="C103" s="806" t="s">
        <v>798</v>
      </c>
      <c r="D103" s="841"/>
      <c r="E103" s="841"/>
      <c r="F103" s="841">
        <v>1079500</v>
      </c>
      <c r="G103" s="841"/>
      <c r="H103" s="841"/>
      <c r="I103" s="841"/>
      <c r="J103" s="841"/>
      <c r="K103" s="841"/>
      <c r="L103" s="841"/>
      <c r="M103" s="845">
        <f t="shared" si="0"/>
        <v>1079500</v>
      </c>
    </row>
    <row r="104" spans="1:13" s="240" customFormat="1" ht="34.5" customHeight="1">
      <c r="A104" s="455" t="s">
        <v>946</v>
      </c>
      <c r="B104" s="471" t="s">
        <v>857</v>
      </c>
      <c r="C104" s="466"/>
      <c r="D104" s="481"/>
      <c r="E104" s="482"/>
      <c r="F104" s="482">
        <v>1079500</v>
      </c>
      <c r="G104" s="483"/>
      <c r="H104" s="483"/>
      <c r="I104" s="482"/>
      <c r="J104" s="484"/>
      <c r="K104" s="484"/>
      <c r="L104" s="484"/>
      <c r="M104" s="485">
        <f t="shared" si="0"/>
        <v>1079500</v>
      </c>
    </row>
    <row r="105" spans="1:13" s="240" customFormat="1" ht="34.5" customHeight="1">
      <c r="A105" s="455" t="s">
        <v>947</v>
      </c>
      <c r="B105" s="471" t="s">
        <v>1004</v>
      </c>
      <c r="C105" s="466"/>
      <c r="D105" s="481"/>
      <c r="E105" s="482"/>
      <c r="F105" s="482">
        <v>832204</v>
      </c>
      <c r="G105" s="483"/>
      <c r="H105" s="483"/>
      <c r="I105" s="482"/>
      <c r="J105" s="484"/>
      <c r="K105" s="484"/>
      <c r="L105" s="484"/>
      <c r="M105" s="485">
        <f t="shared" si="0"/>
        <v>832204</v>
      </c>
    </row>
    <row r="106" spans="1:13" ht="43.5" customHeight="1">
      <c r="A106" s="804" t="s">
        <v>948</v>
      </c>
      <c r="B106" s="811" t="s">
        <v>838</v>
      </c>
      <c r="C106" s="806" t="s">
        <v>799</v>
      </c>
      <c r="D106" s="841"/>
      <c r="E106" s="841"/>
      <c r="F106" s="841">
        <v>1334240</v>
      </c>
      <c r="G106" s="841"/>
      <c r="H106" s="841"/>
      <c r="I106" s="841"/>
      <c r="J106" s="841"/>
      <c r="K106" s="841"/>
      <c r="L106" s="841"/>
      <c r="M106" s="845">
        <f t="shared" si="0"/>
        <v>1334240</v>
      </c>
    </row>
    <row r="107" spans="1:13" s="240" customFormat="1" ht="34.5" customHeight="1">
      <c r="A107" s="455" t="s">
        <v>949</v>
      </c>
      <c r="B107" s="471" t="s">
        <v>857</v>
      </c>
      <c r="C107" s="466"/>
      <c r="D107" s="481"/>
      <c r="E107" s="482"/>
      <c r="F107" s="482">
        <v>2727407</v>
      </c>
      <c r="G107" s="483"/>
      <c r="H107" s="483"/>
      <c r="I107" s="482"/>
      <c r="J107" s="484"/>
      <c r="K107" s="484"/>
      <c r="L107" s="484"/>
      <c r="M107" s="485">
        <f t="shared" si="0"/>
        <v>2727407</v>
      </c>
    </row>
    <row r="108" spans="1:13" s="240" customFormat="1" ht="34.5" customHeight="1">
      <c r="A108" s="455" t="s">
        <v>950</v>
      </c>
      <c r="B108" s="471" t="s">
        <v>1004</v>
      </c>
      <c r="C108" s="466"/>
      <c r="D108" s="481"/>
      <c r="E108" s="482"/>
      <c r="F108" s="482">
        <v>3162791</v>
      </c>
      <c r="G108" s="483"/>
      <c r="H108" s="483"/>
      <c r="I108" s="482"/>
      <c r="J108" s="484"/>
      <c r="K108" s="484"/>
      <c r="L108" s="484"/>
      <c r="M108" s="485">
        <f t="shared" si="0"/>
        <v>3162791</v>
      </c>
    </row>
    <row r="109" spans="1:13" ht="53.25" customHeight="1">
      <c r="A109" s="848" t="s">
        <v>951</v>
      </c>
      <c r="B109" s="811" t="s">
        <v>839</v>
      </c>
      <c r="C109" s="806" t="s">
        <v>800</v>
      </c>
      <c r="D109" s="841"/>
      <c r="E109" s="841"/>
      <c r="F109" s="841">
        <v>497840</v>
      </c>
      <c r="G109" s="841"/>
      <c r="H109" s="841"/>
      <c r="I109" s="841"/>
      <c r="J109" s="841"/>
      <c r="K109" s="841"/>
      <c r="L109" s="841"/>
      <c r="M109" s="845">
        <f t="shared" si="0"/>
        <v>497840</v>
      </c>
    </row>
    <row r="110" spans="1:13" s="240" customFormat="1" ht="34.5" customHeight="1">
      <c r="A110" s="455" t="s">
        <v>952</v>
      </c>
      <c r="B110" s="471" t="s">
        <v>857</v>
      </c>
      <c r="C110" s="466"/>
      <c r="D110" s="481"/>
      <c r="E110" s="482"/>
      <c r="F110" s="482">
        <v>757602</v>
      </c>
      <c r="G110" s="483"/>
      <c r="H110" s="483"/>
      <c r="I110" s="482"/>
      <c r="J110" s="484"/>
      <c r="K110" s="484"/>
      <c r="L110" s="484"/>
      <c r="M110" s="485">
        <f t="shared" si="0"/>
        <v>757602</v>
      </c>
    </row>
    <row r="111" spans="1:13" s="240" customFormat="1" ht="34.5" customHeight="1">
      <c r="A111" s="455" t="s">
        <v>953</v>
      </c>
      <c r="B111" s="471" t="s">
        <v>1004</v>
      </c>
      <c r="C111" s="466"/>
      <c r="D111" s="481"/>
      <c r="E111" s="482"/>
      <c r="F111" s="482">
        <v>619395</v>
      </c>
      <c r="G111" s="483"/>
      <c r="H111" s="483"/>
      <c r="I111" s="482"/>
      <c r="J111" s="484"/>
      <c r="K111" s="484"/>
      <c r="L111" s="484"/>
      <c r="M111" s="485">
        <f t="shared" si="0"/>
        <v>619395</v>
      </c>
    </row>
    <row r="112" spans="1:13" ht="40.5" customHeight="1">
      <c r="A112" s="804" t="s">
        <v>954</v>
      </c>
      <c r="B112" s="811" t="s">
        <v>840</v>
      </c>
      <c r="C112" s="806" t="s">
        <v>801</v>
      </c>
      <c r="D112" s="841"/>
      <c r="E112" s="841"/>
      <c r="F112" s="841">
        <v>1191641</v>
      </c>
      <c r="G112" s="841"/>
      <c r="H112" s="841"/>
      <c r="I112" s="841"/>
      <c r="J112" s="841"/>
      <c r="K112" s="841"/>
      <c r="L112" s="841"/>
      <c r="M112" s="845">
        <f t="shared" si="0"/>
        <v>1191641</v>
      </c>
    </row>
    <row r="113" spans="1:13" s="240" customFormat="1" ht="34.5" customHeight="1">
      <c r="A113" s="455" t="s">
        <v>955</v>
      </c>
      <c r="B113" s="471" t="s">
        <v>857</v>
      </c>
      <c r="C113" s="466"/>
      <c r="D113" s="481"/>
      <c r="E113" s="482"/>
      <c r="F113" s="482">
        <v>1995637</v>
      </c>
      <c r="G113" s="483"/>
      <c r="H113" s="483"/>
      <c r="I113" s="482"/>
      <c r="J113" s="484"/>
      <c r="K113" s="484"/>
      <c r="L113" s="484"/>
      <c r="M113" s="485">
        <f t="shared" si="0"/>
        <v>1995637</v>
      </c>
    </row>
    <row r="114" spans="1:13" s="240" customFormat="1" ht="34.5" customHeight="1">
      <c r="A114" s="455" t="s">
        <v>956</v>
      </c>
      <c r="B114" s="471" t="s">
        <v>1004</v>
      </c>
      <c r="C114" s="466"/>
      <c r="D114" s="481"/>
      <c r="E114" s="482"/>
      <c r="F114" s="482">
        <v>2672243</v>
      </c>
      <c r="G114" s="483"/>
      <c r="H114" s="483"/>
      <c r="I114" s="482"/>
      <c r="J114" s="484"/>
      <c r="K114" s="484"/>
      <c r="L114" s="484"/>
      <c r="M114" s="485">
        <f t="shared" si="0"/>
        <v>2672243</v>
      </c>
    </row>
    <row r="115" spans="1:13" ht="48" customHeight="1">
      <c r="A115" s="848" t="s">
        <v>957</v>
      </c>
      <c r="B115" s="811" t="s">
        <v>841</v>
      </c>
      <c r="C115" s="806" t="s">
        <v>802</v>
      </c>
      <c r="D115" s="841"/>
      <c r="E115" s="841"/>
      <c r="F115" s="841">
        <v>13248001</v>
      </c>
      <c r="G115" s="841"/>
      <c r="H115" s="841"/>
      <c r="I115" s="841"/>
      <c r="J115" s="841"/>
      <c r="K115" s="841"/>
      <c r="L115" s="841"/>
      <c r="M115" s="845">
        <f t="shared" si="0"/>
        <v>13248001</v>
      </c>
    </row>
    <row r="116" spans="1:13" s="240" customFormat="1" ht="34.5" customHeight="1">
      <c r="A116" s="455" t="s">
        <v>958</v>
      </c>
      <c r="B116" s="471" t="s">
        <v>857</v>
      </c>
      <c r="C116" s="466"/>
      <c r="D116" s="481"/>
      <c r="E116" s="482"/>
      <c r="F116" s="482">
        <v>12689611</v>
      </c>
      <c r="G116" s="483"/>
      <c r="H116" s="483"/>
      <c r="I116" s="482"/>
      <c r="J116" s="484"/>
      <c r="K116" s="484">
        <v>7191648</v>
      </c>
      <c r="L116" s="484"/>
      <c r="M116" s="485">
        <f t="shared" si="0"/>
        <v>19881259</v>
      </c>
    </row>
    <row r="117" spans="1:13" s="240" customFormat="1" ht="34.5" customHeight="1">
      <c r="A117" s="455" t="s">
        <v>959</v>
      </c>
      <c r="B117" s="471" t="s">
        <v>1004</v>
      </c>
      <c r="C117" s="466"/>
      <c r="D117" s="481"/>
      <c r="E117" s="482"/>
      <c r="F117" s="482">
        <v>10078053</v>
      </c>
      <c r="G117" s="483"/>
      <c r="H117" s="483"/>
      <c r="I117" s="482"/>
      <c r="J117" s="484"/>
      <c r="K117" s="484">
        <v>7191648</v>
      </c>
      <c r="L117" s="484"/>
      <c r="M117" s="485">
        <f t="shared" si="0"/>
        <v>17269701</v>
      </c>
    </row>
    <row r="118" spans="1:13" ht="25.5" customHeight="1">
      <c r="A118" s="804" t="s">
        <v>960</v>
      </c>
      <c r="B118" s="811" t="s">
        <v>842</v>
      </c>
      <c r="C118" s="806" t="s">
        <v>803</v>
      </c>
      <c r="D118" s="841"/>
      <c r="E118" s="841"/>
      <c r="F118" s="841">
        <v>3585488</v>
      </c>
      <c r="G118" s="841"/>
      <c r="H118" s="841"/>
      <c r="I118" s="841"/>
      <c r="J118" s="841"/>
      <c r="K118" s="841"/>
      <c r="L118" s="841"/>
      <c r="M118" s="845">
        <f t="shared" si="0"/>
        <v>3585488</v>
      </c>
    </row>
    <row r="119" spans="1:13" s="240" customFormat="1" ht="34.5" customHeight="1">
      <c r="A119" s="455" t="s">
        <v>961</v>
      </c>
      <c r="B119" s="471" t="s">
        <v>857</v>
      </c>
      <c r="C119" s="466"/>
      <c r="D119" s="481"/>
      <c r="E119" s="482"/>
      <c r="F119" s="482">
        <v>3585488</v>
      </c>
      <c r="G119" s="483"/>
      <c r="H119" s="483"/>
      <c r="I119" s="482"/>
      <c r="J119" s="484"/>
      <c r="K119" s="484"/>
      <c r="L119" s="484"/>
      <c r="M119" s="485">
        <f t="shared" si="0"/>
        <v>3585488</v>
      </c>
    </row>
    <row r="120" spans="1:13" s="240" customFormat="1" ht="34.5" customHeight="1">
      <c r="A120" s="455" t="s">
        <v>962</v>
      </c>
      <c r="B120" s="471" t="s">
        <v>1004</v>
      </c>
      <c r="C120" s="466"/>
      <c r="D120" s="481"/>
      <c r="E120" s="482"/>
      <c r="F120" s="482">
        <v>2376868</v>
      </c>
      <c r="G120" s="483"/>
      <c r="H120" s="483"/>
      <c r="I120" s="482"/>
      <c r="J120" s="484"/>
      <c r="K120" s="484"/>
      <c r="L120" s="484"/>
      <c r="M120" s="485">
        <f t="shared" si="0"/>
        <v>2376868</v>
      </c>
    </row>
    <row r="121" spans="1:13" ht="48.75" customHeight="1">
      <c r="A121" s="804" t="s">
        <v>963</v>
      </c>
      <c r="B121" s="811" t="s">
        <v>843</v>
      </c>
      <c r="C121" s="806" t="s">
        <v>804</v>
      </c>
      <c r="D121" s="841"/>
      <c r="E121" s="841"/>
      <c r="F121" s="841">
        <v>167531600</v>
      </c>
      <c r="G121" s="841"/>
      <c r="H121" s="841"/>
      <c r="I121" s="841"/>
      <c r="J121" s="841">
        <v>1800000</v>
      </c>
      <c r="K121" s="841"/>
      <c r="L121" s="841"/>
      <c r="M121" s="845">
        <f t="shared" si="0"/>
        <v>169331600</v>
      </c>
    </row>
    <row r="122" spans="1:13" s="240" customFormat="1" ht="34.5" customHeight="1">
      <c r="A122" s="455" t="s">
        <v>964</v>
      </c>
      <c r="B122" s="471" t="s">
        <v>857</v>
      </c>
      <c r="C122" s="466"/>
      <c r="D122" s="481"/>
      <c r="E122" s="482"/>
      <c r="F122" s="482">
        <v>166743744</v>
      </c>
      <c r="G122" s="482"/>
      <c r="H122" s="482"/>
      <c r="I122" s="482"/>
      <c r="J122" s="482">
        <v>2587856</v>
      </c>
      <c r="K122" s="482"/>
      <c r="L122" s="484"/>
      <c r="M122" s="485">
        <f t="shared" si="0"/>
        <v>169331600</v>
      </c>
    </row>
    <row r="123" spans="1:13" s="240" customFormat="1" ht="34.5" customHeight="1">
      <c r="A123" s="455" t="s">
        <v>965</v>
      </c>
      <c r="B123" s="471" t="s">
        <v>1004</v>
      </c>
      <c r="C123" s="466"/>
      <c r="D123" s="481"/>
      <c r="E123" s="482"/>
      <c r="F123" s="482">
        <v>101043183</v>
      </c>
      <c r="G123" s="483"/>
      <c r="H123" s="483"/>
      <c r="I123" s="482"/>
      <c r="J123" s="484">
        <v>1824361</v>
      </c>
      <c r="K123" s="484"/>
      <c r="L123" s="484"/>
      <c r="M123" s="485">
        <f t="shared" si="0"/>
        <v>102867544</v>
      </c>
    </row>
    <row r="124" spans="1:13" ht="40.5" customHeight="1">
      <c r="A124" s="848" t="s">
        <v>966</v>
      </c>
      <c r="B124" s="811" t="s">
        <v>844</v>
      </c>
      <c r="C124" s="806" t="s">
        <v>805</v>
      </c>
      <c r="D124" s="841"/>
      <c r="E124" s="841"/>
      <c r="F124" s="841">
        <v>10000000</v>
      </c>
      <c r="G124" s="841"/>
      <c r="H124" s="841"/>
      <c r="I124" s="841"/>
      <c r="J124" s="841"/>
      <c r="K124" s="841"/>
      <c r="L124" s="841"/>
      <c r="M124" s="845">
        <f t="shared" si="0"/>
        <v>10000000</v>
      </c>
    </row>
    <row r="125" spans="1:13" s="240" customFormat="1" ht="34.5" customHeight="1">
      <c r="A125" s="455" t="s">
        <v>967</v>
      </c>
      <c r="B125" s="471" t="s">
        <v>857</v>
      </c>
      <c r="C125" s="466"/>
      <c r="D125" s="481"/>
      <c r="E125" s="482"/>
      <c r="F125" s="482">
        <v>10000000</v>
      </c>
      <c r="G125" s="483"/>
      <c r="H125" s="483"/>
      <c r="I125" s="482"/>
      <c r="J125" s="484"/>
      <c r="K125" s="484"/>
      <c r="L125" s="484"/>
      <c r="M125" s="485">
        <f t="shared" si="0"/>
        <v>10000000</v>
      </c>
    </row>
    <row r="126" spans="1:13" s="240" customFormat="1" ht="34.5" customHeight="1">
      <c r="A126" s="455" t="s">
        <v>968</v>
      </c>
      <c r="B126" s="471" t="s">
        <v>1004</v>
      </c>
      <c r="C126" s="466"/>
      <c r="D126" s="481"/>
      <c r="E126" s="482"/>
      <c r="F126" s="482">
        <v>1416671</v>
      </c>
      <c r="G126" s="483"/>
      <c r="H126" s="483"/>
      <c r="I126" s="482"/>
      <c r="J126" s="484"/>
      <c r="K126" s="484"/>
      <c r="L126" s="484"/>
      <c r="M126" s="485">
        <f t="shared" si="0"/>
        <v>1416671</v>
      </c>
    </row>
    <row r="127" spans="1:13" ht="41.25" customHeight="1">
      <c r="A127" s="804" t="s">
        <v>969</v>
      </c>
      <c r="B127" s="811" t="s">
        <v>845</v>
      </c>
      <c r="C127" s="806" t="s">
        <v>806</v>
      </c>
      <c r="D127" s="841"/>
      <c r="E127" s="841"/>
      <c r="F127" s="841">
        <v>254381</v>
      </c>
      <c r="G127" s="841"/>
      <c r="H127" s="841"/>
      <c r="I127" s="841"/>
      <c r="J127" s="841"/>
      <c r="K127" s="841"/>
      <c r="L127" s="841"/>
      <c r="M127" s="845">
        <f t="shared" si="0"/>
        <v>254381</v>
      </c>
    </row>
    <row r="128" spans="1:13" s="240" customFormat="1" ht="34.5" customHeight="1">
      <c r="A128" s="455" t="s">
        <v>970</v>
      </c>
      <c r="B128" s="471" t="s">
        <v>857</v>
      </c>
      <c r="C128" s="466"/>
      <c r="D128" s="481"/>
      <c r="E128" s="482"/>
      <c r="F128" s="482">
        <v>457436</v>
      </c>
      <c r="G128" s="483"/>
      <c r="H128" s="483"/>
      <c r="I128" s="482"/>
      <c r="J128" s="484"/>
      <c r="K128" s="484"/>
      <c r="L128" s="484"/>
      <c r="M128" s="485">
        <f t="shared" si="0"/>
        <v>457436</v>
      </c>
    </row>
    <row r="129" spans="1:13" s="240" customFormat="1" ht="34.5" customHeight="1">
      <c r="A129" s="455" t="s">
        <v>971</v>
      </c>
      <c r="B129" s="471" t="s">
        <v>1004</v>
      </c>
      <c r="C129" s="466"/>
      <c r="D129" s="481"/>
      <c r="E129" s="482"/>
      <c r="F129" s="482">
        <v>457694</v>
      </c>
      <c r="G129" s="483"/>
      <c r="H129" s="483"/>
      <c r="I129" s="482"/>
      <c r="J129" s="484"/>
      <c r="K129" s="484"/>
      <c r="L129" s="484"/>
      <c r="M129" s="485">
        <f t="shared" si="0"/>
        <v>457694</v>
      </c>
    </row>
    <row r="130" spans="1:13" ht="34.5" customHeight="1">
      <c r="A130" s="848" t="s">
        <v>972</v>
      </c>
      <c r="B130" s="805" t="s">
        <v>975</v>
      </c>
      <c r="C130" s="806" t="s">
        <v>878</v>
      </c>
      <c r="D130" s="841"/>
      <c r="E130" s="842"/>
      <c r="F130" s="842"/>
      <c r="G130" s="843"/>
      <c r="H130" s="843"/>
      <c r="I130" s="842"/>
      <c r="J130" s="844"/>
      <c r="K130" s="844"/>
      <c r="L130" s="844"/>
      <c r="M130" s="845">
        <f t="shared" si="0"/>
        <v>0</v>
      </c>
    </row>
    <row r="131" spans="1:13" s="240" customFormat="1" ht="34.5" customHeight="1">
      <c r="A131" s="455" t="s">
        <v>973</v>
      </c>
      <c r="B131" s="471" t="s">
        <v>857</v>
      </c>
      <c r="C131" s="466"/>
      <c r="D131" s="481"/>
      <c r="E131" s="482"/>
      <c r="F131" s="482">
        <v>90000000</v>
      </c>
      <c r="G131" s="483"/>
      <c r="H131" s="483"/>
      <c r="I131" s="482"/>
      <c r="J131" s="484"/>
      <c r="K131" s="484"/>
      <c r="L131" s="484"/>
      <c r="M131" s="485">
        <f t="shared" si="0"/>
        <v>90000000</v>
      </c>
    </row>
    <row r="132" spans="1:13" s="240" customFormat="1" ht="34.5" customHeight="1">
      <c r="A132" s="455" t="s">
        <v>974</v>
      </c>
      <c r="B132" s="471" t="s">
        <v>1004</v>
      </c>
      <c r="C132" s="466"/>
      <c r="D132" s="481"/>
      <c r="E132" s="482"/>
      <c r="F132" s="482"/>
      <c r="G132" s="483"/>
      <c r="H132" s="483"/>
      <c r="I132" s="482"/>
      <c r="J132" s="484"/>
      <c r="K132" s="484"/>
      <c r="L132" s="484"/>
      <c r="M132" s="485">
        <f t="shared" si="0"/>
        <v>0</v>
      </c>
    </row>
    <row r="133" spans="1:13" ht="32.25" customHeight="1">
      <c r="A133" s="804" t="s">
        <v>976</v>
      </c>
      <c r="B133" s="811" t="s">
        <v>846</v>
      </c>
      <c r="C133" s="806" t="s">
        <v>807</v>
      </c>
      <c r="D133" s="841"/>
      <c r="E133" s="841"/>
      <c r="F133" s="841">
        <v>12000000</v>
      </c>
      <c r="G133" s="841"/>
      <c r="H133" s="841"/>
      <c r="I133" s="841"/>
      <c r="J133" s="841"/>
      <c r="K133" s="841"/>
      <c r="L133" s="841"/>
      <c r="M133" s="845">
        <f t="shared" si="0"/>
        <v>12000000</v>
      </c>
    </row>
    <row r="134" spans="1:13" s="240" customFormat="1" ht="34.5" customHeight="1">
      <c r="A134" s="455" t="s">
        <v>977</v>
      </c>
      <c r="B134" s="471" t="s">
        <v>857</v>
      </c>
      <c r="C134" s="466"/>
      <c r="D134" s="481"/>
      <c r="E134" s="482"/>
      <c r="F134" s="482">
        <v>12000000</v>
      </c>
      <c r="G134" s="483"/>
      <c r="H134" s="483"/>
      <c r="I134" s="482"/>
      <c r="J134" s="484"/>
      <c r="K134" s="484"/>
      <c r="L134" s="484"/>
      <c r="M134" s="485">
        <f t="shared" si="0"/>
        <v>12000000</v>
      </c>
    </row>
    <row r="135" spans="1:13" s="240" customFormat="1" ht="34.5" customHeight="1">
      <c r="A135" s="455" t="s">
        <v>978</v>
      </c>
      <c r="B135" s="471" t="s">
        <v>1004</v>
      </c>
      <c r="C135" s="466"/>
      <c r="D135" s="481"/>
      <c r="E135" s="482"/>
      <c r="F135" s="482">
        <v>6592992</v>
      </c>
      <c r="G135" s="483"/>
      <c r="H135" s="483"/>
      <c r="I135" s="482"/>
      <c r="J135" s="484"/>
      <c r="K135" s="484"/>
      <c r="L135" s="484"/>
      <c r="M135" s="485">
        <f t="shared" si="0"/>
        <v>6592992</v>
      </c>
    </row>
    <row r="136" spans="1:13" ht="30" customHeight="1">
      <c r="A136" s="804" t="s">
        <v>979</v>
      </c>
      <c r="B136" s="811" t="s">
        <v>847</v>
      </c>
      <c r="C136" s="806" t="s">
        <v>808</v>
      </c>
      <c r="D136" s="841"/>
      <c r="E136" s="841"/>
      <c r="F136" s="841">
        <v>10588340</v>
      </c>
      <c r="G136" s="841"/>
      <c r="H136" s="841"/>
      <c r="I136" s="841"/>
      <c r="J136" s="841"/>
      <c r="K136" s="841"/>
      <c r="L136" s="841"/>
      <c r="M136" s="845">
        <f t="shared" si="0"/>
        <v>10588340</v>
      </c>
    </row>
    <row r="137" spans="1:13" s="240" customFormat="1" ht="34.5" customHeight="1">
      <c r="A137" s="455" t="s">
        <v>980</v>
      </c>
      <c r="B137" s="471" t="s">
        <v>857</v>
      </c>
      <c r="C137" s="466"/>
      <c r="D137" s="481"/>
      <c r="E137" s="482"/>
      <c r="F137" s="482">
        <v>10588340</v>
      </c>
      <c r="G137" s="483"/>
      <c r="H137" s="483"/>
      <c r="I137" s="482"/>
      <c r="J137" s="484"/>
      <c r="K137" s="484"/>
      <c r="L137" s="484"/>
      <c r="M137" s="485">
        <f t="shared" si="0"/>
        <v>10588340</v>
      </c>
    </row>
    <row r="138" spans="1:13" s="240" customFormat="1" ht="34.5" customHeight="1">
      <c r="A138" s="455" t="s">
        <v>981</v>
      </c>
      <c r="B138" s="471" t="s">
        <v>1004</v>
      </c>
      <c r="C138" s="466"/>
      <c r="D138" s="481"/>
      <c r="E138" s="482"/>
      <c r="F138" s="482">
        <v>3476788</v>
      </c>
      <c r="G138" s="483"/>
      <c r="H138" s="483"/>
      <c r="I138" s="482"/>
      <c r="J138" s="484"/>
      <c r="K138" s="484"/>
      <c r="L138" s="484"/>
      <c r="M138" s="485">
        <f t="shared" si="0"/>
        <v>3476788</v>
      </c>
    </row>
    <row r="139" spans="1:13" ht="36.75" customHeight="1">
      <c r="A139" s="804" t="s">
        <v>982</v>
      </c>
      <c r="B139" s="811" t="s">
        <v>762</v>
      </c>
      <c r="C139" s="806" t="s">
        <v>763</v>
      </c>
      <c r="D139" s="841">
        <v>2840025</v>
      </c>
      <c r="E139" s="841">
        <v>712800</v>
      </c>
      <c r="F139" s="841">
        <v>31149012</v>
      </c>
      <c r="G139" s="841"/>
      <c r="H139" s="841">
        <v>17146343</v>
      </c>
      <c r="I139" s="841">
        <v>1120500</v>
      </c>
      <c r="J139" s="841"/>
      <c r="K139" s="841"/>
      <c r="L139" s="841"/>
      <c r="M139" s="845">
        <f t="shared" si="0"/>
        <v>52968680</v>
      </c>
    </row>
    <row r="140" spans="1:13" s="240" customFormat="1" ht="34.5" customHeight="1">
      <c r="A140" s="455" t="s">
        <v>983</v>
      </c>
      <c r="B140" s="471" t="s">
        <v>857</v>
      </c>
      <c r="C140" s="466"/>
      <c r="D140" s="481">
        <v>2840025</v>
      </c>
      <c r="E140" s="481">
        <v>712800</v>
      </c>
      <c r="F140" s="481">
        <v>26199012</v>
      </c>
      <c r="G140" s="481"/>
      <c r="H140" s="481">
        <v>17146343</v>
      </c>
      <c r="I140" s="481">
        <v>1664300</v>
      </c>
      <c r="J140" s="481"/>
      <c r="K140" s="481"/>
      <c r="L140" s="481"/>
      <c r="M140" s="485">
        <f t="shared" si="0"/>
        <v>48562480</v>
      </c>
    </row>
    <row r="141" spans="1:13" s="240" customFormat="1" ht="34.5" customHeight="1">
      <c r="A141" s="455" t="s">
        <v>984</v>
      </c>
      <c r="B141" s="471" t="s">
        <v>1004</v>
      </c>
      <c r="C141" s="466"/>
      <c r="D141" s="481">
        <v>1342000</v>
      </c>
      <c r="E141" s="482">
        <v>295240</v>
      </c>
      <c r="F141" s="482">
        <v>16186614</v>
      </c>
      <c r="G141" s="483"/>
      <c r="H141" s="483"/>
      <c r="I141" s="482">
        <v>845180</v>
      </c>
      <c r="J141" s="484"/>
      <c r="K141" s="484"/>
      <c r="L141" s="484"/>
      <c r="M141" s="485">
        <f>SUM(D141:L141)</f>
        <v>18669034</v>
      </c>
    </row>
    <row r="142" spans="1:13" ht="34.5" customHeight="1">
      <c r="A142" s="804" t="s">
        <v>985</v>
      </c>
      <c r="B142" s="805" t="s">
        <v>988</v>
      </c>
      <c r="C142" s="806" t="s">
        <v>881</v>
      </c>
      <c r="D142" s="841"/>
      <c r="E142" s="842"/>
      <c r="F142" s="842"/>
      <c r="G142" s="843"/>
      <c r="H142" s="843"/>
      <c r="I142" s="842"/>
      <c r="J142" s="844"/>
      <c r="K142" s="844"/>
      <c r="L142" s="844"/>
      <c r="M142" s="846">
        <f t="shared" ref="M142:M144" si="4">SUM(D142:L142)</f>
        <v>0</v>
      </c>
    </row>
    <row r="143" spans="1:13" s="240" customFormat="1" ht="34.5" customHeight="1">
      <c r="A143" s="455" t="s">
        <v>986</v>
      </c>
      <c r="B143" s="471" t="s">
        <v>857</v>
      </c>
      <c r="C143" s="466"/>
      <c r="D143" s="481"/>
      <c r="E143" s="482"/>
      <c r="F143" s="482">
        <v>60348839</v>
      </c>
      <c r="G143" s="483"/>
      <c r="H143" s="483"/>
      <c r="I143" s="482"/>
      <c r="J143" s="484"/>
      <c r="K143" s="484"/>
      <c r="L143" s="484"/>
      <c r="M143" s="485">
        <f t="shared" si="4"/>
        <v>60348839</v>
      </c>
    </row>
    <row r="144" spans="1:13" s="240" customFormat="1" ht="34.5" customHeight="1">
      <c r="A144" s="455" t="s">
        <v>987</v>
      </c>
      <c r="B144" s="471" t="s">
        <v>1004</v>
      </c>
      <c r="C144" s="466"/>
      <c r="D144" s="481"/>
      <c r="E144" s="482"/>
      <c r="F144" s="482"/>
      <c r="G144" s="483"/>
      <c r="H144" s="483"/>
      <c r="I144" s="482"/>
      <c r="J144" s="484"/>
      <c r="K144" s="484"/>
      <c r="L144" s="484"/>
      <c r="M144" s="485">
        <f t="shared" si="4"/>
        <v>0</v>
      </c>
    </row>
    <row r="145" spans="1:13" ht="45" customHeight="1">
      <c r="A145" s="804" t="s">
        <v>989</v>
      </c>
      <c r="B145" s="811" t="s">
        <v>848</v>
      </c>
      <c r="C145" s="806" t="s">
        <v>809</v>
      </c>
      <c r="D145" s="841"/>
      <c r="E145" s="841"/>
      <c r="F145" s="841">
        <v>254000</v>
      </c>
      <c r="G145" s="841">
        <v>66143000</v>
      </c>
      <c r="H145" s="841"/>
      <c r="I145" s="841"/>
      <c r="J145" s="841"/>
      <c r="K145" s="841">
        <v>5000000</v>
      </c>
      <c r="L145" s="841"/>
      <c r="M145" s="845">
        <f t="shared" si="0"/>
        <v>71397000</v>
      </c>
    </row>
    <row r="146" spans="1:13" s="240" customFormat="1" ht="34.5" customHeight="1">
      <c r="A146" s="455" t="s">
        <v>990</v>
      </c>
      <c r="B146" s="471" t="s">
        <v>857</v>
      </c>
      <c r="C146" s="466"/>
      <c r="D146" s="481"/>
      <c r="E146" s="482"/>
      <c r="F146" s="482">
        <v>8739539</v>
      </c>
      <c r="G146" s="482">
        <v>58179171</v>
      </c>
      <c r="H146" s="482"/>
      <c r="I146" s="482"/>
      <c r="J146" s="482"/>
      <c r="K146" s="482">
        <v>7415000</v>
      </c>
      <c r="L146" s="482"/>
      <c r="M146" s="485">
        <f t="shared" si="0"/>
        <v>74333710</v>
      </c>
    </row>
    <row r="147" spans="1:13" s="240" customFormat="1" ht="34.5" customHeight="1">
      <c r="A147" s="455" t="s">
        <v>991</v>
      </c>
      <c r="B147" s="471" t="s">
        <v>1004</v>
      </c>
      <c r="C147" s="466"/>
      <c r="D147" s="481"/>
      <c r="E147" s="482"/>
      <c r="F147" s="482">
        <v>8644039</v>
      </c>
      <c r="G147" s="483">
        <v>47805473</v>
      </c>
      <c r="H147" s="483"/>
      <c r="I147" s="482"/>
      <c r="J147" s="484"/>
      <c r="K147" s="484">
        <v>6815000</v>
      </c>
      <c r="L147" s="484"/>
      <c r="M147" s="485">
        <f t="shared" si="0"/>
        <v>63264512</v>
      </c>
    </row>
    <row r="148" spans="1:13" ht="36.75" customHeight="1">
      <c r="A148" s="804" t="s">
        <v>992</v>
      </c>
      <c r="B148" s="811" t="s">
        <v>849</v>
      </c>
      <c r="C148" s="806" t="s">
        <v>810</v>
      </c>
      <c r="D148" s="841"/>
      <c r="E148" s="841"/>
      <c r="F148" s="841">
        <v>3147488</v>
      </c>
      <c r="G148" s="841"/>
      <c r="H148" s="841"/>
      <c r="I148" s="841"/>
      <c r="J148" s="841"/>
      <c r="K148" s="841"/>
      <c r="L148" s="841">
        <v>23997938</v>
      </c>
      <c r="M148" s="845">
        <f t="shared" si="0"/>
        <v>27145426</v>
      </c>
    </row>
    <row r="149" spans="1:13" s="240" customFormat="1" ht="34.5" customHeight="1">
      <c r="A149" s="455" t="s">
        <v>993</v>
      </c>
      <c r="B149" s="471" t="s">
        <v>857</v>
      </c>
      <c r="C149" s="466"/>
      <c r="D149" s="481"/>
      <c r="E149" s="482"/>
      <c r="F149" s="482">
        <v>1977488</v>
      </c>
      <c r="G149" s="483"/>
      <c r="H149" s="483"/>
      <c r="I149" s="482"/>
      <c r="J149" s="484"/>
      <c r="K149" s="484"/>
      <c r="L149" s="484">
        <v>23997938</v>
      </c>
      <c r="M149" s="485">
        <f t="shared" si="0"/>
        <v>25975426</v>
      </c>
    </row>
    <row r="150" spans="1:13" s="240" customFormat="1" ht="34.5" customHeight="1">
      <c r="A150" s="455" t="s">
        <v>994</v>
      </c>
      <c r="B150" s="471" t="s">
        <v>1004</v>
      </c>
      <c r="C150" s="466"/>
      <c r="D150" s="481"/>
      <c r="E150" s="482"/>
      <c r="F150" s="482">
        <v>735728</v>
      </c>
      <c r="G150" s="483"/>
      <c r="H150" s="483"/>
      <c r="I150" s="482"/>
      <c r="J150" s="484"/>
      <c r="K150" s="484"/>
      <c r="L150" s="484">
        <v>22289499</v>
      </c>
      <c r="M150" s="485">
        <f t="shared" si="0"/>
        <v>23025227</v>
      </c>
    </row>
    <row r="151" spans="1:13" ht="36.75" customHeight="1">
      <c r="A151" s="848" t="s">
        <v>995</v>
      </c>
      <c r="B151" s="811" t="s">
        <v>851</v>
      </c>
      <c r="C151" s="806" t="s">
        <v>850</v>
      </c>
      <c r="D151" s="841"/>
      <c r="E151" s="841"/>
      <c r="F151" s="841"/>
      <c r="G151" s="841"/>
      <c r="H151" s="841">
        <v>70000000</v>
      </c>
      <c r="I151" s="841"/>
      <c r="J151" s="841"/>
      <c r="K151" s="841"/>
      <c r="L151" s="841"/>
      <c r="M151" s="845">
        <f t="shared" si="0"/>
        <v>70000000</v>
      </c>
    </row>
    <row r="152" spans="1:13" s="240" customFormat="1" ht="34.5" customHeight="1">
      <c r="A152" s="455" t="s">
        <v>996</v>
      </c>
      <c r="B152" s="471" t="s">
        <v>857</v>
      </c>
      <c r="C152" s="466"/>
      <c r="D152" s="481"/>
      <c r="E152" s="482"/>
      <c r="F152" s="482"/>
      <c r="G152" s="483"/>
      <c r="H152" s="483">
        <v>70000000</v>
      </c>
      <c r="I152" s="482"/>
      <c r="J152" s="484"/>
      <c r="K152" s="484"/>
      <c r="L152" s="484"/>
      <c r="M152" s="485">
        <f t="shared" si="0"/>
        <v>70000000</v>
      </c>
    </row>
    <row r="153" spans="1:13" s="240" customFormat="1" ht="34.5" customHeight="1">
      <c r="A153" s="455" t="s">
        <v>997</v>
      </c>
      <c r="B153" s="471" t="s">
        <v>1004</v>
      </c>
      <c r="C153" s="466"/>
      <c r="D153" s="481"/>
      <c r="E153" s="482"/>
      <c r="F153" s="482"/>
      <c r="G153" s="483"/>
      <c r="H153" s="483"/>
      <c r="I153" s="482"/>
      <c r="J153" s="484"/>
      <c r="K153" s="484"/>
      <c r="L153" s="484"/>
      <c r="M153" s="485"/>
    </row>
    <row r="154" spans="1:13" ht="36.75" customHeight="1">
      <c r="A154" s="804" t="s">
        <v>998</v>
      </c>
      <c r="B154" s="811" t="s">
        <v>765</v>
      </c>
      <c r="C154" s="806" t="s">
        <v>764</v>
      </c>
      <c r="D154" s="841"/>
      <c r="E154" s="841"/>
      <c r="F154" s="841">
        <v>54107776</v>
      </c>
      <c r="G154" s="841"/>
      <c r="H154" s="841"/>
      <c r="I154" s="841">
        <v>8000000</v>
      </c>
      <c r="J154" s="841"/>
      <c r="K154" s="841"/>
      <c r="L154" s="841"/>
      <c r="M154" s="845">
        <f t="shared" si="0"/>
        <v>62107776</v>
      </c>
    </row>
    <row r="155" spans="1:13" s="240" customFormat="1" ht="34.5" customHeight="1">
      <c r="A155" s="455" t="s">
        <v>999</v>
      </c>
      <c r="B155" s="471" t="s">
        <v>857</v>
      </c>
      <c r="C155" s="466"/>
      <c r="D155" s="481"/>
      <c r="E155" s="482"/>
      <c r="F155" s="482">
        <v>61588886</v>
      </c>
      <c r="G155" s="483"/>
      <c r="H155" s="483"/>
      <c r="I155" s="482">
        <v>7200000</v>
      </c>
      <c r="J155" s="484"/>
      <c r="K155" s="484"/>
      <c r="L155" s="484"/>
      <c r="M155" s="485">
        <f t="shared" si="0"/>
        <v>68788886</v>
      </c>
    </row>
    <row r="156" spans="1:13" s="240" customFormat="1" ht="34.5" customHeight="1">
      <c r="A156" s="455" t="s">
        <v>1000</v>
      </c>
      <c r="B156" s="471" t="s">
        <v>1004</v>
      </c>
      <c r="C156" s="466"/>
      <c r="D156" s="481"/>
      <c r="E156" s="482"/>
      <c r="F156" s="482">
        <v>21307614</v>
      </c>
      <c r="G156" s="483"/>
      <c r="H156" s="483"/>
      <c r="I156" s="482"/>
      <c r="J156" s="484"/>
      <c r="K156" s="484"/>
      <c r="L156" s="484"/>
      <c r="M156" s="485">
        <f>SUM(D156:L156)</f>
        <v>21307614</v>
      </c>
    </row>
    <row r="157" spans="1:13" ht="36.75" customHeight="1">
      <c r="A157" s="455" t="s">
        <v>1001</v>
      </c>
      <c r="B157" s="465" t="s">
        <v>1015</v>
      </c>
      <c r="C157" s="473"/>
      <c r="D157" s="481">
        <f>D6+D9+D12+D18+D15+D21+D24+D27+D30+D33+D36+D39+D42+D45+D48+D51+D54+D57+D60+D63+D66+D69+D72+D75+D78+D81+D84+D87+D90+D93+D96+D99+D102+D105+D108+D111+D114+D117+D120+D123+D126+D129+D132+D135+D138+D141+D144+D147+D150+D153+D156</f>
        <v>193540392</v>
      </c>
      <c r="E157" s="481">
        <f t="shared" ref="E157:J157" si="5">E6+E9+E12+E18+E15+E21+E24+E27+E30+E33+E36+E39+E42+E45+E48+E51+E54+E57+E60+E63+E66+E69+E72+E75+E78+E81+E84+E87+E90+E93+E96+E99+E102+E105+E108+E111+E114+E117+E120+E123+E126+E129+E132+E135+E138+E141+E144+E147+E150+E153+E156</f>
        <v>27767062</v>
      </c>
      <c r="F157" s="481">
        <f t="shared" si="5"/>
        <v>370574487</v>
      </c>
      <c r="G157" s="481">
        <f t="shared" si="5"/>
        <v>47805473</v>
      </c>
      <c r="H157" s="481">
        <f t="shared" si="5"/>
        <v>704923416</v>
      </c>
      <c r="I157" s="481">
        <f t="shared" si="5"/>
        <v>61299820</v>
      </c>
      <c r="J157" s="481">
        <f t="shared" si="5"/>
        <v>32504475</v>
      </c>
      <c r="K157" s="481">
        <f t="shared" ref="K157:L157" si="6">K6+K9+K12+K18+K15+K21+K24+K27+K30+K33+K36+K39+K42+K45+K48+K51+K54+K57+K60+K63+K66+K69+K72+K75+K78+K81+K84+K87+K90+K93+K96+K99+K102+K105+K108+K111+K114+K117+K120+K123+K126+K129+K132+K135+K138+K141+K144+K147+K150+K153+K156</f>
        <v>22006648</v>
      </c>
      <c r="L157" s="481">
        <f t="shared" si="6"/>
        <v>268975729</v>
      </c>
      <c r="M157" s="481">
        <f t="shared" ref="M157" si="7">M6+M9+M12+M18+M15+M21+M24+M27+M30+M33+M36+M39+M42+M45+M48+M51+M54+M57+M60+M63+M66+M69+M72+M75+M78+M81+M84+M87+M90+M93+M96+M99+M102+M105+M108+M111+M114+M117+M120+M123+M126+M129+M132+M135+M138+M141+M144+M147+M150+M153+M156</f>
        <v>1729397502</v>
      </c>
    </row>
    <row r="158" spans="1:13" s="665" customFormat="1" ht="26.25" customHeight="1">
      <c r="A158" s="465" t="s">
        <v>1017</v>
      </c>
      <c r="B158" s="662" t="s">
        <v>1018</v>
      </c>
      <c r="C158" s="663"/>
      <c r="D158" s="664">
        <f>D5+D8+D11+D14+D17+D20+D23+D26+D29+D32+D35+D38+D41+D44+D47+D50+D53+D56+D59+D62+D65+D68+D71+D74+D77+D80+D83+D86+D89+D92+D95+D98+D101+D104+D107+D110+D113+D116+D119+D122+D125+D128+D131+D134+D137+D140+D143+D146+D149+D152+D155</f>
        <v>298576983</v>
      </c>
      <c r="E158" s="664">
        <f t="shared" ref="E158:M158" si="8">E5+E8+E11+E14+E17+E20+E23+E26+E29+E32+E35+E38+E41+E44+E47+E50+E53+E56+E59+E62+E65+E68+E71+E74+E77+E80+E83+E86+E89+E92+E95+E98+E101+E104+E107+E110+E113+E116+E119+E122+E125+E128+E131+E134+E137+E140+E143+E146+E149+E152+E155</f>
        <v>46076817</v>
      </c>
      <c r="F158" s="664">
        <f t="shared" si="8"/>
        <v>1750968551</v>
      </c>
      <c r="G158" s="664">
        <f t="shared" si="8"/>
        <v>58179171</v>
      </c>
      <c r="H158" s="664">
        <f t="shared" si="8"/>
        <v>1083663213</v>
      </c>
      <c r="I158" s="664">
        <f t="shared" si="8"/>
        <v>680388039</v>
      </c>
      <c r="J158" s="664">
        <f t="shared" si="8"/>
        <v>158012708</v>
      </c>
      <c r="K158" s="664">
        <f t="shared" si="8"/>
        <v>22606648</v>
      </c>
      <c r="L158" s="664">
        <f t="shared" si="8"/>
        <v>366431951</v>
      </c>
      <c r="M158" s="664">
        <f t="shared" si="8"/>
        <v>4464904081</v>
      </c>
    </row>
    <row r="159" spans="1:13" s="628" customFormat="1">
      <c r="A159" s="626"/>
      <c r="B159" s="627"/>
      <c r="D159" s="629"/>
      <c r="E159" s="629"/>
      <c r="F159" s="629"/>
      <c r="G159" s="629"/>
      <c r="H159" s="629"/>
      <c r="I159" s="629"/>
    </row>
    <row r="161" spans="4:13"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</row>
  </sheetData>
  <mergeCells count="1">
    <mergeCell ref="A1:M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5" orientation="portrait" r:id="rId1"/>
  <headerFooter>
    <oddHeader>&amp;R &amp;"Times New Roman CE,Félkövér dőlt"&amp;11 9.2.  melléklet a 22/2017. (XII.04.)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65"/>
  <sheetViews>
    <sheetView view="pageLayout" topLeftCell="C33" zoomScaleSheetLayoutView="100" workbookViewId="0">
      <selection activeCell="Q37" sqref="Q37"/>
    </sheetView>
  </sheetViews>
  <sheetFormatPr defaultRowHeight="13.2"/>
  <cols>
    <col min="1" max="1" width="6.77734375" style="127" customWidth="1"/>
    <col min="2" max="2" width="60.21875" style="128" customWidth="1"/>
    <col min="3" max="3" width="8.21875" style="128" customWidth="1"/>
    <col min="4" max="5" width="14.44140625" style="102" customWidth="1"/>
    <col min="6" max="6" width="16" style="102" customWidth="1"/>
    <col min="7" max="7" width="14.44140625" style="102" customWidth="1"/>
    <col min="8" max="8" width="15" style="691" bestFit="1" customWidth="1"/>
    <col min="9" max="9" width="15" style="314" customWidth="1"/>
    <col min="10" max="10" width="13.21875" style="314" bestFit="1" customWidth="1"/>
    <col min="11" max="11" width="12.33203125" style="314" customWidth="1"/>
    <col min="12" max="12" width="9.33203125" style="702"/>
    <col min="13" max="258" width="9.33203125" style="102"/>
    <col min="259" max="259" width="6.77734375" style="102" customWidth="1"/>
    <col min="260" max="260" width="60.21875" style="102" customWidth="1"/>
    <col min="261" max="261" width="8.21875" style="102" customWidth="1"/>
    <col min="262" max="264" width="14.44140625" style="102" customWidth="1"/>
    <col min="265" max="514" width="9.33203125" style="102"/>
    <col min="515" max="515" width="6.77734375" style="102" customWidth="1"/>
    <col min="516" max="516" width="60.21875" style="102" customWidth="1"/>
    <col min="517" max="517" width="8.21875" style="102" customWidth="1"/>
    <col min="518" max="520" width="14.44140625" style="102" customWidth="1"/>
    <col min="521" max="770" width="9.33203125" style="102"/>
    <col min="771" max="771" width="6.77734375" style="102" customWidth="1"/>
    <col min="772" max="772" width="60.21875" style="102" customWidth="1"/>
    <col min="773" max="773" width="8.21875" style="102" customWidth="1"/>
    <col min="774" max="776" width="14.44140625" style="102" customWidth="1"/>
    <col min="777" max="1026" width="9.33203125" style="102"/>
    <col min="1027" max="1027" width="6.77734375" style="102" customWidth="1"/>
    <col min="1028" max="1028" width="60.21875" style="102" customWidth="1"/>
    <col min="1029" max="1029" width="8.21875" style="102" customWidth="1"/>
    <col min="1030" max="1032" width="14.44140625" style="102" customWidth="1"/>
    <col min="1033" max="1282" width="9.33203125" style="102"/>
    <col min="1283" max="1283" width="6.77734375" style="102" customWidth="1"/>
    <col min="1284" max="1284" width="60.21875" style="102" customWidth="1"/>
    <col min="1285" max="1285" width="8.21875" style="102" customWidth="1"/>
    <col min="1286" max="1288" width="14.44140625" style="102" customWidth="1"/>
    <col min="1289" max="1538" width="9.33203125" style="102"/>
    <col min="1539" max="1539" width="6.77734375" style="102" customWidth="1"/>
    <col min="1540" max="1540" width="60.21875" style="102" customWidth="1"/>
    <col min="1541" max="1541" width="8.21875" style="102" customWidth="1"/>
    <col min="1542" max="1544" width="14.44140625" style="102" customWidth="1"/>
    <col min="1545" max="1794" width="9.33203125" style="102"/>
    <col min="1795" max="1795" width="6.77734375" style="102" customWidth="1"/>
    <col min="1796" max="1796" width="60.21875" style="102" customWidth="1"/>
    <col min="1797" max="1797" width="8.21875" style="102" customWidth="1"/>
    <col min="1798" max="1800" width="14.44140625" style="102" customWidth="1"/>
    <col min="1801" max="2050" width="9.33203125" style="102"/>
    <col min="2051" max="2051" width="6.77734375" style="102" customWidth="1"/>
    <col min="2052" max="2052" width="60.21875" style="102" customWidth="1"/>
    <col min="2053" max="2053" width="8.21875" style="102" customWidth="1"/>
    <col min="2054" max="2056" width="14.44140625" style="102" customWidth="1"/>
    <col min="2057" max="2306" width="9.33203125" style="102"/>
    <col min="2307" max="2307" width="6.77734375" style="102" customWidth="1"/>
    <col min="2308" max="2308" width="60.21875" style="102" customWidth="1"/>
    <col min="2309" max="2309" width="8.21875" style="102" customWidth="1"/>
    <col min="2310" max="2312" width="14.44140625" style="102" customWidth="1"/>
    <col min="2313" max="2562" width="9.33203125" style="102"/>
    <col min="2563" max="2563" width="6.77734375" style="102" customWidth="1"/>
    <col min="2564" max="2564" width="60.21875" style="102" customWidth="1"/>
    <col min="2565" max="2565" width="8.21875" style="102" customWidth="1"/>
    <col min="2566" max="2568" width="14.44140625" style="102" customWidth="1"/>
    <col min="2569" max="2818" width="9.33203125" style="102"/>
    <col min="2819" max="2819" width="6.77734375" style="102" customWidth="1"/>
    <col min="2820" max="2820" width="60.21875" style="102" customWidth="1"/>
    <col min="2821" max="2821" width="8.21875" style="102" customWidth="1"/>
    <col min="2822" max="2824" width="14.44140625" style="102" customWidth="1"/>
    <col min="2825" max="3074" width="9.33203125" style="102"/>
    <col min="3075" max="3075" width="6.77734375" style="102" customWidth="1"/>
    <col min="3076" max="3076" width="60.21875" style="102" customWidth="1"/>
    <col min="3077" max="3077" width="8.21875" style="102" customWidth="1"/>
    <col min="3078" max="3080" width="14.44140625" style="102" customWidth="1"/>
    <col min="3081" max="3330" width="9.33203125" style="102"/>
    <col min="3331" max="3331" width="6.77734375" style="102" customWidth="1"/>
    <col min="3332" max="3332" width="60.21875" style="102" customWidth="1"/>
    <col min="3333" max="3333" width="8.21875" style="102" customWidth="1"/>
    <col min="3334" max="3336" width="14.44140625" style="102" customWidth="1"/>
    <col min="3337" max="3586" width="9.33203125" style="102"/>
    <col min="3587" max="3587" width="6.77734375" style="102" customWidth="1"/>
    <col min="3588" max="3588" width="60.21875" style="102" customWidth="1"/>
    <col min="3589" max="3589" width="8.21875" style="102" customWidth="1"/>
    <col min="3590" max="3592" width="14.44140625" style="102" customWidth="1"/>
    <col min="3593" max="3842" width="9.33203125" style="102"/>
    <col min="3843" max="3843" width="6.77734375" style="102" customWidth="1"/>
    <col min="3844" max="3844" width="60.21875" style="102" customWidth="1"/>
    <col min="3845" max="3845" width="8.21875" style="102" customWidth="1"/>
    <col min="3846" max="3848" width="14.44140625" style="102" customWidth="1"/>
    <col min="3849" max="4098" width="9.33203125" style="102"/>
    <col min="4099" max="4099" width="6.77734375" style="102" customWidth="1"/>
    <col min="4100" max="4100" width="60.21875" style="102" customWidth="1"/>
    <col min="4101" max="4101" width="8.21875" style="102" customWidth="1"/>
    <col min="4102" max="4104" width="14.44140625" style="102" customWidth="1"/>
    <col min="4105" max="4354" width="9.33203125" style="102"/>
    <col min="4355" max="4355" width="6.77734375" style="102" customWidth="1"/>
    <col min="4356" max="4356" width="60.21875" style="102" customWidth="1"/>
    <col min="4357" max="4357" width="8.21875" style="102" customWidth="1"/>
    <col min="4358" max="4360" width="14.44140625" style="102" customWidth="1"/>
    <col min="4361" max="4610" width="9.33203125" style="102"/>
    <col min="4611" max="4611" width="6.77734375" style="102" customWidth="1"/>
    <col min="4612" max="4612" width="60.21875" style="102" customWidth="1"/>
    <col min="4613" max="4613" width="8.21875" style="102" customWidth="1"/>
    <col min="4614" max="4616" width="14.44140625" style="102" customWidth="1"/>
    <col min="4617" max="4866" width="9.33203125" style="102"/>
    <col min="4867" max="4867" width="6.77734375" style="102" customWidth="1"/>
    <col min="4868" max="4868" width="60.21875" style="102" customWidth="1"/>
    <col min="4869" max="4869" width="8.21875" style="102" customWidth="1"/>
    <col min="4870" max="4872" width="14.44140625" style="102" customWidth="1"/>
    <col min="4873" max="5122" width="9.33203125" style="102"/>
    <col min="5123" max="5123" width="6.77734375" style="102" customWidth="1"/>
    <col min="5124" max="5124" width="60.21875" style="102" customWidth="1"/>
    <col min="5125" max="5125" width="8.21875" style="102" customWidth="1"/>
    <col min="5126" max="5128" width="14.44140625" style="102" customWidth="1"/>
    <col min="5129" max="5378" width="9.33203125" style="102"/>
    <col min="5379" max="5379" width="6.77734375" style="102" customWidth="1"/>
    <col min="5380" max="5380" width="60.21875" style="102" customWidth="1"/>
    <col min="5381" max="5381" width="8.21875" style="102" customWidth="1"/>
    <col min="5382" max="5384" width="14.44140625" style="102" customWidth="1"/>
    <col min="5385" max="5634" width="9.33203125" style="102"/>
    <col min="5635" max="5635" width="6.77734375" style="102" customWidth="1"/>
    <col min="5636" max="5636" width="60.21875" style="102" customWidth="1"/>
    <col min="5637" max="5637" width="8.21875" style="102" customWidth="1"/>
    <col min="5638" max="5640" width="14.44140625" style="102" customWidth="1"/>
    <col min="5641" max="5890" width="9.33203125" style="102"/>
    <col min="5891" max="5891" width="6.77734375" style="102" customWidth="1"/>
    <col min="5892" max="5892" width="60.21875" style="102" customWidth="1"/>
    <col min="5893" max="5893" width="8.21875" style="102" customWidth="1"/>
    <col min="5894" max="5896" width="14.44140625" style="102" customWidth="1"/>
    <col min="5897" max="6146" width="9.33203125" style="102"/>
    <col min="6147" max="6147" width="6.77734375" style="102" customWidth="1"/>
    <col min="6148" max="6148" width="60.21875" style="102" customWidth="1"/>
    <col min="6149" max="6149" width="8.21875" style="102" customWidth="1"/>
    <col min="6150" max="6152" width="14.44140625" style="102" customWidth="1"/>
    <col min="6153" max="6402" width="9.33203125" style="102"/>
    <col min="6403" max="6403" width="6.77734375" style="102" customWidth="1"/>
    <col min="6404" max="6404" width="60.21875" style="102" customWidth="1"/>
    <col min="6405" max="6405" width="8.21875" style="102" customWidth="1"/>
    <col min="6406" max="6408" width="14.44140625" style="102" customWidth="1"/>
    <col min="6409" max="6658" width="9.33203125" style="102"/>
    <col min="6659" max="6659" width="6.77734375" style="102" customWidth="1"/>
    <col min="6660" max="6660" width="60.21875" style="102" customWidth="1"/>
    <col min="6661" max="6661" width="8.21875" style="102" customWidth="1"/>
    <col min="6662" max="6664" width="14.44140625" style="102" customWidth="1"/>
    <col min="6665" max="6914" width="9.33203125" style="102"/>
    <col min="6915" max="6915" width="6.77734375" style="102" customWidth="1"/>
    <col min="6916" max="6916" width="60.21875" style="102" customWidth="1"/>
    <col min="6917" max="6917" width="8.21875" style="102" customWidth="1"/>
    <col min="6918" max="6920" width="14.44140625" style="102" customWidth="1"/>
    <col min="6921" max="7170" width="9.33203125" style="102"/>
    <col min="7171" max="7171" width="6.77734375" style="102" customWidth="1"/>
    <col min="7172" max="7172" width="60.21875" style="102" customWidth="1"/>
    <col min="7173" max="7173" width="8.21875" style="102" customWidth="1"/>
    <col min="7174" max="7176" width="14.44140625" style="102" customWidth="1"/>
    <col min="7177" max="7426" width="9.33203125" style="102"/>
    <col min="7427" max="7427" width="6.77734375" style="102" customWidth="1"/>
    <col min="7428" max="7428" width="60.21875" style="102" customWidth="1"/>
    <col min="7429" max="7429" width="8.21875" style="102" customWidth="1"/>
    <col min="7430" max="7432" width="14.44140625" style="102" customWidth="1"/>
    <col min="7433" max="7682" width="9.33203125" style="102"/>
    <col min="7683" max="7683" width="6.77734375" style="102" customWidth="1"/>
    <col min="7684" max="7684" width="60.21875" style="102" customWidth="1"/>
    <col min="7685" max="7685" width="8.21875" style="102" customWidth="1"/>
    <col min="7686" max="7688" width="14.44140625" style="102" customWidth="1"/>
    <col min="7689" max="7938" width="9.33203125" style="102"/>
    <col min="7939" max="7939" width="6.77734375" style="102" customWidth="1"/>
    <col min="7940" max="7940" width="60.21875" style="102" customWidth="1"/>
    <col min="7941" max="7941" width="8.21875" style="102" customWidth="1"/>
    <col min="7942" max="7944" width="14.44140625" style="102" customWidth="1"/>
    <col min="7945" max="8194" width="9.33203125" style="102"/>
    <col min="8195" max="8195" width="6.77734375" style="102" customWidth="1"/>
    <col min="8196" max="8196" width="60.21875" style="102" customWidth="1"/>
    <col min="8197" max="8197" width="8.21875" style="102" customWidth="1"/>
    <col min="8198" max="8200" width="14.44140625" style="102" customWidth="1"/>
    <col min="8201" max="8450" width="9.33203125" style="102"/>
    <col min="8451" max="8451" width="6.77734375" style="102" customWidth="1"/>
    <col min="8452" max="8452" width="60.21875" style="102" customWidth="1"/>
    <col min="8453" max="8453" width="8.21875" style="102" customWidth="1"/>
    <col min="8454" max="8456" width="14.44140625" style="102" customWidth="1"/>
    <col min="8457" max="8706" width="9.33203125" style="102"/>
    <col min="8707" max="8707" width="6.77734375" style="102" customWidth="1"/>
    <col min="8708" max="8708" width="60.21875" style="102" customWidth="1"/>
    <col min="8709" max="8709" width="8.21875" style="102" customWidth="1"/>
    <col min="8710" max="8712" width="14.44140625" style="102" customWidth="1"/>
    <col min="8713" max="8962" width="9.33203125" style="102"/>
    <col min="8963" max="8963" width="6.77734375" style="102" customWidth="1"/>
    <col min="8964" max="8964" width="60.21875" style="102" customWidth="1"/>
    <col min="8965" max="8965" width="8.21875" style="102" customWidth="1"/>
    <col min="8966" max="8968" width="14.44140625" style="102" customWidth="1"/>
    <col min="8969" max="9218" width="9.33203125" style="102"/>
    <col min="9219" max="9219" width="6.77734375" style="102" customWidth="1"/>
    <col min="9220" max="9220" width="60.21875" style="102" customWidth="1"/>
    <col min="9221" max="9221" width="8.21875" style="102" customWidth="1"/>
    <col min="9222" max="9224" width="14.44140625" style="102" customWidth="1"/>
    <col min="9225" max="9474" width="9.33203125" style="102"/>
    <col min="9475" max="9475" width="6.77734375" style="102" customWidth="1"/>
    <col min="9476" max="9476" width="60.21875" style="102" customWidth="1"/>
    <col min="9477" max="9477" width="8.21875" style="102" customWidth="1"/>
    <col min="9478" max="9480" width="14.44140625" style="102" customWidth="1"/>
    <col min="9481" max="9730" width="9.33203125" style="102"/>
    <col min="9731" max="9731" width="6.77734375" style="102" customWidth="1"/>
    <col min="9732" max="9732" width="60.21875" style="102" customWidth="1"/>
    <col min="9733" max="9733" width="8.21875" style="102" customWidth="1"/>
    <col min="9734" max="9736" width="14.44140625" style="102" customWidth="1"/>
    <col min="9737" max="9986" width="9.33203125" style="102"/>
    <col min="9987" max="9987" width="6.77734375" style="102" customWidth="1"/>
    <col min="9988" max="9988" width="60.21875" style="102" customWidth="1"/>
    <col min="9989" max="9989" width="8.21875" style="102" customWidth="1"/>
    <col min="9990" max="9992" width="14.44140625" style="102" customWidth="1"/>
    <col min="9993" max="10242" width="9.33203125" style="102"/>
    <col min="10243" max="10243" width="6.77734375" style="102" customWidth="1"/>
    <col min="10244" max="10244" width="60.21875" style="102" customWidth="1"/>
    <col min="10245" max="10245" width="8.21875" style="102" customWidth="1"/>
    <col min="10246" max="10248" width="14.44140625" style="102" customWidth="1"/>
    <col min="10249" max="10498" width="9.33203125" style="102"/>
    <col min="10499" max="10499" width="6.77734375" style="102" customWidth="1"/>
    <col min="10500" max="10500" width="60.21875" style="102" customWidth="1"/>
    <col min="10501" max="10501" width="8.21875" style="102" customWidth="1"/>
    <col min="10502" max="10504" width="14.44140625" style="102" customWidth="1"/>
    <col min="10505" max="10754" width="9.33203125" style="102"/>
    <col min="10755" max="10755" width="6.77734375" style="102" customWidth="1"/>
    <col min="10756" max="10756" width="60.21875" style="102" customWidth="1"/>
    <col min="10757" max="10757" width="8.21875" style="102" customWidth="1"/>
    <col min="10758" max="10760" width="14.44140625" style="102" customWidth="1"/>
    <col min="10761" max="11010" width="9.33203125" style="102"/>
    <col min="11011" max="11011" width="6.77734375" style="102" customWidth="1"/>
    <col min="11012" max="11012" width="60.21875" style="102" customWidth="1"/>
    <col min="11013" max="11013" width="8.21875" style="102" customWidth="1"/>
    <col min="11014" max="11016" width="14.44140625" style="102" customWidth="1"/>
    <col min="11017" max="11266" width="9.33203125" style="102"/>
    <col min="11267" max="11267" width="6.77734375" style="102" customWidth="1"/>
    <col min="11268" max="11268" width="60.21875" style="102" customWidth="1"/>
    <col min="11269" max="11269" width="8.21875" style="102" customWidth="1"/>
    <col min="11270" max="11272" width="14.44140625" style="102" customWidth="1"/>
    <col min="11273" max="11522" width="9.33203125" style="102"/>
    <col min="11523" max="11523" width="6.77734375" style="102" customWidth="1"/>
    <col min="11524" max="11524" width="60.21875" style="102" customWidth="1"/>
    <col min="11525" max="11525" width="8.21875" style="102" customWidth="1"/>
    <col min="11526" max="11528" width="14.44140625" style="102" customWidth="1"/>
    <col min="11529" max="11778" width="9.33203125" style="102"/>
    <col min="11779" max="11779" width="6.77734375" style="102" customWidth="1"/>
    <col min="11780" max="11780" width="60.21875" style="102" customWidth="1"/>
    <col min="11781" max="11781" width="8.21875" style="102" customWidth="1"/>
    <col min="11782" max="11784" width="14.44140625" style="102" customWidth="1"/>
    <col min="11785" max="12034" width="9.33203125" style="102"/>
    <col min="12035" max="12035" width="6.77734375" style="102" customWidth="1"/>
    <col min="12036" max="12036" width="60.21875" style="102" customWidth="1"/>
    <col min="12037" max="12037" width="8.21875" style="102" customWidth="1"/>
    <col min="12038" max="12040" width="14.44140625" style="102" customWidth="1"/>
    <col min="12041" max="12290" width="9.33203125" style="102"/>
    <col min="12291" max="12291" width="6.77734375" style="102" customWidth="1"/>
    <col min="12292" max="12292" width="60.21875" style="102" customWidth="1"/>
    <col min="12293" max="12293" width="8.21875" style="102" customWidth="1"/>
    <col min="12294" max="12296" width="14.44140625" style="102" customWidth="1"/>
    <col min="12297" max="12546" width="9.33203125" style="102"/>
    <col min="12547" max="12547" width="6.77734375" style="102" customWidth="1"/>
    <col min="12548" max="12548" width="60.21875" style="102" customWidth="1"/>
    <col min="12549" max="12549" width="8.21875" style="102" customWidth="1"/>
    <col min="12550" max="12552" width="14.44140625" style="102" customWidth="1"/>
    <col min="12553" max="12802" width="9.33203125" style="102"/>
    <col min="12803" max="12803" width="6.77734375" style="102" customWidth="1"/>
    <col min="12804" max="12804" width="60.21875" style="102" customWidth="1"/>
    <col min="12805" max="12805" width="8.21875" style="102" customWidth="1"/>
    <col min="12806" max="12808" width="14.44140625" style="102" customWidth="1"/>
    <col min="12809" max="13058" width="9.33203125" style="102"/>
    <col min="13059" max="13059" width="6.77734375" style="102" customWidth="1"/>
    <col min="13060" max="13060" width="60.21875" style="102" customWidth="1"/>
    <col min="13061" max="13061" width="8.21875" style="102" customWidth="1"/>
    <col min="13062" max="13064" width="14.44140625" style="102" customWidth="1"/>
    <col min="13065" max="13314" width="9.33203125" style="102"/>
    <col min="13315" max="13315" width="6.77734375" style="102" customWidth="1"/>
    <col min="13316" max="13316" width="60.21875" style="102" customWidth="1"/>
    <col min="13317" max="13317" width="8.21875" style="102" customWidth="1"/>
    <col min="13318" max="13320" width="14.44140625" style="102" customWidth="1"/>
    <col min="13321" max="13570" width="9.33203125" style="102"/>
    <col min="13571" max="13571" width="6.77734375" style="102" customWidth="1"/>
    <col min="13572" max="13572" width="60.21875" style="102" customWidth="1"/>
    <col min="13573" max="13573" width="8.21875" style="102" customWidth="1"/>
    <col min="13574" max="13576" width="14.44140625" style="102" customWidth="1"/>
    <col min="13577" max="13826" width="9.33203125" style="102"/>
    <col min="13827" max="13827" width="6.77734375" style="102" customWidth="1"/>
    <col min="13828" max="13828" width="60.21875" style="102" customWidth="1"/>
    <col min="13829" max="13829" width="8.21875" style="102" customWidth="1"/>
    <col min="13830" max="13832" width="14.44140625" style="102" customWidth="1"/>
    <col min="13833" max="14082" width="9.33203125" style="102"/>
    <col min="14083" max="14083" width="6.77734375" style="102" customWidth="1"/>
    <col min="14084" max="14084" width="60.21875" style="102" customWidth="1"/>
    <col min="14085" max="14085" width="8.21875" style="102" customWidth="1"/>
    <col min="14086" max="14088" width="14.44140625" style="102" customWidth="1"/>
    <col min="14089" max="14338" width="9.33203125" style="102"/>
    <col min="14339" max="14339" width="6.77734375" style="102" customWidth="1"/>
    <col min="14340" max="14340" width="60.21875" style="102" customWidth="1"/>
    <col min="14341" max="14341" width="8.21875" style="102" customWidth="1"/>
    <col min="14342" max="14344" width="14.44140625" style="102" customWidth="1"/>
    <col min="14345" max="14594" width="9.33203125" style="102"/>
    <col min="14595" max="14595" width="6.77734375" style="102" customWidth="1"/>
    <col min="14596" max="14596" width="60.21875" style="102" customWidth="1"/>
    <col min="14597" max="14597" width="8.21875" style="102" customWidth="1"/>
    <col min="14598" max="14600" width="14.44140625" style="102" customWidth="1"/>
    <col min="14601" max="14850" width="9.33203125" style="102"/>
    <col min="14851" max="14851" width="6.77734375" style="102" customWidth="1"/>
    <col min="14852" max="14852" width="60.21875" style="102" customWidth="1"/>
    <col min="14853" max="14853" width="8.21875" style="102" customWidth="1"/>
    <col min="14854" max="14856" width="14.44140625" style="102" customWidth="1"/>
    <col min="14857" max="15106" width="9.33203125" style="102"/>
    <col min="15107" max="15107" width="6.77734375" style="102" customWidth="1"/>
    <col min="15108" max="15108" width="60.21875" style="102" customWidth="1"/>
    <col min="15109" max="15109" width="8.21875" style="102" customWidth="1"/>
    <col min="15110" max="15112" width="14.44140625" style="102" customWidth="1"/>
    <col min="15113" max="15362" width="9.33203125" style="102"/>
    <col min="15363" max="15363" width="6.77734375" style="102" customWidth="1"/>
    <col min="15364" max="15364" width="60.21875" style="102" customWidth="1"/>
    <col min="15365" max="15365" width="8.21875" style="102" customWidth="1"/>
    <col min="15366" max="15368" width="14.44140625" style="102" customWidth="1"/>
    <col min="15369" max="15618" width="9.33203125" style="102"/>
    <col min="15619" max="15619" width="6.77734375" style="102" customWidth="1"/>
    <col min="15620" max="15620" width="60.21875" style="102" customWidth="1"/>
    <col min="15621" max="15621" width="8.21875" style="102" customWidth="1"/>
    <col min="15622" max="15624" width="14.44140625" style="102" customWidth="1"/>
    <col min="15625" max="15874" width="9.33203125" style="102"/>
    <col min="15875" max="15875" width="6.77734375" style="102" customWidth="1"/>
    <col min="15876" max="15876" width="60.21875" style="102" customWidth="1"/>
    <col min="15877" max="15877" width="8.21875" style="102" customWidth="1"/>
    <col min="15878" max="15880" width="14.44140625" style="102" customWidth="1"/>
    <col min="15881" max="16130" width="9.33203125" style="102"/>
    <col min="16131" max="16131" width="6.77734375" style="102" customWidth="1"/>
    <col min="16132" max="16132" width="60.21875" style="102" customWidth="1"/>
    <col min="16133" max="16133" width="8.21875" style="102" customWidth="1"/>
    <col min="16134" max="16136" width="14.44140625" style="102" customWidth="1"/>
    <col min="16137" max="16384" width="9.33203125" style="102"/>
  </cols>
  <sheetData>
    <row r="1" spans="1:12" s="96" customFormat="1" ht="51.75" customHeight="1">
      <c r="A1" s="914" t="s">
        <v>635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</row>
    <row r="2" spans="1:12" s="99" customFormat="1" ht="12" customHeight="1">
      <c r="A2" s="97"/>
      <c r="B2" s="97"/>
      <c r="C2" s="98"/>
      <c r="D2" s="98"/>
      <c r="E2" s="98"/>
      <c r="F2" s="98"/>
      <c r="I2" s="694"/>
      <c r="J2" s="695" t="s">
        <v>861</v>
      </c>
      <c r="K2" s="694"/>
      <c r="L2" s="696" t="s">
        <v>1</v>
      </c>
    </row>
    <row r="3" spans="1:12" s="490" customFormat="1" ht="38.25" customHeight="1">
      <c r="A3" s="489" t="s">
        <v>407</v>
      </c>
      <c r="B3" s="489" t="s">
        <v>475</v>
      </c>
      <c r="C3" s="113" t="s">
        <v>476</v>
      </c>
      <c r="D3" s="113" t="s">
        <v>477</v>
      </c>
      <c r="E3" s="113" t="s">
        <v>478</v>
      </c>
      <c r="F3" s="113" t="s">
        <v>854</v>
      </c>
      <c r="G3" s="113" t="s">
        <v>268</v>
      </c>
      <c r="H3" s="685" t="s">
        <v>1002</v>
      </c>
      <c r="I3" s="305" t="s">
        <v>1019</v>
      </c>
      <c r="J3" s="305" t="s">
        <v>857</v>
      </c>
      <c r="K3" s="305" t="s">
        <v>1004</v>
      </c>
      <c r="L3" s="697" t="s">
        <v>1005</v>
      </c>
    </row>
    <row r="4" spans="1:12" s="666" customFormat="1" ht="13.05" customHeight="1">
      <c r="A4" s="103" t="s">
        <v>6</v>
      </c>
      <c r="B4" s="103" t="s">
        <v>7</v>
      </c>
      <c r="C4" s="103" t="s">
        <v>8</v>
      </c>
      <c r="D4" s="103" t="s">
        <v>9</v>
      </c>
      <c r="E4" s="103" t="s">
        <v>269</v>
      </c>
      <c r="F4" s="103" t="s">
        <v>479</v>
      </c>
      <c r="G4" s="103" t="s">
        <v>855</v>
      </c>
      <c r="H4" s="686" t="s">
        <v>859</v>
      </c>
      <c r="I4" s="698" t="s">
        <v>860</v>
      </c>
      <c r="J4" s="698" t="s">
        <v>1008</v>
      </c>
      <c r="K4" s="698" t="s">
        <v>1009</v>
      </c>
      <c r="L4" s="699" t="s">
        <v>1010</v>
      </c>
    </row>
    <row r="5" spans="1:12" s="104" customFormat="1" ht="16.05" customHeight="1">
      <c r="A5" s="915" t="s">
        <v>265</v>
      </c>
      <c r="B5" s="916"/>
      <c r="C5" s="916"/>
      <c r="D5" s="916"/>
      <c r="E5" s="916"/>
      <c r="F5" s="916"/>
      <c r="G5" s="916"/>
      <c r="H5" s="916"/>
      <c r="I5" s="916"/>
      <c r="J5" s="916"/>
      <c r="K5" s="916"/>
      <c r="L5" s="917"/>
    </row>
    <row r="6" spans="1:12" s="104" customFormat="1" ht="25.5" customHeight="1">
      <c r="A6" s="254" t="s">
        <v>10</v>
      </c>
      <c r="B6" s="491" t="s">
        <v>480</v>
      </c>
      <c r="C6" s="254" t="s">
        <v>481</v>
      </c>
      <c r="D6" s="492"/>
      <c r="E6" s="492"/>
      <c r="F6" s="492"/>
      <c r="G6" s="492">
        <f>SUM(D6:F6)</f>
        <v>0</v>
      </c>
      <c r="H6" s="686"/>
      <c r="I6" s="698"/>
      <c r="J6" s="698"/>
      <c r="K6" s="698"/>
      <c r="L6" s="699"/>
    </row>
    <row r="7" spans="1:12" s="104" customFormat="1" ht="30" customHeight="1">
      <c r="A7" s="254" t="s">
        <v>13</v>
      </c>
      <c r="B7" s="491" t="s">
        <v>482</v>
      </c>
      <c r="C7" s="254" t="s">
        <v>483</v>
      </c>
      <c r="D7" s="492"/>
      <c r="E7" s="492"/>
      <c r="F7" s="492"/>
      <c r="G7" s="492">
        <f t="shared" ref="G7:G9" si="0">SUM(D7:F7)</f>
        <v>0</v>
      </c>
      <c r="H7" s="686"/>
      <c r="I7" s="698"/>
      <c r="J7" s="698"/>
      <c r="K7" s="698"/>
      <c r="L7" s="699"/>
    </row>
    <row r="8" spans="1:12" s="104" customFormat="1" ht="25.5" customHeight="1">
      <c r="A8" s="254" t="s">
        <v>16</v>
      </c>
      <c r="B8" s="491" t="s">
        <v>484</v>
      </c>
      <c r="C8" s="487" t="s">
        <v>485</v>
      </c>
      <c r="D8" s="492"/>
      <c r="E8" s="492"/>
      <c r="F8" s="492"/>
      <c r="G8" s="492">
        <f t="shared" si="0"/>
        <v>0</v>
      </c>
      <c r="H8" s="686"/>
      <c r="I8" s="698"/>
      <c r="J8" s="698"/>
      <c r="K8" s="698"/>
      <c r="L8" s="699"/>
    </row>
    <row r="9" spans="1:12" s="104" customFormat="1" ht="25.5" customHeight="1">
      <c r="A9" s="254" t="s">
        <v>19</v>
      </c>
      <c r="B9" s="491" t="s">
        <v>486</v>
      </c>
      <c r="C9" s="487" t="s">
        <v>487</v>
      </c>
      <c r="D9" s="492"/>
      <c r="E9" s="492"/>
      <c r="F9" s="492"/>
      <c r="G9" s="492">
        <f t="shared" si="0"/>
        <v>0</v>
      </c>
      <c r="H9" s="686"/>
      <c r="I9" s="698"/>
      <c r="J9" s="698"/>
      <c r="K9" s="698"/>
      <c r="L9" s="699"/>
    </row>
    <row r="10" spans="1:12" s="104" customFormat="1" ht="27.75" customHeight="1">
      <c r="A10" s="108" t="s">
        <v>22</v>
      </c>
      <c r="B10" s="248" t="s">
        <v>488</v>
      </c>
      <c r="C10" s="108" t="s">
        <v>36</v>
      </c>
      <c r="D10" s="249">
        <f>SUM(D6:D9)</f>
        <v>0</v>
      </c>
      <c r="E10" s="249">
        <f>SUM(E6:E9)</f>
        <v>0</v>
      </c>
      <c r="F10" s="249">
        <f>SUM(F6:F9)</f>
        <v>0</v>
      </c>
      <c r="G10" s="249">
        <f>SUM(G6:G9)</f>
        <v>0</v>
      </c>
      <c r="H10" s="686"/>
      <c r="I10" s="698"/>
      <c r="J10" s="698"/>
      <c r="K10" s="698"/>
      <c r="L10" s="699"/>
    </row>
    <row r="11" spans="1:12" s="104" customFormat="1" ht="24.75" customHeight="1">
      <c r="A11" s="254" t="s">
        <v>25</v>
      </c>
      <c r="B11" s="491" t="s">
        <v>489</v>
      </c>
      <c r="C11" s="254" t="s">
        <v>490</v>
      </c>
      <c r="D11" s="249"/>
      <c r="E11" s="249"/>
      <c r="F11" s="249"/>
      <c r="G11" s="249">
        <f>SUM(D11:F11)</f>
        <v>0</v>
      </c>
      <c r="H11" s="686"/>
      <c r="I11" s="698"/>
      <c r="J11" s="698"/>
      <c r="K11" s="698"/>
      <c r="L11" s="699"/>
    </row>
    <row r="12" spans="1:12" s="104" customFormat="1" ht="30" customHeight="1">
      <c r="A12" s="254" t="s">
        <v>28</v>
      </c>
      <c r="B12" s="491" t="s">
        <v>491</v>
      </c>
      <c r="C12" s="254" t="s">
        <v>492</v>
      </c>
      <c r="D12" s="249"/>
      <c r="E12" s="249"/>
      <c r="F12" s="249"/>
      <c r="G12" s="249">
        <f t="shared" ref="G12:G14" si="1">SUM(D12:F12)</f>
        <v>0</v>
      </c>
      <c r="H12" s="686"/>
      <c r="I12" s="698"/>
      <c r="J12" s="698"/>
      <c r="K12" s="698"/>
      <c r="L12" s="699"/>
    </row>
    <row r="13" spans="1:12" s="104" customFormat="1" ht="30" customHeight="1">
      <c r="A13" s="254" t="s">
        <v>31</v>
      </c>
      <c r="B13" s="491" t="s">
        <v>493</v>
      </c>
      <c r="C13" s="254" t="s">
        <v>494</v>
      </c>
      <c r="D13" s="249"/>
      <c r="E13" s="249"/>
      <c r="F13" s="249"/>
      <c r="G13" s="249">
        <f t="shared" si="1"/>
        <v>0</v>
      </c>
      <c r="H13" s="686"/>
      <c r="I13" s="698"/>
      <c r="J13" s="698"/>
      <c r="K13" s="698"/>
      <c r="L13" s="699"/>
    </row>
    <row r="14" spans="1:12" s="104" customFormat="1" ht="30" customHeight="1">
      <c r="A14" s="254" t="s">
        <v>34</v>
      </c>
      <c r="B14" s="491" t="s">
        <v>495</v>
      </c>
      <c r="C14" s="254" t="s">
        <v>496</v>
      </c>
      <c r="D14" s="249"/>
      <c r="E14" s="249"/>
      <c r="F14" s="249"/>
      <c r="G14" s="249">
        <f t="shared" si="1"/>
        <v>0</v>
      </c>
      <c r="H14" s="686"/>
      <c r="I14" s="698"/>
      <c r="J14" s="698"/>
      <c r="K14" s="698"/>
      <c r="L14" s="699"/>
    </row>
    <row r="15" spans="1:12" s="104" customFormat="1" ht="21.75" customHeight="1">
      <c r="A15" s="108" t="s">
        <v>37</v>
      </c>
      <c r="B15" s="250" t="s">
        <v>456</v>
      </c>
      <c r="C15" s="251" t="s">
        <v>59</v>
      </c>
      <c r="D15" s="249">
        <f>SUM(D11:D14)</f>
        <v>0</v>
      </c>
      <c r="E15" s="249">
        <f>SUM(E11:E14)</f>
        <v>0</v>
      </c>
      <c r="F15" s="249">
        <f>SUM(F11:F14)</f>
        <v>0</v>
      </c>
      <c r="G15" s="249">
        <f>SUM(G11:G14)</f>
        <v>0</v>
      </c>
      <c r="H15" s="686"/>
      <c r="I15" s="698"/>
      <c r="J15" s="698"/>
      <c r="K15" s="698"/>
      <c r="L15" s="699"/>
    </row>
    <row r="16" spans="1:12" s="105" customFormat="1" ht="16.5" customHeight="1">
      <c r="A16" s="254" t="s">
        <v>39</v>
      </c>
      <c r="B16" s="493" t="s">
        <v>111</v>
      </c>
      <c r="C16" s="494" t="s">
        <v>112</v>
      </c>
      <c r="D16" s="495"/>
      <c r="E16" s="495"/>
      <c r="F16" s="495"/>
      <c r="G16" s="495">
        <f>SUM(D16:E16)</f>
        <v>0</v>
      </c>
      <c r="H16" s="687"/>
      <c r="I16" s="307"/>
      <c r="J16" s="307"/>
      <c r="K16" s="307"/>
      <c r="L16" s="700"/>
    </row>
    <row r="17" spans="1:12" s="105" customFormat="1" ht="16.5" customHeight="1">
      <c r="A17" s="254" t="s">
        <v>41</v>
      </c>
      <c r="B17" s="493" t="s">
        <v>114</v>
      </c>
      <c r="C17" s="494" t="s">
        <v>115</v>
      </c>
      <c r="D17" s="495"/>
      <c r="E17" s="495"/>
      <c r="F17" s="495">
        <v>800000</v>
      </c>
      <c r="G17" s="495">
        <f>SUM(D17:F17)</f>
        <v>800000</v>
      </c>
      <c r="H17" s="688">
        <f>J17-G17</f>
        <v>287774</v>
      </c>
      <c r="I17" s="307">
        <f>J17-G17-H17</f>
        <v>0</v>
      </c>
      <c r="J17" s="307">
        <v>1087774</v>
      </c>
      <c r="K17" s="307">
        <v>1087774</v>
      </c>
      <c r="L17" s="700">
        <f>K17/J17</f>
        <v>1</v>
      </c>
    </row>
    <row r="18" spans="1:12" s="105" customFormat="1" ht="16.5" customHeight="1">
      <c r="A18" s="254" t="s">
        <v>43</v>
      </c>
      <c r="B18" s="493" t="s">
        <v>497</v>
      </c>
      <c r="C18" s="494" t="s">
        <v>118</v>
      </c>
      <c r="D18" s="495">
        <f>SUM(D19:D20)</f>
        <v>0</v>
      </c>
      <c r="E18" s="495">
        <f>SUM(E19:E20)</f>
        <v>0</v>
      </c>
      <c r="F18" s="495">
        <f>SUM(F19:F20)</f>
        <v>5604344</v>
      </c>
      <c r="G18" s="495">
        <f>SUM(G19:G20)</f>
        <v>5604344</v>
      </c>
      <c r="H18" s="688">
        <f t="shared" ref="H18:H27" si="2">J18-G18</f>
        <v>0</v>
      </c>
      <c r="I18" s="307">
        <f t="shared" ref="I18:I28" si="3">J18-G18-H18</f>
        <v>0</v>
      </c>
      <c r="J18" s="307">
        <v>5604344</v>
      </c>
      <c r="K18" s="307">
        <v>4776694</v>
      </c>
      <c r="L18" s="700">
        <f t="shared" ref="L18:L42" si="4">K18/J18</f>
        <v>0.85231991469474389</v>
      </c>
    </row>
    <row r="19" spans="1:12" s="105" customFormat="1" ht="16.5" customHeight="1">
      <c r="A19" s="254" t="s">
        <v>45</v>
      </c>
      <c r="B19" s="496" t="s">
        <v>498</v>
      </c>
      <c r="C19" s="497" t="s">
        <v>499</v>
      </c>
      <c r="D19" s="498"/>
      <c r="E19" s="498"/>
      <c r="F19" s="498">
        <v>5604344</v>
      </c>
      <c r="G19" s="498">
        <f>SUM(D19:F19)</f>
        <v>5604344</v>
      </c>
      <c r="H19" s="688">
        <f t="shared" si="2"/>
        <v>0</v>
      </c>
      <c r="I19" s="307">
        <f t="shared" si="3"/>
        <v>0</v>
      </c>
      <c r="J19" s="307">
        <v>5604344</v>
      </c>
      <c r="K19" s="307">
        <v>4776694</v>
      </c>
      <c r="L19" s="700">
        <f t="shared" si="4"/>
        <v>0.85231991469474389</v>
      </c>
    </row>
    <row r="20" spans="1:12" s="106" customFormat="1" ht="16.5" customHeight="1">
      <c r="A20" s="254" t="s">
        <v>47</v>
      </c>
      <c r="B20" s="496" t="s">
        <v>500</v>
      </c>
      <c r="C20" s="497" t="s">
        <v>501</v>
      </c>
      <c r="D20" s="498"/>
      <c r="E20" s="498"/>
      <c r="F20" s="498"/>
      <c r="G20" s="498">
        <f t="shared" ref="G20:G28" si="5">SUM(D20:F20)</f>
        <v>0</v>
      </c>
      <c r="H20" s="688">
        <f t="shared" si="2"/>
        <v>0</v>
      </c>
      <c r="I20" s="307">
        <f t="shared" si="3"/>
        <v>0</v>
      </c>
      <c r="J20" s="307"/>
      <c r="K20" s="307"/>
      <c r="L20" s="700"/>
    </row>
    <row r="21" spans="1:12" s="106" customFormat="1" ht="16.5" customHeight="1">
      <c r="A21" s="254" t="s">
        <v>49</v>
      </c>
      <c r="B21" s="499" t="s">
        <v>120</v>
      </c>
      <c r="C21" s="494" t="s">
        <v>121</v>
      </c>
      <c r="D21" s="498"/>
      <c r="E21" s="498"/>
      <c r="F21" s="498"/>
      <c r="G21" s="498">
        <f t="shared" si="5"/>
        <v>0</v>
      </c>
      <c r="H21" s="688">
        <f t="shared" si="2"/>
        <v>0</v>
      </c>
      <c r="I21" s="307">
        <f t="shared" si="3"/>
        <v>0</v>
      </c>
      <c r="J21" s="307"/>
      <c r="K21" s="307"/>
      <c r="L21" s="700"/>
    </row>
    <row r="22" spans="1:12" s="105" customFormat="1" ht="16.5" customHeight="1">
      <c r="A22" s="254" t="s">
        <v>51</v>
      </c>
      <c r="B22" s="493" t="s">
        <v>123</v>
      </c>
      <c r="C22" s="494" t="s">
        <v>124</v>
      </c>
      <c r="D22" s="495"/>
      <c r="E22" s="495"/>
      <c r="F22" s="495"/>
      <c r="G22" s="498">
        <f t="shared" si="5"/>
        <v>0</v>
      </c>
      <c r="H22" s="688">
        <f t="shared" si="2"/>
        <v>0</v>
      </c>
      <c r="I22" s="307">
        <f t="shared" si="3"/>
        <v>0</v>
      </c>
      <c r="J22" s="307"/>
      <c r="K22" s="307"/>
      <c r="L22" s="700"/>
    </row>
    <row r="23" spans="1:12" s="105" customFormat="1" ht="16.5" customHeight="1">
      <c r="A23" s="254" t="s">
        <v>54</v>
      </c>
      <c r="B23" s="493" t="s">
        <v>502</v>
      </c>
      <c r="C23" s="494" t="s">
        <v>127</v>
      </c>
      <c r="D23" s="495"/>
      <c r="E23" s="495"/>
      <c r="F23" s="495">
        <v>216000</v>
      </c>
      <c r="G23" s="498">
        <f t="shared" si="5"/>
        <v>216000</v>
      </c>
      <c r="H23" s="688">
        <f t="shared" si="2"/>
        <v>0</v>
      </c>
      <c r="I23" s="307">
        <f t="shared" si="3"/>
        <v>0</v>
      </c>
      <c r="J23" s="307">
        <v>216000</v>
      </c>
      <c r="K23" s="307">
        <v>127649</v>
      </c>
      <c r="L23" s="700">
        <f t="shared" si="4"/>
        <v>0.59096759259259257</v>
      </c>
    </row>
    <row r="24" spans="1:12" s="106" customFormat="1" ht="16.5" customHeight="1">
      <c r="A24" s="254" t="s">
        <v>57</v>
      </c>
      <c r="B24" s="493" t="s">
        <v>503</v>
      </c>
      <c r="C24" s="494" t="s">
        <v>130</v>
      </c>
      <c r="D24" s="495"/>
      <c r="E24" s="495"/>
      <c r="F24" s="495"/>
      <c r="G24" s="498">
        <f t="shared" si="5"/>
        <v>0</v>
      </c>
      <c r="H24" s="688">
        <f t="shared" si="2"/>
        <v>0</v>
      </c>
      <c r="I24" s="307">
        <f t="shared" si="3"/>
        <v>0</v>
      </c>
      <c r="J24" s="307"/>
      <c r="K24" s="307"/>
      <c r="L24" s="700"/>
    </row>
    <row r="25" spans="1:12" s="106" customFormat="1" ht="16.5" customHeight="1">
      <c r="A25" s="254" t="s">
        <v>60</v>
      </c>
      <c r="B25" s="500" t="s">
        <v>132</v>
      </c>
      <c r="C25" s="494" t="s">
        <v>133</v>
      </c>
      <c r="D25" s="495"/>
      <c r="E25" s="495"/>
      <c r="F25" s="495"/>
      <c r="G25" s="498">
        <f t="shared" si="5"/>
        <v>0</v>
      </c>
      <c r="H25" s="688">
        <v>705</v>
      </c>
      <c r="I25" s="307">
        <f t="shared" si="3"/>
        <v>128</v>
      </c>
      <c r="J25" s="307">
        <v>833</v>
      </c>
      <c r="K25" s="307">
        <v>833</v>
      </c>
      <c r="L25" s="700">
        <f t="shared" si="4"/>
        <v>1</v>
      </c>
    </row>
    <row r="26" spans="1:12" s="106" customFormat="1" ht="16.5" customHeight="1">
      <c r="A26" s="254" t="s">
        <v>62</v>
      </c>
      <c r="B26" s="493" t="s">
        <v>504</v>
      </c>
      <c r="C26" s="494" t="s">
        <v>136</v>
      </c>
      <c r="D26" s="495"/>
      <c r="E26" s="495"/>
      <c r="F26" s="495"/>
      <c r="G26" s="498">
        <f t="shared" si="5"/>
        <v>0</v>
      </c>
      <c r="H26" s="688">
        <f t="shared" si="2"/>
        <v>0</v>
      </c>
      <c r="I26" s="307">
        <f t="shared" si="3"/>
        <v>0</v>
      </c>
      <c r="J26" s="307">
        <v>0</v>
      </c>
      <c r="K26" s="307"/>
      <c r="L26" s="700"/>
    </row>
    <row r="27" spans="1:12" s="106" customFormat="1" ht="16.5" customHeight="1">
      <c r="A27" s="254" t="s">
        <v>64</v>
      </c>
      <c r="B27" s="493" t="s">
        <v>505</v>
      </c>
      <c r="C27" s="494" t="s">
        <v>139</v>
      </c>
      <c r="D27" s="495"/>
      <c r="E27" s="495"/>
      <c r="F27" s="495"/>
      <c r="G27" s="498">
        <f t="shared" si="5"/>
        <v>0</v>
      </c>
      <c r="H27" s="688">
        <f t="shared" si="2"/>
        <v>0</v>
      </c>
      <c r="I27" s="307">
        <f t="shared" si="3"/>
        <v>0</v>
      </c>
      <c r="J27" s="307"/>
      <c r="K27" s="307"/>
      <c r="L27" s="700"/>
    </row>
    <row r="28" spans="1:12" s="106" customFormat="1" ht="16.5" customHeight="1">
      <c r="A28" s="254" t="s">
        <v>66</v>
      </c>
      <c r="B28" s="493" t="s">
        <v>141</v>
      </c>
      <c r="C28" s="494" t="s">
        <v>142</v>
      </c>
      <c r="D28" s="376"/>
      <c r="E28" s="376"/>
      <c r="F28" s="376"/>
      <c r="G28" s="498">
        <f t="shared" si="5"/>
        <v>0</v>
      </c>
      <c r="H28" s="688">
        <v>330750</v>
      </c>
      <c r="I28" s="307">
        <f t="shared" si="3"/>
        <v>8</v>
      </c>
      <c r="J28" s="307">
        <v>330758</v>
      </c>
      <c r="K28" s="307">
        <v>330758</v>
      </c>
      <c r="L28" s="700">
        <f t="shared" si="4"/>
        <v>1</v>
      </c>
    </row>
    <row r="29" spans="1:12" s="106" customFormat="1" ht="21" customHeight="1">
      <c r="A29" s="108" t="s">
        <v>68</v>
      </c>
      <c r="B29" s="109" t="s">
        <v>506</v>
      </c>
      <c r="C29" s="252" t="s">
        <v>145</v>
      </c>
      <c r="D29" s="111">
        <f>SUM(D16+D17+D18+D21+D22+D23+D24+D25+D26+D27+D28)</f>
        <v>0</v>
      </c>
      <c r="E29" s="111">
        <f>SUM(E16+E17+E18+E21+E22+E23+E24+E25+E26+E27+E28)</f>
        <v>0</v>
      </c>
      <c r="F29" s="111">
        <f>SUM(F16+F17+F18+F21+F22+F23+F24+F25+F26+F27+F28)</f>
        <v>6620344</v>
      </c>
      <c r="G29" s="111">
        <f>SUM(G16+G17+G18+G21+G22+G23+G24+G25+G26+G27+G28)</f>
        <v>6620344</v>
      </c>
      <c r="H29" s="689">
        <f t="shared" ref="H29:K29" si="6">SUM(H16+H17+H18+H21+H22+H23+H24+H25+H26+H27+H28)</f>
        <v>619229</v>
      </c>
      <c r="I29" s="701">
        <f t="shared" si="6"/>
        <v>136</v>
      </c>
      <c r="J29" s="701">
        <f t="shared" si="6"/>
        <v>7239709</v>
      </c>
      <c r="K29" s="701">
        <f t="shared" si="6"/>
        <v>6323708</v>
      </c>
      <c r="L29" s="700">
        <f t="shared" si="4"/>
        <v>0.87347543941337968</v>
      </c>
    </row>
    <row r="30" spans="1:12" s="107" customFormat="1" ht="21" customHeight="1">
      <c r="A30" s="108" t="s">
        <v>70</v>
      </c>
      <c r="B30" s="109" t="s">
        <v>458</v>
      </c>
      <c r="C30" s="252" t="s">
        <v>163</v>
      </c>
      <c r="D30" s="111"/>
      <c r="E30" s="111"/>
      <c r="F30" s="111"/>
      <c r="G30" s="111">
        <f>SUM(D30:F30)</f>
        <v>0</v>
      </c>
      <c r="H30" s="690"/>
      <c r="I30" s="305"/>
      <c r="J30" s="305"/>
      <c r="K30" s="305"/>
      <c r="L30" s="700"/>
    </row>
    <row r="31" spans="1:12" s="106" customFormat="1" ht="21" customHeight="1">
      <c r="A31" s="108" t="s">
        <v>72</v>
      </c>
      <c r="B31" s="109" t="s">
        <v>427</v>
      </c>
      <c r="C31" s="252" t="s">
        <v>172</v>
      </c>
      <c r="D31" s="253"/>
      <c r="E31" s="253"/>
      <c r="F31" s="253"/>
      <c r="G31" s="253">
        <f>SUM(D31:F31)</f>
        <v>0</v>
      </c>
      <c r="H31" s="504"/>
      <c r="I31" s="307"/>
      <c r="J31" s="307"/>
      <c r="K31" s="307"/>
      <c r="L31" s="700"/>
    </row>
    <row r="32" spans="1:12" s="106" customFormat="1" ht="21" customHeight="1">
      <c r="A32" s="108" t="s">
        <v>75</v>
      </c>
      <c r="B32" s="109" t="s">
        <v>459</v>
      </c>
      <c r="C32" s="252" t="s">
        <v>181</v>
      </c>
      <c r="D32" s="253"/>
      <c r="E32" s="253"/>
      <c r="F32" s="253"/>
      <c r="G32" s="253">
        <f>SUM(D32:F32)</f>
        <v>0</v>
      </c>
      <c r="H32" s="504"/>
      <c r="I32" s="307"/>
      <c r="J32" s="307"/>
      <c r="K32" s="307"/>
      <c r="L32" s="700"/>
    </row>
    <row r="33" spans="1:12" s="106" customFormat="1" ht="21" customHeight="1">
      <c r="A33" s="108" t="s">
        <v>78</v>
      </c>
      <c r="B33" s="109" t="s">
        <v>507</v>
      </c>
      <c r="C33" s="110"/>
      <c r="D33" s="111">
        <f>D10+D15+D29+D30+D31+D32</f>
        <v>0</v>
      </c>
      <c r="E33" s="111">
        <f>E10+E15+E29+E30+E31+E32</f>
        <v>0</v>
      </c>
      <c r="F33" s="111">
        <f>F10+F15+F29+F30+F31+F32</f>
        <v>6620344</v>
      </c>
      <c r="G33" s="111">
        <f>G10+G15+G29+G30+G31+G32</f>
        <v>6620344</v>
      </c>
      <c r="H33" s="689">
        <f t="shared" ref="H33:K33" si="7">H10+H15+H29+H30+H31+H32</f>
        <v>619229</v>
      </c>
      <c r="I33" s="689">
        <f t="shared" si="7"/>
        <v>136</v>
      </c>
      <c r="J33" s="689">
        <f t="shared" si="7"/>
        <v>7239709</v>
      </c>
      <c r="K33" s="689">
        <f t="shared" si="7"/>
        <v>6323708</v>
      </c>
      <c r="L33" s="700">
        <f t="shared" si="4"/>
        <v>0.87347543941337968</v>
      </c>
    </row>
    <row r="34" spans="1:12" s="105" customFormat="1" ht="20.25" customHeight="1">
      <c r="A34" s="254" t="s">
        <v>81</v>
      </c>
      <c r="B34" s="277" t="s">
        <v>508</v>
      </c>
      <c r="C34" s="488" t="s">
        <v>190</v>
      </c>
      <c r="D34" s="445">
        <f>SUM(D35:D36)</f>
        <v>0</v>
      </c>
      <c r="E34" s="445">
        <f>SUM(E35:E36)</f>
        <v>0</v>
      </c>
      <c r="F34" s="445">
        <f>SUM(F35:F36)</f>
        <v>0</v>
      </c>
      <c r="G34" s="445">
        <f>SUM(G35:G36)</f>
        <v>0</v>
      </c>
      <c r="H34" s="688">
        <v>1081188</v>
      </c>
      <c r="I34" s="307"/>
      <c r="J34" s="307">
        <v>1081188</v>
      </c>
      <c r="K34" s="307">
        <v>1081188</v>
      </c>
      <c r="L34" s="700">
        <f t="shared" si="4"/>
        <v>1</v>
      </c>
    </row>
    <row r="35" spans="1:12" s="105" customFormat="1" ht="20.25" customHeight="1">
      <c r="A35" s="254" t="s">
        <v>83</v>
      </c>
      <c r="B35" s="274" t="s">
        <v>192</v>
      </c>
      <c r="C35" s="488" t="s">
        <v>193</v>
      </c>
      <c r="D35" s="445"/>
      <c r="E35" s="445"/>
      <c r="F35" s="445"/>
      <c r="G35" s="445">
        <f>SUM(D35:F35)</f>
        <v>0</v>
      </c>
      <c r="H35" s="688">
        <f t="shared" ref="H35:H39" si="8">J35-G35</f>
        <v>0</v>
      </c>
      <c r="I35" s="307"/>
      <c r="J35" s="307"/>
      <c r="K35" s="307"/>
      <c r="L35" s="700"/>
    </row>
    <row r="36" spans="1:12" s="105" customFormat="1" ht="20.25" customHeight="1">
      <c r="A36" s="254" t="s">
        <v>85</v>
      </c>
      <c r="B36" s="274" t="s">
        <v>195</v>
      </c>
      <c r="C36" s="488" t="s">
        <v>196</v>
      </c>
      <c r="D36" s="445"/>
      <c r="E36" s="445"/>
      <c r="F36" s="445"/>
      <c r="G36" s="445">
        <f>SUM(D36:F36)</f>
        <v>0</v>
      </c>
      <c r="H36" s="688">
        <f t="shared" si="8"/>
        <v>0</v>
      </c>
      <c r="I36" s="307"/>
      <c r="J36" s="307"/>
      <c r="K36" s="307"/>
      <c r="L36" s="700"/>
    </row>
    <row r="37" spans="1:12" s="105" customFormat="1" ht="20.25" customHeight="1">
      <c r="A37" s="254" t="s">
        <v>87</v>
      </c>
      <c r="B37" s="277" t="s">
        <v>509</v>
      </c>
      <c r="C37" s="365" t="s">
        <v>510</v>
      </c>
      <c r="D37" s="445">
        <f>SUM(D38:D39)</f>
        <v>100666221</v>
      </c>
      <c r="E37" s="445">
        <f t="shared" ref="E37:G37" si="9">SUM(E38:E39)</f>
        <v>9132668</v>
      </c>
      <c r="F37" s="445">
        <f t="shared" si="9"/>
        <v>163552282</v>
      </c>
      <c r="G37" s="445">
        <f t="shared" si="9"/>
        <v>273351171</v>
      </c>
      <c r="H37" s="688">
        <v>1543732</v>
      </c>
      <c r="I37" s="307">
        <f>J37-G37-H37</f>
        <v>7300890</v>
      </c>
      <c r="J37" s="307">
        <v>282195793</v>
      </c>
      <c r="K37" s="307">
        <v>197445862</v>
      </c>
      <c r="L37" s="700">
        <f t="shared" si="4"/>
        <v>0.69967684458003243</v>
      </c>
    </row>
    <row r="38" spans="1:12" s="105" customFormat="1" ht="20.25" customHeight="1">
      <c r="A38" s="254"/>
      <c r="B38" s="501" t="s">
        <v>598</v>
      </c>
      <c r="C38" s="356" t="s">
        <v>510</v>
      </c>
      <c r="D38" s="445">
        <v>71018282</v>
      </c>
      <c r="E38" s="445"/>
      <c r="F38" s="445">
        <v>134217642</v>
      </c>
      <c r="G38" s="445">
        <f>SUM(D38:F38)</f>
        <v>205235924</v>
      </c>
      <c r="H38" s="688">
        <v>1487302</v>
      </c>
      <c r="I38" s="307">
        <f t="shared" ref="I38:I39" si="10">J38-G38-H38</f>
        <v>0</v>
      </c>
      <c r="J38" s="307">
        <v>206723226</v>
      </c>
      <c r="K38" s="307">
        <v>129330615</v>
      </c>
      <c r="L38" s="700">
        <f t="shared" si="4"/>
        <v>0.62562208176840273</v>
      </c>
    </row>
    <row r="39" spans="1:12" s="105" customFormat="1" ht="20.25" customHeight="1">
      <c r="A39" s="254"/>
      <c r="B39" s="502" t="s">
        <v>599</v>
      </c>
      <c r="C39" s="356" t="s">
        <v>510</v>
      </c>
      <c r="D39" s="445">
        <v>29647939</v>
      </c>
      <c r="E39" s="445">
        <v>9132668</v>
      </c>
      <c r="F39" s="445">
        <v>29334640</v>
      </c>
      <c r="G39" s="445">
        <f>SUM(D39:F39)</f>
        <v>68115247</v>
      </c>
      <c r="H39" s="688">
        <f t="shared" si="8"/>
        <v>0</v>
      </c>
      <c r="I39" s="307">
        <f t="shared" si="10"/>
        <v>0</v>
      </c>
      <c r="J39" s="307">
        <v>68115247</v>
      </c>
      <c r="K39" s="307">
        <v>68115247</v>
      </c>
      <c r="L39" s="700">
        <f t="shared" si="4"/>
        <v>1</v>
      </c>
    </row>
    <row r="40" spans="1:12" s="105" customFormat="1" ht="20.25" customHeight="1">
      <c r="A40" s="254" t="s">
        <v>90</v>
      </c>
      <c r="B40" s="109" t="s">
        <v>511</v>
      </c>
      <c r="C40" s="113" t="s">
        <v>512</v>
      </c>
      <c r="D40" s="112">
        <f>SUM(D34+D37)</f>
        <v>100666221</v>
      </c>
      <c r="E40" s="112">
        <f t="shared" ref="E40:F40" si="11">SUM(E34+E37)</f>
        <v>9132668</v>
      </c>
      <c r="F40" s="112">
        <f t="shared" si="11"/>
        <v>163552282</v>
      </c>
      <c r="G40" s="112">
        <f>SUM(G34+G37)</f>
        <v>273351171</v>
      </c>
      <c r="H40" s="439">
        <f t="shared" ref="H40:K40" si="12">SUM(H34+H37)</f>
        <v>2624920</v>
      </c>
      <c r="I40" s="439">
        <f t="shared" si="12"/>
        <v>7300890</v>
      </c>
      <c r="J40" s="439">
        <f t="shared" si="12"/>
        <v>283276981</v>
      </c>
      <c r="K40" s="439">
        <f t="shared" si="12"/>
        <v>198527050</v>
      </c>
      <c r="L40" s="700">
        <f t="shared" si="4"/>
        <v>0.70082309299956846</v>
      </c>
    </row>
    <row r="41" spans="1:12" s="105" customFormat="1" ht="20.25" customHeight="1">
      <c r="A41" s="108" t="s">
        <v>94</v>
      </c>
      <c r="B41" s="109" t="s">
        <v>513</v>
      </c>
      <c r="C41" s="113" t="s">
        <v>199</v>
      </c>
      <c r="D41" s="112">
        <f>D40</f>
        <v>100666221</v>
      </c>
      <c r="E41" s="112">
        <f t="shared" ref="E41:F41" si="13">E40</f>
        <v>9132668</v>
      </c>
      <c r="F41" s="112">
        <f t="shared" si="13"/>
        <v>163552282</v>
      </c>
      <c r="G41" s="112">
        <f t="shared" ref="G41:K41" si="14">G40</f>
        <v>273351171</v>
      </c>
      <c r="H41" s="439">
        <f t="shared" si="14"/>
        <v>2624920</v>
      </c>
      <c r="I41" s="439">
        <f t="shared" si="14"/>
        <v>7300890</v>
      </c>
      <c r="J41" s="439">
        <f t="shared" si="14"/>
        <v>283276981</v>
      </c>
      <c r="K41" s="439">
        <f t="shared" si="14"/>
        <v>198527050</v>
      </c>
      <c r="L41" s="700">
        <f t="shared" si="4"/>
        <v>0.70082309299956846</v>
      </c>
    </row>
    <row r="42" spans="1:12" s="105" customFormat="1" ht="27" customHeight="1">
      <c r="A42" s="108" t="s">
        <v>97</v>
      </c>
      <c r="B42" s="109" t="s">
        <v>514</v>
      </c>
      <c r="C42" s="113"/>
      <c r="D42" s="112">
        <f>D33+D41</f>
        <v>100666221</v>
      </c>
      <c r="E42" s="112">
        <f>E33+E41</f>
        <v>9132668</v>
      </c>
      <c r="F42" s="112">
        <f>F33+F41</f>
        <v>170172626</v>
      </c>
      <c r="G42" s="112">
        <f>G33+G41</f>
        <v>279971515</v>
      </c>
      <c r="H42" s="439">
        <f t="shared" ref="H42:K42" si="15">H33+H41</f>
        <v>3244149</v>
      </c>
      <c r="I42" s="439">
        <f t="shared" si="15"/>
        <v>7301026</v>
      </c>
      <c r="J42" s="439">
        <f t="shared" si="15"/>
        <v>290516690</v>
      </c>
      <c r="K42" s="439">
        <f t="shared" si="15"/>
        <v>204850758</v>
      </c>
      <c r="L42" s="700">
        <f t="shared" si="4"/>
        <v>0.70512560913453892</v>
      </c>
    </row>
    <row r="43" spans="1:12" s="105" customFormat="1" ht="15" customHeight="1">
      <c r="A43" s="114"/>
      <c r="B43" s="115"/>
      <c r="C43" s="116"/>
      <c r="D43" s="117"/>
      <c r="E43" s="117"/>
      <c r="F43" s="117"/>
      <c r="G43" s="117"/>
      <c r="H43" s="691"/>
      <c r="I43" s="314"/>
      <c r="J43" s="314"/>
      <c r="K43" s="314"/>
      <c r="L43" s="703" t="s">
        <v>861</v>
      </c>
    </row>
    <row r="44" spans="1:12" s="105" customFormat="1" ht="15" customHeight="1">
      <c r="A44" s="913" t="s">
        <v>515</v>
      </c>
      <c r="B44" s="913"/>
      <c r="C44" s="913"/>
      <c r="D44" s="913"/>
      <c r="E44" s="913"/>
      <c r="F44" s="913"/>
      <c r="G44" s="913"/>
      <c r="H44" s="913"/>
      <c r="I44" s="913"/>
      <c r="J44" s="913"/>
      <c r="K44" s="314"/>
      <c r="L44" s="702"/>
    </row>
    <row r="45" spans="1:12" s="503" customFormat="1" ht="38.25" customHeight="1">
      <c r="A45" s="113" t="s">
        <v>407</v>
      </c>
      <c r="B45" s="113" t="s">
        <v>267</v>
      </c>
      <c r="C45" s="113" t="s">
        <v>476</v>
      </c>
      <c r="D45" s="113" t="s">
        <v>477</v>
      </c>
      <c r="E45" s="113" t="s">
        <v>478</v>
      </c>
      <c r="F45" s="113" t="s">
        <v>854</v>
      </c>
      <c r="G45" s="113" t="s">
        <v>516</v>
      </c>
      <c r="H45" s="685" t="s">
        <v>1002</v>
      </c>
      <c r="I45" s="305" t="s">
        <v>1003</v>
      </c>
      <c r="J45" s="305" t="s">
        <v>857</v>
      </c>
      <c r="K45" s="305" t="s">
        <v>1004</v>
      </c>
      <c r="L45" s="697" t="s">
        <v>1005</v>
      </c>
    </row>
    <row r="46" spans="1:12" s="668" customFormat="1" ht="15" customHeight="1">
      <c r="A46" s="667" t="s">
        <v>6</v>
      </c>
      <c r="B46" s="667" t="s">
        <v>7</v>
      </c>
      <c r="C46" s="667"/>
      <c r="D46" s="667" t="s">
        <v>9</v>
      </c>
      <c r="E46" s="667" t="s">
        <v>269</v>
      </c>
      <c r="F46" s="667" t="s">
        <v>479</v>
      </c>
      <c r="G46" s="667" t="s">
        <v>855</v>
      </c>
      <c r="H46" s="686" t="s">
        <v>859</v>
      </c>
      <c r="I46" s="698" t="s">
        <v>860</v>
      </c>
      <c r="J46" s="698" t="s">
        <v>1008</v>
      </c>
      <c r="K46" s="698" t="s">
        <v>1009</v>
      </c>
      <c r="L46" s="699" t="s">
        <v>1010</v>
      </c>
    </row>
    <row r="47" spans="1:12" s="105" customFormat="1" ht="17.25" customHeight="1">
      <c r="A47" s="323" t="s">
        <v>10</v>
      </c>
      <c r="B47" s="366" t="s">
        <v>204</v>
      </c>
      <c r="C47" s="337" t="s">
        <v>205</v>
      </c>
      <c r="D47" s="326">
        <v>64760954</v>
      </c>
      <c r="E47" s="326">
        <v>5320450</v>
      </c>
      <c r="F47" s="326">
        <v>109953405</v>
      </c>
      <c r="G47" s="326">
        <f>SUM(D47:F47)</f>
        <v>180034809</v>
      </c>
      <c r="H47" s="688">
        <v>1222928</v>
      </c>
      <c r="I47" s="307">
        <f>J47-G47-H47</f>
        <v>959336</v>
      </c>
      <c r="J47" s="307">
        <v>182217073</v>
      </c>
      <c r="K47" s="307">
        <v>134232993</v>
      </c>
      <c r="L47" s="700">
        <f>K47/J47</f>
        <v>0.73666529041436202</v>
      </c>
    </row>
    <row r="48" spans="1:12" s="105" customFormat="1" ht="17.25" customHeight="1">
      <c r="A48" s="323" t="s">
        <v>13</v>
      </c>
      <c r="B48" s="366" t="s">
        <v>206</v>
      </c>
      <c r="C48" s="337" t="s">
        <v>207</v>
      </c>
      <c r="D48" s="326">
        <v>17291291</v>
      </c>
      <c r="E48" s="326">
        <v>1178018</v>
      </c>
      <c r="F48" s="326">
        <v>24264237</v>
      </c>
      <c r="G48" s="326">
        <f>SUM(D48:F48)</f>
        <v>42733546</v>
      </c>
      <c r="H48" s="688">
        <v>264374</v>
      </c>
      <c r="I48" s="307">
        <f t="shared" ref="I48:I51" si="16">J48-G48-H48</f>
        <v>208058</v>
      </c>
      <c r="J48" s="307">
        <v>43205978</v>
      </c>
      <c r="K48" s="307">
        <v>31922609</v>
      </c>
      <c r="L48" s="700">
        <f t="shared" ref="L48:L60" si="17">K48/J48</f>
        <v>0.73884704102751708</v>
      </c>
    </row>
    <row r="49" spans="1:12" s="105" customFormat="1" ht="17.25" customHeight="1">
      <c r="A49" s="323" t="s">
        <v>16</v>
      </c>
      <c r="B49" s="366" t="s">
        <v>208</v>
      </c>
      <c r="C49" s="337" t="s">
        <v>209</v>
      </c>
      <c r="D49" s="326">
        <v>16362016</v>
      </c>
      <c r="E49" s="326">
        <v>145000</v>
      </c>
      <c r="F49" s="326">
        <v>35954984</v>
      </c>
      <c r="G49" s="326">
        <f t="shared" ref="G49:G51" si="18">SUM(D49:F49)</f>
        <v>52462000</v>
      </c>
      <c r="H49" s="688">
        <v>1356213</v>
      </c>
      <c r="I49" s="307">
        <f t="shared" si="16"/>
        <v>157193</v>
      </c>
      <c r="J49" s="307">
        <v>53975406</v>
      </c>
      <c r="K49" s="307">
        <v>31143701</v>
      </c>
      <c r="L49" s="700">
        <f t="shared" si="17"/>
        <v>0.57699799423463349</v>
      </c>
    </row>
    <row r="50" spans="1:12" s="105" customFormat="1" ht="17.25" customHeight="1">
      <c r="A50" s="323" t="s">
        <v>19</v>
      </c>
      <c r="B50" s="366" t="s">
        <v>210</v>
      </c>
      <c r="C50" s="337" t="s">
        <v>211</v>
      </c>
      <c r="D50" s="326">
        <v>677160</v>
      </c>
      <c r="E50" s="326"/>
      <c r="F50" s="326"/>
      <c r="G50" s="326">
        <f t="shared" si="18"/>
        <v>677160</v>
      </c>
      <c r="H50" s="688">
        <v>112860</v>
      </c>
      <c r="I50" s="307">
        <f t="shared" si="16"/>
        <v>6364840</v>
      </c>
      <c r="J50" s="307">
        <v>7154860</v>
      </c>
      <c r="K50" s="307">
        <v>583470</v>
      </c>
      <c r="L50" s="700">
        <f t="shared" si="17"/>
        <v>8.1548765454530214E-2</v>
      </c>
    </row>
    <row r="51" spans="1:12" s="105" customFormat="1" ht="17.25" customHeight="1">
      <c r="A51" s="323" t="s">
        <v>22</v>
      </c>
      <c r="B51" s="366" t="s">
        <v>212</v>
      </c>
      <c r="C51" s="337" t="s">
        <v>213</v>
      </c>
      <c r="D51" s="326"/>
      <c r="E51" s="326"/>
      <c r="F51" s="326"/>
      <c r="G51" s="326">
        <f t="shared" si="18"/>
        <v>0</v>
      </c>
      <c r="H51" s="688">
        <f t="shared" ref="H51" si="19">J51-G51</f>
        <v>0</v>
      </c>
      <c r="I51" s="307">
        <f t="shared" si="16"/>
        <v>0</v>
      </c>
      <c r="J51" s="307"/>
      <c r="K51" s="307"/>
      <c r="L51" s="700" t="s">
        <v>861</v>
      </c>
    </row>
    <row r="52" spans="1:12" s="506" customFormat="1" ht="17.25" customHeight="1">
      <c r="A52" s="119" t="s">
        <v>25</v>
      </c>
      <c r="B52" s="362" t="s">
        <v>517</v>
      </c>
      <c r="C52" s="113" t="s">
        <v>230</v>
      </c>
      <c r="D52" s="256">
        <f>SUM(D47:D51)</f>
        <v>99091421</v>
      </c>
      <c r="E52" s="256">
        <f>SUM(E47:E51)</f>
        <v>6643468</v>
      </c>
      <c r="F52" s="256">
        <f>SUM(F47:F51)</f>
        <v>170172626</v>
      </c>
      <c r="G52" s="256">
        <f>SUM(G47:G51)</f>
        <v>275907515</v>
      </c>
      <c r="H52" s="692">
        <f t="shared" ref="H52:K52" si="20">SUM(H47:H51)</f>
        <v>2956375</v>
      </c>
      <c r="I52" s="692">
        <f t="shared" si="20"/>
        <v>7689427</v>
      </c>
      <c r="J52" s="692">
        <f t="shared" si="20"/>
        <v>286553317</v>
      </c>
      <c r="K52" s="692">
        <f t="shared" si="20"/>
        <v>197882773</v>
      </c>
      <c r="L52" s="700">
        <f t="shared" si="17"/>
        <v>0.69056179517196092</v>
      </c>
    </row>
    <row r="53" spans="1:12" s="118" customFormat="1" ht="17.25" customHeight="1">
      <c r="A53" s="323" t="s">
        <v>28</v>
      </c>
      <c r="B53" s="366" t="s">
        <v>518</v>
      </c>
      <c r="C53" s="337" t="s">
        <v>232</v>
      </c>
      <c r="D53" s="326">
        <v>1574800</v>
      </c>
      <c r="E53" s="326">
        <v>2489200</v>
      </c>
      <c r="F53" s="326"/>
      <c r="G53" s="326">
        <f>SUM(D53:F53)</f>
        <v>4064000</v>
      </c>
      <c r="H53" s="504"/>
      <c r="I53" s="307">
        <f>J53-G53-H53</f>
        <v>-100627</v>
      </c>
      <c r="J53" s="307">
        <v>3963373</v>
      </c>
      <c r="K53" s="307">
        <v>2268233</v>
      </c>
      <c r="L53" s="700">
        <f t="shared" si="17"/>
        <v>0.57229864562331123</v>
      </c>
    </row>
    <row r="54" spans="1:12" ht="17.25" customHeight="1">
      <c r="A54" s="323" t="s">
        <v>31</v>
      </c>
      <c r="B54" s="366" t="s">
        <v>233</v>
      </c>
      <c r="C54" s="337" t="s">
        <v>234</v>
      </c>
      <c r="D54" s="326"/>
      <c r="E54" s="326"/>
      <c r="F54" s="326"/>
      <c r="G54" s="326">
        <f t="shared" ref="G54:G55" si="21">SUM(D54:F54)</f>
        <v>0</v>
      </c>
      <c r="H54" s="687"/>
      <c r="I54" s="307"/>
      <c r="J54" s="307"/>
      <c r="K54" s="307"/>
      <c r="L54" s="700"/>
    </row>
    <row r="55" spans="1:12" ht="17.25" customHeight="1">
      <c r="A55" s="323" t="s">
        <v>34</v>
      </c>
      <c r="B55" s="366" t="s">
        <v>519</v>
      </c>
      <c r="C55" s="337" t="s">
        <v>236</v>
      </c>
      <c r="D55" s="326"/>
      <c r="E55" s="326"/>
      <c r="F55" s="326"/>
      <c r="G55" s="326">
        <f t="shared" si="21"/>
        <v>0</v>
      </c>
      <c r="H55" s="687"/>
      <c r="I55" s="307"/>
      <c r="J55" s="307"/>
      <c r="K55" s="307"/>
      <c r="L55" s="700"/>
    </row>
    <row r="56" spans="1:12" ht="17.25" customHeight="1">
      <c r="A56" s="119" t="s">
        <v>37</v>
      </c>
      <c r="B56" s="255" t="s">
        <v>520</v>
      </c>
      <c r="C56" s="113" t="s">
        <v>248</v>
      </c>
      <c r="D56" s="256">
        <f>SUM(D53:D55)</f>
        <v>1574800</v>
      </c>
      <c r="E56" s="256">
        <f>SUM(E53:E55)</f>
        <v>2489200</v>
      </c>
      <c r="F56" s="256">
        <f>SUM(F53:F55)</f>
        <v>0</v>
      </c>
      <c r="G56" s="256">
        <f>SUM(G53:G55)</f>
        <v>4064000</v>
      </c>
      <c r="H56" s="256">
        <f t="shared" ref="H56:K56" si="22">SUM(H53:H55)</f>
        <v>0</v>
      </c>
      <c r="I56" s="256">
        <f t="shared" si="22"/>
        <v>-100627</v>
      </c>
      <c r="J56" s="256">
        <f t="shared" si="22"/>
        <v>3963373</v>
      </c>
      <c r="K56" s="256">
        <f t="shared" si="22"/>
        <v>2268233</v>
      </c>
      <c r="L56" s="700">
        <f t="shared" si="17"/>
        <v>0.57229864562331123</v>
      </c>
    </row>
    <row r="57" spans="1:12" s="490" customFormat="1" ht="17.25" customHeight="1">
      <c r="A57" s="119" t="s">
        <v>39</v>
      </c>
      <c r="B57" s="120" t="s">
        <v>521</v>
      </c>
      <c r="C57" s="113" t="s">
        <v>522</v>
      </c>
      <c r="D57" s="121">
        <f>D52+D56</f>
        <v>100666221</v>
      </c>
      <c r="E57" s="121">
        <f>E52+E56</f>
        <v>9132668</v>
      </c>
      <c r="F57" s="121">
        <f>F52+F56</f>
        <v>170172626</v>
      </c>
      <c r="G57" s="121">
        <f>G52+G56</f>
        <v>279971515</v>
      </c>
      <c r="H57" s="333">
        <f t="shared" ref="H57:K57" si="23">H52+H56</f>
        <v>2956375</v>
      </c>
      <c r="I57" s="333">
        <f t="shared" si="23"/>
        <v>7588800</v>
      </c>
      <c r="J57" s="333">
        <f t="shared" si="23"/>
        <v>290516690</v>
      </c>
      <c r="K57" s="333">
        <f t="shared" si="23"/>
        <v>200151006</v>
      </c>
      <c r="L57" s="700">
        <f t="shared" si="17"/>
        <v>0.68894839053825097</v>
      </c>
    </row>
    <row r="58" spans="1:12" ht="22.5" customHeight="1">
      <c r="A58" s="488" t="s">
        <v>41</v>
      </c>
      <c r="B58" s="120" t="s">
        <v>523</v>
      </c>
      <c r="C58" s="113" t="s">
        <v>524</v>
      </c>
      <c r="D58" s="121"/>
      <c r="E58" s="121"/>
      <c r="F58" s="121"/>
      <c r="G58" s="121">
        <f>SUM(D58:F58)</f>
        <v>0</v>
      </c>
      <c r="H58" s="687"/>
      <c r="I58" s="307"/>
      <c r="J58" s="307"/>
      <c r="K58" s="307"/>
      <c r="L58" s="700"/>
    </row>
    <row r="59" spans="1:12" s="490" customFormat="1" ht="20.25" customHeight="1">
      <c r="A59" s="113" t="s">
        <v>45</v>
      </c>
      <c r="B59" s="120" t="s">
        <v>600</v>
      </c>
      <c r="C59" s="113" t="s">
        <v>260</v>
      </c>
      <c r="D59" s="121">
        <f>D58</f>
        <v>0</v>
      </c>
      <c r="E59" s="121">
        <f t="shared" ref="E59:G59" si="24">E58</f>
        <v>0</v>
      </c>
      <c r="F59" s="121">
        <f t="shared" si="24"/>
        <v>0</v>
      </c>
      <c r="G59" s="121">
        <f t="shared" si="24"/>
        <v>0</v>
      </c>
      <c r="H59" s="685"/>
      <c r="I59" s="305"/>
      <c r="J59" s="305"/>
      <c r="K59" s="305"/>
      <c r="L59" s="700"/>
    </row>
    <row r="60" spans="1:12" s="490" customFormat="1" ht="30.75" customHeight="1">
      <c r="A60" s="113" t="s">
        <v>47</v>
      </c>
      <c r="B60" s="120" t="s">
        <v>525</v>
      </c>
      <c r="C60" s="113" t="s">
        <v>262</v>
      </c>
      <c r="D60" s="121">
        <f>SUM(D57+D59)</f>
        <v>100666221</v>
      </c>
      <c r="E60" s="121">
        <f>SUM(E57+E59)</f>
        <v>9132668</v>
      </c>
      <c r="F60" s="121">
        <f>SUM(F57+F59)</f>
        <v>170172626</v>
      </c>
      <c r="G60" s="121">
        <f>SUM(G57+G59)</f>
        <v>279971515</v>
      </c>
      <c r="H60" s="333">
        <f t="shared" ref="H60:K60" si="25">SUM(H57+H59)</f>
        <v>2956375</v>
      </c>
      <c r="I60" s="333">
        <f t="shared" si="25"/>
        <v>7588800</v>
      </c>
      <c r="J60" s="333">
        <f t="shared" si="25"/>
        <v>290516690</v>
      </c>
      <c r="K60" s="333">
        <f t="shared" si="25"/>
        <v>200151006</v>
      </c>
      <c r="L60" s="700">
        <f t="shared" si="17"/>
        <v>0.68894839053825097</v>
      </c>
    </row>
    <row r="61" spans="1:12" ht="12" customHeight="1">
      <c r="A61" s="122"/>
      <c r="B61" s="123"/>
      <c r="C61" s="124"/>
      <c r="D61" s="124"/>
      <c r="E61" s="124"/>
      <c r="F61" s="124"/>
      <c r="G61" s="124"/>
      <c r="H61" s="693"/>
      <c r="I61" s="313"/>
      <c r="J61" s="313"/>
      <c r="K61" s="313"/>
      <c r="L61" s="703"/>
    </row>
    <row r="62" spans="1:12" ht="12" customHeight="1">
      <c r="A62" s="122"/>
      <c r="B62" s="123"/>
      <c r="C62" s="124"/>
      <c r="D62" s="124"/>
      <c r="E62" s="124"/>
      <c r="F62" s="124"/>
      <c r="G62" s="124"/>
      <c r="H62" s="693"/>
      <c r="I62" s="313"/>
      <c r="J62" s="313"/>
      <c r="K62" s="313"/>
      <c r="L62" s="703"/>
    </row>
    <row r="63" spans="1:12">
      <c r="A63" s="125"/>
      <c r="B63" s="126"/>
      <c r="C63" s="126"/>
    </row>
    <row r="64" spans="1:12">
      <c r="A64" s="125"/>
      <c r="B64" s="126"/>
      <c r="C64" s="126"/>
    </row>
    <row r="65" spans="1:3">
      <c r="A65" s="125"/>
      <c r="B65" s="126"/>
      <c r="C65" s="126"/>
    </row>
  </sheetData>
  <sheetProtection formatCells="0"/>
  <mergeCells count="3">
    <mergeCell ref="A44:J44"/>
    <mergeCell ref="A1:L1"/>
    <mergeCell ref="A5:L5"/>
  </mergeCells>
  <printOptions horizontalCentered="1"/>
  <pageMargins left="0.25" right="0.25" top="0.75" bottom="0.75" header="0.3" footer="0.3"/>
  <pageSetup paperSize="9" scale="71" orientation="landscape" verticalDpi="300" r:id="rId1"/>
  <headerFooter alignWithMargins="0">
    <oddHeader>&amp;R&amp;"Times New Roman CE,Félkövér dőlt"&amp;11 10. melléklet a 22/2017. (XII.04.)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16"/>
  <sheetViews>
    <sheetView view="pageLayout" topLeftCell="A7" zoomScaleNormal="84" workbookViewId="0">
      <selection activeCell="E4" sqref="E4"/>
    </sheetView>
  </sheetViews>
  <sheetFormatPr defaultRowHeight="13.2"/>
  <cols>
    <col min="1" max="1" width="6.6640625" style="93" customWidth="1"/>
    <col min="2" max="2" width="24.6640625" style="70" customWidth="1"/>
    <col min="3" max="3" width="13" style="70" customWidth="1"/>
    <col min="4" max="4" width="12.44140625" style="94" customWidth="1"/>
    <col min="5" max="5" width="15.44140625" style="94" customWidth="1"/>
    <col min="6" max="6" width="11.44140625" style="94" customWidth="1"/>
    <col min="7" max="7" width="13" style="94" customWidth="1"/>
    <col min="8" max="9" width="14" style="94" customWidth="1"/>
    <col min="10" max="10" width="13.33203125" style="70" customWidth="1"/>
    <col min="11" max="11" width="14.77734375" style="70" customWidth="1"/>
    <col min="12" max="12" width="14.6640625" style="70" customWidth="1"/>
    <col min="13" max="257" width="9.33203125" style="70"/>
    <col min="258" max="258" width="6.6640625" style="70" customWidth="1"/>
    <col min="259" max="259" width="24.6640625" style="70" customWidth="1"/>
    <col min="260" max="260" width="13" style="70" customWidth="1"/>
    <col min="261" max="262" width="15.44140625" style="70" customWidth="1"/>
    <col min="263" max="263" width="11.44140625" style="70" customWidth="1"/>
    <col min="264" max="264" width="13" style="70" customWidth="1"/>
    <col min="265" max="266" width="14" style="70" customWidth="1"/>
    <col min="267" max="267" width="13.33203125" style="70" customWidth="1"/>
    <col min="268" max="268" width="14.6640625" style="70" customWidth="1"/>
    <col min="269" max="513" width="9.33203125" style="70"/>
    <col min="514" max="514" width="6.6640625" style="70" customWidth="1"/>
    <col min="515" max="515" width="24.6640625" style="70" customWidth="1"/>
    <col min="516" max="516" width="13" style="70" customWidth="1"/>
    <col min="517" max="518" width="15.44140625" style="70" customWidth="1"/>
    <col min="519" max="519" width="11.44140625" style="70" customWidth="1"/>
    <col min="520" max="520" width="13" style="70" customWidth="1"/>
    <col min="521" max="522" width="14" style="70" customWidth="1"/>
    <col min="523" max="523" width="13.33203125" style="70" customWidth="1"/>
    <col min="524" max="524" width="14.6640625" style="70" customWidth="1"/>
    <col min="525" max="769" width="9.33203125" style="70"/>
    <col min="770" max="770" width="6.6640625" style="70" customWidth="1"/>
    <col min="771" max="771" width="24.6640625" style="70" customWidth="1"/>
    <col min="772" max="772" width="13" style="70" customWidth="1"/>
    <col min="773" max="774" width="15.44140625" style="70" customWidth="1"/>
    <col min="775" max="775" width="11.44140625" style="70" customWidth="1"/>
    <col min="776" max="776" width="13" style="70" customWidth="1"/>
    <col min="777" max="778" width="14" style="70" customWidth="1"/>
    <col min="779" max="779" width="13.33203125" style="70" customWidth="1"/>
    <col min="780" max="780" width="14.6640625" style="70" customWidth="1"/>
    <col min="781" max="1025" width="9.33203125" style="70"/>
    <col min="1026" max="1026" width="6.6640625" style="70" customWidth="1"/>
    <col min="1027" max="1027" width="24.6640625" style="70" customWidth="1"/>
    <col min="1028" max="1028" width="13" style="70" customWidth="1"/>
    <col min="1029" max="1030" width="15.44140625" style="70" customWidth="1"/>
    <col min="1031" max="1031" width="11.44140625" style="70" customWidth="1"/>
    <col min="1032" max="1032" width="13" style="70" customWidth="1"/>
    <col min="1033" max="1034" width="14" style="70" customWidth="1"/>
    <col min="1035" max="1035" width="13.33203125" style="70" customWidth="1"/>
    <col min="1036" max="1036" width="14.6640625" style="70" customWidth="1"/>
    <col min="1037" max="1281" width="9.33203125" style="70"/>
    <col min="1282" max="1282" width="6.6640625" style="70" customWidth="1"/>
    <col min="1283" max="1283" width="24.6640625" style="70" customWidth="1"/>
    <col min="1284" max="1284" width="13" style="70" customWidth="1"/>
    <col min="1285" max="1286" width="15.44140625" style="70" customWidth="1"/>
    <col min="1287" max="1287" width="11.44140625" style="70" customWidth="1"/>
    <col min="1288" max="1288" width="13" style="70" customWidth="1"/>
    <col min="1289" max="1290" width="14" style="70" customWidth="1"/>
    <col min="1291" max="1291" width="13.33203125" style="70" customWidth="1"/>
    <col min="1292" max="1292" width="14.6640625" style="70" customWidth="1"/>
    <col min="1293" max="1537" width="9.33203125" style="70"/>
    <col min="1538" max="1538" width="6.6640625" style="70" customWidth="1"/>
    <col min="1539" max="1539" width="24.6640625" style="70" customWidth="1"/>
    <col min="1540" max="1540" width="13" style="70" customWidth="1"/>
    <col min="1541" max="1542" width="15.44140625" style="70" customWidth="1"/>
    <col min="1543" max="1543" width="11.44140625" style="70" customWidth="1"/>
    <col min="1544" max="1544" width="13" style="70" customWidth="1"/>
    <col min="1545" max="1546" width="14" style="70" customWidth="1"/>
    <col min="1547" max="1547" width="13.33203125" style="70" customWidth="1"/>
    <col min="1548" max="1548" width="14.6640625" style="70" customWidth="1"/>
    <col min="1549" max="1793" width="9.33203125" style="70"/>
    <col min="1794" max="1794" width="6.6640625" style="70" customWidth="1"/>
    <col min="1795" max="1795" width="24.6640625" style="70" customWidth="1"/>
    <col min="1796" max="1796" width="13" style="70" customWidth="1"/>
    <col min="1797" max="1798" width="15.44140625" style="70" customWidth="1"/>
    <col min="1799" max="1799" width="11.44140625" style="70" customWidth="1"/>
    <col min="1800" max="1800" width="13" style="70" customWidth="1"/>
    <col min="1801" max="1802" width="14" style="70" customWidth="1"/>
    <col min="1803" max="1803" width="13.33203125" style="70" customWidth="1"/>
    <col min="1804" max="1804" width="14.6640625" style="70" customWidth="1"/>
    <col min="1805" max="2049" width="9.33203125" style="70"/>
    <col min="2050" max="2050" width="6.6640625" style="70" customWidth="1"/>
    <col min="2051" max="2051" width="24.6640625" style="70" customWidth="1"/>
    <col min="2052" max="2052" width="13" style="70" customWidth="1"/>
    <col min="2053" max="2054" width="15.44140625" style="70" customWidth="1"/>
    <col min="2055" max="2055" width="11.44140625" style="70" customWidth="1"/>
    <col min="2056" max="2056" width="13" style="70" customWidth="1"/>
    <col min="2057" max="2058" width="14" style="70" customWidth="1"/>
    <col min="2059" max="2059" width="13.33203125" style="70" customWidth="1"/>
    <col min="2060" max="2060" width="14.6640625" style="70" customWidth="1"/>
    <col min="2061" max="2305" width="9.33203125" style="70"/>
    <col min="2306" max="2306" width="6.6640625" style="70" customWidth="1"/>
    <col min="2307" max="2307" width="24.6640625" style="70" customWidth="1"/>
    <col min="2308" max="2308" width="13" style="70" customWidth="1"/>
    <col min="2309" max="2310" width="15.44140625" style="70" customWidth="1"/>
    <col min="2311" max="2311" width="11.44140625" style="70" customWidth="1"/>
    <col min="2312" max="2312" width="13" style="70" customWidth="1"/>
    <col min="2313" max="2314" width="14" style="70" customWidth="1"/>
    <col min="2315" max="2315" width="13.33203125" style="70" customWidth="1"/>
    <col min="2316" max="2316" width="14.6640625" style="70" customWidth="1"/>
    <col min="2317" max="2561" width="9.33203125" style="70"/>
    <col min="2562" max="2562" width="6.6640625" style="70" customWidth="1"/>
    <col min="2563" max="2563" width="24.6640625" style="70" customWidth="1"/>
    <col min="2564" max="2564" width="13" style="70" customWidth="1"/>
    <col min="2565" max="2566" width="15.44140625" style="70" customWidth="1"/>
    <col min="2567" max="2567" width="11.44140625" style="70" customWidth="1"/>
    <col min="2568" max="2568" width="13" style="70" customWidth="1"/>
    <col min="2569" max="2570" width="14" style="70" customWidth="1"/>
    <col min="2571" max="2571" width="13.33203125" style="70" customWidth="1"/>
    <col min="2572" max="2572" width="14.6640625" style="70" customWidth="1"/>
    <col min="2573" max="2817" width="9.33203125" style="70"/>
    <col min="2818" max="2818" width="6.6640625" style="70" customWidth="1"/>
    <col min="2819" max="2819" width="24.6640625" style="70" customWidth="1"/>
    <col min="2820" max="2820" width="13" style="70" customWidth="1"/>
    <col min="2821" max="2822" width="15.44140625" style="70" customWidth="1"/>
    <col min="2823" max="2823" width="11.44140625" style="70" customWidth="1"/>
    <col min="2824" max="2824" width="13" style="70" customWidth="1"/>
    <col min="2825" max="2826" width="14" style="70" customWidth="1"/>
    <col min="2827" max="2827" width="13.33203125" style="70" customWidth="1"/>
    <col min="2828" max="2828" width="14.6640625" style="70" customWidth="1"/>
    <col min="2829" max="3073" width="9.33203125" style="70"/>
    <col min="3074" max="3074" width="6.6640625" style="70" customWidth="1"/>
    <col min="3075" max="3075" width="24.6640625" style="70" customWidth="1"/>
    <col min="3076" max="3076" width="13" style="70" customWidth="1"/>
    <col min="3077" max="3078" width="15.44140625" style="70" customWidth="1"/>
    <col min="3079" max="3079" width="11.44140625" style="70" customWidth="1"/>
    <col min="3080" max="3080" width="13" style="70" customWidth="1"/>
    <col min="3081" max="3082" width="14" style="70" customWidth="1"/>
    <col min="3083" max="3083" width="13.33203125" style="70" customWidth="1"/>
    <col min="3084" max="3084" width="14.6640625" style="70" customWidth="1"/>
    <col min="3085" max="3329" width="9.33203125" style="70"/>
    <col min="3330" max="3330" width="6.6640625" style="70" customWidth="1"/>
    <col min="3331" max="3331" width="24.6640625" style="70" customWidth="1"/>
    <col min="3332" max="3332" width="13" style="70" customWidth="1"/>
    <col min="3333" max="3334" width="15.44140625" style="70" customWidth="1"/>
    <col min="3335" max="3335" width="11.44140625" style="70" customWidth="1"/>
    <col min="3336" max="3336" width="13" style="70" customWidth="1"/>
    <col min="3337" max="3338" width="14" style="70" customWidth="1"/>
    <col min="3339" max="3339" width="13.33203125" style="70" customWidth="1"/>
    <col min="3340" max="3340" width="14.6640625" style="70" customWidth="1"/>
    <col min="3341" max="3585" width="9.33203125" style="70"/>
    <col min="3586" max="3586" width="6.6640625" style="70" customWidth="1"/>
    <col min="3587" max="3587" width="24.6640625" style="70" customWidth="1"/>
    <col min="3588" max="3588" width="13" style="70" customWidth="1"/>
    <col min="3589" max="3590" width="15.44140625" style="70" customWidth="1"/>
    <col min="3591" max="3591" width="11.44140625" style="70" customWidth="1"/>
    <col min="3592" max="3592" width="13" style="70" customWidth="1"/>
    <col min="3593" max="3594" width="14" style="70" customWidth="1"/>
    <col min="3595" max="3595" width="13.33203125" style="70" customWidth="1"/>
    <col min="3596" max="3596" width="14.6640625" style="70" customWidth="1"/>
    <col min="3597" max="3841" width="9.33203125" style="70"/>
    <col min="3842" max="3842" width="6.6640625" style="70" customWidth="1"/>
    <col min="3843" max="3843" width="24.6640625" style="70" customWidth="1"/>
    <col min="3844" max="3844" width="13" style="70" customWidth="1"/>
    <col min="3845" max="3846" width="15.44140625" style="70" customWidth="1"/>
    <col min="3847" max="3847" width="11.44140625" style="70" customWidth="1"/>
    <col min="3848" max="3848" width="13" style="70" customWidth="1"/>
    <col min="3849" max="3850" width="14" style="70" customWidth="1"/>
    <col min="3851" max="3851" width="13.33203125" style="70" customWidth="1"/>
    <col min="3852" max="3852" width="14.6640625" style="70" customWidth="1"/>
    <col min="3853" max="4097" width="9.33203125" style="70"/>
    <col min="4098" max="4098" width="6.6640625" style="70" customWidth="1"/>
    <col min="4099" max="4099" width="24.6640625" style="70" customWidth="1"/>
    <col min="4100" max="4100" width="13" style="70" customWidth="1"/>
    <col min="4101" max="4102" width="15.44140625" style="70" customWidth="1"/>
    <col min="4103" max="4103" width="11.44140625" style="70" customWidth="1"/>
    <col min="4104" max="4104" width="13" style="70" customWidth="1"/>
    <col min="4105" max="4106" width="14" style="70" customWidth="1"/>
    <col min="4107" max="4107" width="13.33203125" style="70" customWidth="1"/>
    <col min="4108" max="4108" width="14.6640625" style="70" customWidth="1"/>
    <col min="4109" max="4353" width="9.33203125" style="70"/>
    <col min="4354" max="4354" width="6.6640625" style="70" customWidth="1"/>
    <col min="4355" max="4355" width="24.6640625" style="70" customWidth="1"/>
    <col min="4356" max="4356" width="13" style="70" customWidth="1"/>
    <col min="4357" max="4358" width="15.44140625" style="70" customWidth="1"/>
    <col min="4359" max="4359" width="11.44140625" style="70" customWidth="1"/>
    <col min="4360" max="4360" width="13" style="70" customWidth="1"/>
    <col min="4361" max="4362" width="14" style="70" customWidth="1"/>
    <col min="4363" max="4363" width="13.33203125" style="70" customWidth="1"/>
    <col min="4364" max="4364" width="14.6640625" style="70" customWidth="1"/>
    <col min="4365" max="4609" width="9.33203125" style="70"/>
    <col min="4610" max="4610" width="6.6640625" style="70" customWidth="1"/>
    <col min="4611" max="4611" width="24.6640625" style="70" customWidth="1"/>
    <col min="4612" max="4612" width="13" style="70" customWidth="1"/>
    <col min="4613" max="4614" width="15.44140625" style="70" customWidth="1"/>
    <col min="4615" max="4615" width="11.44140625" style="70" customWidth="1"/>
    <col min="4616" max="4616" width="13" style="70" customWidth="1"/>
    <col min="4617" max="4618" width="14" style="70" customWidth="1"/>
    <col min="4619" max="4619" width="13.33203125" style="70" customWidth="1"/>
    <col min="4620" max="4620" width="14.6640625" style="70" customWidth="1"/>
    <col min="4621" max="4865" width="9.33203125" style="70"/>
    <col min="4866" max="4866" width="6.6640625" style="70" customWidth="1"/>
    <col min="4867" max="4867" width="24.6640625" style="70" customWidth="1"/>
    <col min="4868" max="4868" width="13" style="70" customWidth="1"/>
    <col min="4869" max="4870" width="15.44140625" style="70" customWidth="1"/>
    <col min="4871" max="4871" width="11.44140625" style="70" customWidth="1"/>
    <col min="4872" max="4872" width="13" style="70" customWidth="1"/>
    <col min="4873" max="4874" width="14" style="70" customWidth="1"/>
    <col min="4875" max="4875" width="13.33203125" style="70" customWidth="1"/>
    <col min="4876" max="4876" width="14.6640625" style="70" customWidth="1"/>
    <col min="4877" max="5121" width="9.33203125" style="70"/>
    <col min="5122" max="5122" width="6.6640625" style="70" customWidth="1"/>
    <col min="5123" max="5123" width="24.6640625" style="70" customWidth="1"/>
    <col min="5124" max="5124" width="13" style="70" customWidth="1"/>
    <col min="5125" max="5126" width="15.44140625" style="70" customWidth="1"/>
    <col min="5127" max="5127" width="11.44140625" style="70" customWidth="1"/>
    <col min="5128" max="5128" width="13" style="70" customWidth="1"/>
    <col min="5129" max="5130" width="14" style="70" customWidth="1"/>
    <col min="5131" max="5131" width="13.33203125" style="70" customWidth="1"/>
    <col min="5132" max="5132" width="14.6640625" style="70" customWidth="1"/>
    <col min="5133" max="5377" width="9.33203125" style="70"/>
    <col min="5378" max="5378" width="6.6640625" style="70" customWidth="1"/>
    <col min="5379" max="5379" width="24.6640625" style="70" customWidth="1"/>
    <col min="5380" max="5380" width="13" style="70" customWidth="1"/>
    <col min="5381" max="5382" width="15.44140625" style="70" customWidth="1"/>
    <col min="5383" max="5383" width="11.44140625" style="70" customWidth="1"/>
    <col min="5384" max="5384" width="13" style="70" customWidth="1"/>
    <col min="5385" max="5386" width="14" style="70" customWidth="1"/>
    <col min="5387" max="5387" width="13.33203125" style="70" customWidth="1"/>
    <col min="5388" max="5388" width="14.6640625" style="70" customWidth="1"/>
    <col min="5389" max="5633" width="9.33203125" style="70"/>
    <col min="5634" max="5634" width="6.6640625" style="70" customWidth="1"/>
    <col min="5635" max="5635" width="24.6640625" style="70" customWidth="1"/>
    <col min="5636" max="5636" width="13" style="70" customWidth="1"/>
    <col min="5637" max="5638" width="15.44140625" style="70" customWidth="1"/>
    <col min="5639" max="5639" width="11.44140625" style="70" customWidth="1"/>
    <col min="5640" max="5640" width="13" style="70" customWidth="1"/>
    <col min="5641" max="5642" width="14" style="70" customWidth="1"/>
    <col min="5643" max="5643" width="13.33203125" style="70" customWidth="1"/>
    <col min="5644" max="5644" width="14.6640625" style="70" customWidth="1"/>
    <col min="5645" max="5889" width="9.33203125" style="70"/>
    <col min="5890" max="5890" width="6.6640625" style="70" customWidth="1"/>
    <col min="5891" max="5891" width="24.6640625" style="70" customWidth="1"/>
    <col min="5892" max="5892" width="13" style="70" customWidth="1"/>
    <col min="5893" max="5894" width="15.44140625" style="70" customWidth="1"/>
    <col min="5895" max="5895" width="11.44140625" style="70" customWidth="1"/>
    <col min="5896" max="5896" width="13" style="70" customWidth="1"/>
    <col min="5897" max="5898" width="14" style="70" customWidth="1"/>
    <col min="5899" max="5899" width="13.33203125" style="70" customWidth="1"/>
    <col min="5900" max="5900" width="14.6640625" style="70" customWidth="1"/>
    <col min="5901" max="6145" width="9.33203125" style="70"/>
    <col min="6146" max="6146" width="6.6640625" style="70" customWidth="1"/>
    <col min="6147" max="6147" width="24.6640625" style="70" customWidth="1"/>
    <col min="6148" max="6148" width="13" style="70" customWidth="1"/>
    <col min="6149" max="6150" width="15.44140625" style="70" customWidth="1"/>
    <col min="6151" max="6151" width="11.44140625" style="70" customWidth="1"/>
    <col min="6152" max="6152" width="13" style="70" customWidth="1"/>
    <col min="6153" max="6154" width="14" style="70" customWidth="1"/>
    <col min="6155" max="6155" width="13.33203125" style="70" customWidth="1"/>
    <col min="6156" max="6156" width="14.6640625" style="70" customWidth="1"/>
    <col min="6157" max="6401" width="9.33203125" style="70"/>
    <col min="6402" max="6402" width="6.6640625" style="70" customWidth="1"/>
    <col min="6403" max="6403" width="24.6640625" style="70" customWidth="1"/>
    <col min="6404" max="6404" width="13" style="70" customWidth="1"/>
    <col min="6405" max="6406" width="15.44140625" style="70" customWidth="1"/>
    <col min="6407" max="6407" width="11.44140625" style="70" customWidth="1"/>
    <col min="6408" max="6408" width="13" style="70" customWidth="1"/>
    <col min="6409" max="6410" width="14" style="70" customWidth="1"/>
    <col min="6411" max="6411" width="13.33203125" style="70" customWidth="1"/>
    <col min="6412" max="6412" width="14.6640625" style="70" customWidth="1"/>
    <col min="6413" max="6657" width="9.33203125" style="70"/>
    <col min="6658" max="6658" width="6.6640625" style="70" customWidth="1"/>
    <col min="6659" max="6659" width="24.6640625" style="70" customWidth="1"/>
    <col min="6660" max="6660" width="13" style="70" customWidth="1"/>
    <col min="6661" max="6662" width="15.44140625" style="70" customWidth="1"/>
    <col min="6663" max="6663" width="11.44140625" style="70" customWidth="1"/>
    <col min="6664" max="6664" width="13" style="70" customWidth="1"/>
    <col min="6665" max="6666" width="14" style="70" customWidth="1"/>
    <col min="6667" max="6667" width="13.33203125" style="70" customWidth="1"/>
    <col min="6668" max="6668" width="14.6640625" style="70" customWidth="1"/>
    <col min="6669" max="6913" width="9.33203125" style="70"/>
    <col min="6914" max="6914" width="6.6640625" style="70" customWidth="1"/>
    <col min="6915" max="6915" width="24.6640625" style="70" customWidth="1"/>
    <col min="6916" max="6916" width="13" style="70" customWidth="1"/>
    <col min="6917" max="6918" width="15.44140625" style="70" customWidth="1"/>
    <col min="6919" max="6919" width="11.44140625" style="70" customWidth="1"/>
    <col min="6920" max="6920" width="13" style="70" customWidth="1"/>
    <col min="6921" max="6922" width="14" style="70" customWidth="1"/>
    <col min="6923" max="6923" width="13.33203125" style="70" customWidth="1"/>
    <col min="6924" max="6924" width="14.6640625" style="70" customWidth="1"/>
    <col min="6925" max="7169" width="9.33203125" style="70"/>
    <col min="7170" max="7170" width="6.6640625" style="70" customWidth="1"/>
    <col min="7171" max="7171" width="24.6640625" style="70" customWidth="1"/>
    <col min="7172" max="7172" width="13" style="70" customWidth="1"/>
    <col min="7173" max="7174" width="15.44140625" style="70" customWidth="1"/>
    <col min="7175" max="7175" width="11.44140625" style="70" customWidth="1"/>
    <col min="7176" max="7176" width="13" style="70" customWidth="1"/>
    <col min="7177" max="7178" width="14" style="70" customWidth="1"/>
    <col min="7179" max="7179" width="13.33203125" style="70" customWidth="1"/>
    <col min="7180" max="7180" width="14.6640625" style="70" customWidth="1"/>
    <col min="7181" max="7425" width="9.33203125" style="70"/>
    <col min="7426" max="7426" width="6.6640625" style="70" customWidth="1"/>
    <col min="7427" max="7427" width="24.6640625" style="70" customWidth="1"/>
    <col min="7428" max="7428" width="13" style="70" customWidth="1"/>
    <col min="7429" max="7430" width="15.44140625" style="70" customWidth="1"/>
    <col min="7431" max="7431" width="11.44140625" style="70" customWidth="1"/>
    <col min="7432" max="7432" width="13" style="70" customWidth="1"/>
    <col min="7433" max="7434" width="14" style="70" customWidth="1"/>
    <col min="7435" max="7435" width="13.33203125" style="70" customWidth="1"/>
    <col min="7436" max="7436" width="14.6640625" style="70" customWidth="1"/>
    <col min="7437" max="7681" width="9.33203125" style="70"/>
    <col min="7682" max="7682" width="6.6640625" style="70" customWidth="1"/>
    <col min="7683" max="7683" width="24.6640625" style="70" customWidth="1"/>
    <col min="7684" max="7684" width="13" style="70" customWidth="1"/>
    <col min="7685" max="7686" width="15.44140625" style="70" customWidth="1"/>
    <col min="7687" max="7687" width="11.44140625" style="70" customWidth="1"/>
    <col min="7688" max="7688" width="13" style="70" customWidth="1"/>
    <col min="7689" max="7690" width="14" style="70" customWidth="1"/>
    <col min="7691" max="7691" width="13.33203125" style="70" customWidth="1"/>
    <col min="7692" max="7692" width="14.6640625" style="70" customWidth="1"/>
    <col min="7693" max="7937" width="9.33203125" style="70"/>
    <col min="7938" max="7938" width="6.6640625" style="70" customWidth="1"/>
    <col min="7939" max="7939" width="24.6640625" style="70" customWidth="1"/>
    <col min="7940" max="7940" width="13" style="70" customWidth="1"/>
    <col min="7941" max="7942" width="15.44140625" style="70" customWidth="1"/>
    <col min="7943" max="7943" width="11.44140625" style="70" customWidth="1"/>
    <col min="7944" max="7944" width="13" style="70" customWidth="1"/>
    <col min="7945" max="7946" width="14" style="70" customWidth="1"/>
    <col min="7947" max="7947" width="13.33203125" style="70" customWidth="1"/>
    <col min="7948" max="7948" width="14.6640625" style="70" customWidth="1"/>
    <col min="7949" max="8193" width="9.33203125" style="70"/>
    <col min="8194" max="8194" width="6.6640625" style="70" customWidth="1"/>
    <col min="8195" max="8195" width="24.6640625" style="70" customWidth="1"/>
    <col min="8196" max="8196" width="13" style="70" customWidth="1"/>
    <col min="8197" max="8198" width="15.44140625" style="70" customWidth="1"/>
    <col min="8199" max="8199" width="11.44140625" style="70" customWidth="1"/>
    <col min="8200" max="8200" width="13" style="70" customWidth="1"/>
    <col min="8201" max="8202" width="14" style="70" customWidth="1"/>
    <col min="8203" max="8203" width="13.33203125" style="70" customWidth="1"/>
    <col min="8204" max="8204" width="14.6640625" style="70" customWidth="1"/>
    <col min="8205" max="8449" width="9.33203125" style="70"/>
    <col min="8450" max="8450" width="6.6640625" style="70" customWidth="1"/>
    <col min="8451" max="8451" width="24.6640625" style="70" customWidth="1"/>
    <col min="8452" max="8452" width="13" style="70" customWidth="1"/>
    <col min="8453" max="8454" width="15.44140625" style="70" customWidth="1"/>
    <col min="8455" max="8455" width="11.44140625" style="70" customWidth="1"/>
    <col min="8456" max="8456" width="13" style="70" customWidth="1"/>
    <col min="8457" max="8458" width="14" style="70" customWidth="1"/>
    <col min="8459" max="8459" width="13.33203125" style="70" customWidth="1"/>
    <col min="8460" max="8460" width="14.6640625" style="70" customWidth="1"/>
    <col min="8461" max="8705" width="9.33203125" style="70"/>
    <col min="8706" max="8706" width="6.6640625" style="70" customWidth="1"/>
    <col min="8707" max="8707" width="24.6640625" style="70" customWidth="1"/>
    <col min="8708" max="8708" width="13" style="70" customWidth="1"/>
    <col min="8709" max="8710" width="15.44140625" style="70" customWidth="1"/>
    <col min="8711" max="8711" width="11.44140625" style="70" customWidth="1"/>
    <col min="8712" max="8712" width="13" style="70" customWidth="1"/>
    <col min="8713" max="8714" width="14" style="70" customWidth="1"/>
    <col min="8715" max="8715" width="13.33203125" style="70" customWidth="1"/>
    <col min="8716" max="8716" width="14.6640625" style="70" customWidth="1"/>
    <col min="8717" max="8961" width="9.33203125" style="70"/>
    <col min="8962" max="8962" width="6.6640625" style="70" customWidth="1"/>
    <col min="8963" max="8963" width="24.6640625" style="70" customWidth="1"/>
    <col min="8964" max="8964" width="13" style="70" customWidth="1"/>
    <col min="8965" max="8966" width="15.44140625" style="70" customWidth="1"/>
    <col min="8967" max="8967" width="11.44140625" style="70" customWidth="1"/>
    <col min="8968" max="8968" width="13" style="70" customWidth="1"/>
    <col min="8969" max="8970" width="14" style="70" customWidth="1"/>
    <col min="8971" max="8971" width="13.33203125" style="70" customWidth="1"/>
    <col min="8972" max="8972" width="14.6640625" style="70" customWidth="1"/>
    <col min="8973" max="9217" width="9.33203125" style="70"/>
    <col min="9218" max="9218" width="6.6640625" style="70" customWidth="1"/>
    <col min="9219" max="9219" width="24.6640625" style="70" customWidth="1"/>
    <col min="9220" max="9220" width="13" style="70" customWidth="1"/>
    <col min="9221" max="9222" width="15.44140625" style="70" customWidth="1"/>
    <col min="9223" max="9223" width="11.44140625" style="70" customWidth="1"/>
    <col min="9224" max="9224" width="13" style="70" customWidth="1"/>
    <col min="9225" max="9226" width="14" style="70" customWidth="1"/>
    <col min="9227" max="9227" width="13.33203125" style="70" customWidth="1"/>
    <col min="9228" max="9228" width="14.6640625" style="70" customWidth="1"/>
    <col min="9229" max="9473" width="9.33203125" style="70"/>
    <col min="9474" max="9474" width="6.6640625" style="70" customWidth="1"/>
    <col min="9475" max="9475" width="24.6640625" style="70" customWidth="1"/>
    <col min="9476" max="9476" width="13" style="70" customWidth="1"/>
    <col min="9477" max="9478" width="15.44140625" style="70" customWidth="1"/>
    <col min="9479" max="9479" width="11.44140625" style="70" customWidth="1"/>
    <col min="9480" max="9480" width="13" style="70" customWidth="1"/>
    <col min="9481" max="9482" width="14" style="70" customWidth="1"/>
    <col min="9483" max="9483" width="13.33203125" style="70" customWidth="1"/>
    <col min="9484" max="9484" width="14.6640625" style="70" customWidth="1"/>
    <col min="9485" max="9729" width="9.33203125" style="70"/>
    <col min="9730" max="9730" width="6.6640625" style="70" customWidth="1"/>
    <col min="9731" max="9731" width="24.6640625" style="70" customWidth="1"/>
    <col min="9732" max="9732" width="13" style="70" customWidth="1"/>
    <col min="9733" max="9734" width="15.44140625" style="70" customWidth="1"/>
    <col min="9735" max="9735" width="11.44140625" style="70" customWidth="1"/>
    <col min="9736" max="9736" width="13" style="70" customWidth="1"/>
    <col min="9737" max="9738" width="14" style="70" customWidth="1"/>
    <col min="9739" max="9739" width="13.33203125" style="70" customWidth="1"/>
    <col min="9740" max="9740" width="14.6640625" style="70" customWidth="1"/>
    <col min="9741" max="9985" width="9.33203125" style="70"/>
    <col min="9986" max="9986" width="6.6640625" style="70" customWidth="1"/>
    <col min="9987" max="9987" width="24.6640625" style="70" customWidth="1"/>
    <col min="9988" max="9988" width="13" style="70" customWidth="1"/>
    <col min="9989" max="9990" width="15.44140625" style="70" customWidth="1"/>
    <col min="9991" max="9991" width="11.44140625" style="70" customWidth="1"/>
    <col min="9992" max="9992" width="13" style="70" customWidth="1"/>
    <col min="9993" max="9994" width="14" style="70" customWidth="1"/>
    <col min="9995" max="9995" width="13.33203125" style="70" customWidth="1"/>
    <col min="9996" max="9996" width="14.6640625" style="70" customWidth="1"/>
    <col min="9997" max="10241" width="9.33203125" style="70"/>
    <col min="10242" max="10242" width="6.6640625" style="70" customWidth="1"/>
    <col min="10243" max="10243" width="24.6640625" style="70" customWidth="1"/>
    <col min="10244" max="10244" width="13" style="70" customWidth="1"/>
    <col min="10245" max="10246" width="15.44140625" style="70" customWidth="1"/>
    <col min="10247" max="10247" width="11.44140625" style="70" customWidth="1"/>
    <col min="10248" max="10248" width="13" style="70" customWidth="1"/>
    <col min="10249" max="10250" width="14" style="70" customWidth="1"/>
    <col min="10251" max="10251" width="13.33203125" style="70" customWidth="1"/>
    <col min="10252" max="10252" width="14.6640625" style="70" customWidth="1"/>
    <col min="10253" max="10497" width="9.33203125" style="70"/>
    <col min="10498" max="10498" width="6.6640625" style="70" customWidth="1"/>
    <col min="10499" max="10499" width="24.6640625" style="70" customWidth="1"/>
    <col min="10500" max="10500" width="13" style="70" customWidth="1"/>
    <col min="10501" max="10502" width="15.44140625" style="70" customWidth="1"/>
    <col min="10503" max="10503" width="11.44140625" style="70" customWidth="1"/>
    <col min="10504" max="10504" width="13" style="70" customWidth="1"/>
    <col min="10505" max="10506" width="14" style="70" customWidth="1"/>
    <col min="10507" max="10507" width="13.33203125" style="70" customWidth="1"/>
    <col min="10508" max="10508" width="14.6640625" style="70" customWidth="1"/>
    <col min="10509" max="10753" width="9.33203125" style="70"/>
    <col min="10754" max="10754" width="6.6640625" style="70" customWidth="1"/>
    <col min="10755" max="10755" width="24.6640625" style="70" customWidth="1"/>
    <col min="10756" max="10756" width="13" style="70" customWidth="1"/>
    <col min="10757" max="10758" width="15.44140625" style="70" customWidth="1"/>
    <col min="10759" max="10759" width="11.44140625" style="70" customWidth="1"/>
    <col min="10760" max="10760" width="13" style="70" customWidth="1"/>
    <col min="10761" max="10762" width="14" style="70" customWidth="1"/>
    <col min="10763" max="10763" width="13.33203125" style="70" customWidth="1"/>
    <col min="10764" max="10764" width="14.6640625" style="70" customWidth="1"/>
    <col min="10765" max="11009" width="9.33203125" style="70"/>
    <col min="11010" max="11010" width="6.6640625" style="70" customWidth="1"/>
    <col min="11011" max="11011" width="24.6640625" style="70" customWidth="1"/>
    <col min="11012" max="11012" width="13" style="70" customWidth="1"/>
    <col min="11013" max="11014" width="15.44140625" style="70" customWidth="1"/>
    <col min="11015" max="11015" width="11.44140625" style="70" customWidth="1"/>
    <col min="11016" max="11016" width="13" style="70" customWidth="1"/>
    <col min="11017" max="11018" width="14" style="70" customWidth="1"/>
    <col min="11019" max="11019" width="13.33203125" style="70" customWidth="1"/>
    <col min="11020" max="11020" width="14.6640625" style="70" customWidth="1"/>
    <col min="11021" max="11265" width="9.33203125" style="70"/>
    <col min="11266" max="11266" width="6.6640625" style="70" customWidth="1"/>
    <col min="11267" max="11267" width="24.6640625" style="70" customWidth="1"/>
    <col min="11268" max="11268" width="13" style="70" customWidth="1"/>
    <col min="11269" max="11270" width="15.44140625" style="70" customWidth="1"/>
    <col min="11271" max="11271" width="11.44140625" style="70" customWidth="1"/>
    <col min="11272" max="11272" width="13" style="70" customWidth="1"/>
    <col min="11273" max="11274" width="14" style="70" customWidth="1"/>
    <col min="11275" max="11275" width="13.33203125" style="70" customWidth="1"/>
    <col min="11276" max="11276" width="14.6640625" style="70" customWidth="1"/>
    <col min="11277" max="11521" width="9.33203125" style="70"/>
    <col min="11522" max="11522" width="6.6640625" style="70" customWidth="1"/>
    <col min="11523" max="11523" width="24.6640625" style="70" customWidth="1"/>
    <col min="11524" max="11524" width="13" style="70" customWidth="1"/>
    <col min="11525" max="11526" width="15.44140625" style="70" customWidth="1"/>
    <col min="11527" max="11527" width="11.44140625" style="70" customWidth="1"/>
    <col min="11528" max="11528" width="13" style="70" customWidth="1"/>
    <col min="11529" max="11530" width="14" style="70" customWidth="1"/>
    <col min="11531" max="11531" width="13.33203125" style="70" customWidth="1"/>
    <col min="11532" max="11532" width="14.6640625" style="70" customWidth="1"/>
    <col min="11533" max="11777" width="9.33203125" style="70"/>
    <col min="11778" max="11778" width="6.6640625" style="70" customWidth="1"/>
    <col min="11779" max="11779" width="24.6640625" style="70" customWidth="1"/>
    <col min="11780" max="11780" width="13" style="70" customWidth="1"/>
    <col min="11781" max="11782" width="15.44140625" style="70" customWidth="1"/>
    <col min="11783" max="11783" width="11.44140625" style="70" customWidth="1"/>
    <col min="11784" max="11784" width="13" style="70" customWidth="1"/>
    <col min="11785" max="11786" width="14" style="70" customWidth="1"/>
    <col min="11787" max="11787" width="13.33203125" style="70" customWidth="1"/>
    <col min="11788" max="11788" width="14.6640625" style="70" customWidth="1"/>
    <col min="11789" max="12033" width="9.33203125" style="70"/>
    <col min="12034" max="12034" width="6.6640625" style="70" customWidth="1"/>
    <col min="12035" max="12035" width="24.6640625" style="70" customWidth="1"/>
    <col min="12036" max="12036" width="13" style="70" customWidth="1"/>
    <col min="12037" max="12038" width="15.44140625" style="70" customWidth="1"/>
    <col min="12039" max="12039" width="11.44140625" style="70" customWidth="1"/>
    <col min="12040" max="12040" width="13" style="70" customWidth="1"/>
    <col min="12041" max="12042" width="14" style="70" customWidth="1"/>
    <col min="12043" max="12043" width="13.33203125" style="70" customWidth="1"/>
    <col min="12044" max="12044" width="14.6640625" style="70" customWidth="1"/>
    <col min="12045" max="12289" width="9.33203125" style="70"/>
    <col min="12290" max="12290" width="6.6640625" style="70" customWidth="1"/>
    <col min="12291" max="12291" width="24.6640625" style="70" customWidth="1"/>
    <col min="12292" max="12292" width="13" style="70" customWidth="1"/>
    <col min="12293" max="12294" width="15.44140625" style="70" customWidth="1"/>
    <col min="12295" max="12295" width="11.44140625" style="70" customWidth="1"/>
    <col min="12296" max="12296" width="13" style="70" customWidth="1"/>
    <col min="12297" max="12298" width="14" style="70" customWidth="1"/>
    <col min="12299" max="12299" width="13.33203125" style="70" customWidth="1"/>
    <col min="12300" max="12300" width="14.6640625" style="70" customWidth="1"/>
    <col min="12301" max="12545" width="9.33203125" style="70"/>
    <col min="12546" max="12546" width="6.6640625" style="70" customWidth="1"/>
    <col min="12547" max="12547" width="24.6640625" style="70" customWidth="1"/>
    <col min="12548" max="12548" width="13" style="70" customWidth="1"/>
    <col min="12549" max="12550" width="15.44140625" style="70" customWidth="1"/>
    <col min="12551" max="12551" width="11.44140625" style="70" customWidth="1"/>
    <col min="12552" max="12552" width="13" style="70" customWidth="1"/>
    <col min="12553" max="12554" width="14" style="70" customWidth="1"/>
    <col min="12555" max="12555" width="13.33203125" style="70" customWidth="1"/>
    <col min="12556" max="12556" width="14.6640625" style="70" customWidth="1"/>
    <col min="12557" max="12801" width="9.33203125" style="70"/>
    <col min="12802" max="12802" width="6.6640625" style="70" customWidth="1"/>
    <col min="12803" max="12803" width="24.6640625" style="70" customWidth="1"/>
    <col min="12804" max="12804" width="13" style="70" customWidth="1"/>
    <col min="12805" max="12806" width="15.44140625" style="70" customWidth="1"/>
    <col min="12807" max="12807" width="11.44140625" style="70" customWidth="1"/>
    <col min="12808" max="12808" width="13" style="70" customWidth="1"/>
    <col min="12809" max="12810" width="14" style="70" customWidth="1"/>
    <col min="12811" max="12811" width="13.33203125" style="70" customWidth="1"/>
    <col min="12812" max="12812" width="14.6640625" style="70" customWidth="1"/>
    <col min="12813" max="13057" width="9.33203125" style="70"/>
    <col min="13058" max="13058" width="6.6640625" style="70" customWidth="1"/>
    <col min="13059" max="13059" width="24.6640625" style="70" customWidth="1"/>
    <col min="13060" max="13060" width="13" style="70" customWidth="1"/>
    <col min="13061" max="13062" width="15.44140625" style="70" customWidth="1"/>
    <col min="13063" max="13063" width="11.44140625" style="70" customWidth="1"/>
    <col min="13064" max="13064" width="13" style="70" customWidth="1"/>
    <col min="13065" max="13066" width="14" style="70" customWidth="1"/>
    <col min="13067" max="13067" width="13.33203125" style="70" customWidth="1"/>
    <col min="13068" max="13068" width="14.6640625" style="70" customWidth="1"/>
    <col min="13069" max="13313" width="9.33203125" style="70"/>
    <col min="13314" max="13314" width="6.6640625" style="70" customWidth="1"/>
    <col min="13315" max="13315" width="24.6640625" style="70" customWidth="1"/>
    <col min="13316" max="13316" width="13" style="70" customWidth="1"/>
    <col min="13317" max="13318" width="15.44140625" style="70" customWidth="1"/>
    <col min="13319" max="13319" width="11.44140625" style="70" customWidth="1"/>
    <col min="13320" max="13320" width="13" style="70" customWidth="1"/>
    <col min="13321" max="13322" width="14" style="70" customWidth="1"/>
    <col min="13323" max="13323" width="13.33203125" style="70" customWidth="1"/>
    <col min="13324" max="13324" width="14.6640625" style="70" customWidth="1"/>
    <col min="13325" max="13569" width="9.33203125" style="70"/>
    <col min="13570" max="13570" width="6.6640625" style="70" customWidth="1"/>
    <col min="13571" max="13571" width="24.6640625" style="70" customWidth="1"/>
    <col min="13572" max="13572" width="13" style="70" customWidth="1"/>
    <col min="13573" max="13574" width="15.44140625" style="70" customWidth="1"/>
    <col min="13575" max="13575" width="11.44140625" style="70" customWidth="1"/>
    <col min="13576" max="13576" width="13" style="70" customWidth="1"/>
    <col min="13577" max="13578" width="14" style="70" customWidth="1"/>
    <col min="13579" max="13579" width="13.33203125" style="70" customWidth="1"/>
    <col min="13580" max="13580" width="14.6640625" style="70" customWidth="1"/>
    <col min="13581" max="13825" width="9.33203125" style="70"/>
    <col min="13826" max="13826" width="6.6640625" style="70" customWidth="1"/>
    <col min="13827" max="13827" width="24.6640625" style="70" customWidth="1"/>
    <col min="13828" max="13828" width="13" style="70" customWidth="1"/>
    <col min="13829" max="13830" width="15.44140625" style="70" customWidth="1"/>
    <col min="13831" max="13831" width="11.44140625" style="70" customWidth="1"/>
    <col min="13832" max="13832" width="13" style="70" customWidth="1"/>
    <col min="13833" max="13834" width="14" style="70" customWidth="1"/>
    <col min="13835" max="13835" width="13.33203125" style="70" customWidth="1"/>
    <col min="13836" max="13836" width="14.6640625" style="70" customWidth="1"/>
    <col min="13837" max="14081" width="9.33203125" style="70"/>
    <col min="14082" max="14082" width="6.6640625" style="70" customWidth="1"/>
    <col min="14083" max="14083" width="24.6640625" style="70" customWidth="1"/>
    <col min="14084" max="14084" width="13" style="70" customWidth="1"/>
    <col min="14085" max="14086" width="15.44140625" style="70" customWidth="1"/>
    <col min="14087" max="14087" width="11.44140625" style="70" customWidth="1"/>
    <col min="14088" max="14088" width="13" style="70" customWidth="1"/>
    <col min="14089" max="14090" width="14" style="70" customWidth="1"/>
    <col min="14091" max="14091" width="13.33203125" style="70" customWidth="1"/>
    <col min="14092" max="14092" width="14.6640625" style="70" customWidth="1"/>
    <col min="14093" max="14337" width="9.33203125" style="70"/>
    <col min="14338" max="14338" width="6.6640625" style="70" customWidth="1"/>
    <col min="14339" max="14339" width="24.6640625" style="70" customWidth="1"/>
    <col min="14340" max="14340" width="13" style="70" customWidth="1"/>
    <col min="14341" max="14342" width="15.44140625" style="70" customWidth="1"/>
    <col min="14343" max="14343" width="11.44140625" style="70" customWidth="1"/>
    <col min="14344" max="14344" width="13" style="70" customWidth="1"/>
    <col min="14345" max="14346" width="14" style="70" customWidth="1"/>
    <col min="14347" max="14347" width="13.33203125" style="70" customWidth="1"/>
    <col min="14348" max="14348" width="14.6640625" style="70" customWidth="1"/>
    <col min="14349" max="14593" width="9.33203125" style="70"/>
    <col min="14594" max="14594" width="6.6640625" style="70" customWidth="1"/>
    <col min="14595" max="14595" width="24.6640625" style="70" customWidth="1"/>
    <col min="14596" max="14596" width="13" style="70" customWidth="1"/>
    <col min="14597" max="14598" width="15.44140625" style="70" customWidth="1"/>
    <col min="14599" max="14599" width="11.44140625" style="70" customWidth="1"/>
    <col min="14600" max="14600" width="13" style="70" customWidth="1"/>
    <col min="14601" max="14602" width="14" style="70" customWidth="1"/>
    <col min="14603" max="14603" width="13.33203125" style="70" customWidth="1"/>
    <col min="14604" max="14604" width="14.6640625" style="70" customWidth="1"/>
    <col min="14605" max="14849" width="9.33203125" style="70"/>
    <col min="14850" max="14850" width="6.6640625" style="70" customWidth="1"/>
    <col min="14851" max="14851" width="24.6640625" style="70" customWidth="1"/>
    <col min="14852" max="14852" width="13" style="70" customWidth="1"/>
    <col min="14853" max="14854" width="15.44140625" style="70" customWidth="1"/>
    <col min="14855" max="14855" width="11.44140625" style="70" customWidth="1"/>
    <col min="14856" max="14856" width="13" style="70" customWidth="1"/>
    <col min="14857" max="14858" width="14" style="70" customWidth="1"/>
    <col min="14859" max="14859" width="13.33203125" style="70" customWidth="1"/>
    <col min="14860" max="14860" width="14.6640625" style="70" customWidth="1"/>
    <col min="14861" max="15105" width="9.33203125" style="70"/>
    <col min="15106" max="15106" width="6.6640625" style="70" customWidth="1"/>
    <col min="15107" max="15107" width="24.6640625" style="70" customWidth="1"/>
    <col min="15108" max="15108" width="13" style="70" customWidth="1"/>
    <col min="15109" max="15110" width="15.44140625" style="70" customWidth="1"/>
    <col min="15111" max="15111" width="11.44140625" style="70" customWidth="1"/>
    <col min="15112" max="15112" width="13" style="70" customWidth="1"/>
    <col min="15113" max="15114" width="14" style="70" customWidth="1"/>
    <col min="15115" max="15115" width="13.33203125" style="70" customWidth="1"/>
    <col min="15116" max="15116" width="14.6640625" style="70" customWidth="1"/>
    <col min="15117" max="15361" width="9.33203125" style="70"/>
    <col min="15362" max="15362" width="6.6640625" style="70" customWidth="1"/>
    <col min="15363" max="15363" width="24.6640625" style="70" customWidth="1"/>
    <col min="15364" max="15364" width="13" style="70" customWidth="1"/>
    <col min="15365" max="15366" width="15.44140625" style="70" customWidth="1"/>
    <col min="15367" max="15367" width="11.44140625" style="70" customWidth="1"/>
    <col min="15368" max="15368" width="13" style="70" customWidth="1"/>
    <col min="15369" max="15370" width="14" style="70" customWidth="1"/>
    <col min="15371" max="15371" width="13.33203125" style="70" customWidth="1"/>
    <col min="15372" max="15372" width="14.6640625" style="70" customWidth="1"/>
    <col min="15373" max="15617" width="9.33203125" style="70"/>
    <col min="15618" max="15618" width="6.6640625" style="70" customWidth="1"/>
    <col min="15619" max="15619" width="24.6640625" style="70" customWidth="1"/>
    <col min="15620" max="15620" width="13" style="70" customWidth="1"/>
    <col min="15621" max="15622" width="15.44140625" style="70" customWidth="1"/>
    <col min="15623" max="15623" width="11.44140625" style="70" customWidth="1"/>
    <col min="15624" max="15624" width="13" style="70" customWidth="1"/>
    <col min="15625" max="15626" width="14" style="70" customWidth="1"/>
    <col min="15627" max="15627" width="13.33203125" style="70" customWidth="1"/>
    <col min="15628" max="15628" width="14.6640625" style="70" customWidth="1"/>
    <col min="15629" max="15873" width="9.33203125" style="70"/>
    <col min="15874" max="15874" width="6.6640625" style="70" customWidth="1"/>
    <col min="15875" max="15875" width="24.6640625" style="70" customWidth="1"/>
    <col min="15876" max="15876" width="13" style="70" customWidth="1"/>
    <col min="15877" max="15878" width="15.44140625" style="70" customWidth="1"/>
    <col min="15879" max="15879" width="11.44140625" style="70" customWidth="1"/>
    <col min="15880" max="15880" width="13" style="70" customWidth="1"/>
    <col min="15881" max="15882" width="14" style="70" customWidth="1"/>
    <col min="15883" max="15883" width="13.33203125" style="70" customWidth="1"/>
    <col min="15884" max="15884" width="14.6640625" style="70" customWidth="1"/>
    <col min="15885" max="16129" width="9.33203125" style="70"/>
    <col min="16130" max="16130" width="6.6640625" style="70" customWidth="1"/>
    <col min="16131" max="16131" width="24.6640625" style="70" customWidth="1"/>
    <col min="16132" max="16132" width="13" style="70" customWidth="1"/>
    <col min="16133" max="16134" width="15.44140625" style="70" customWidth="1"/>
    <col min="16135" max="16135" width="11.44140625" style="70" customWidth="1"/>
    <col min="16136" max="16136" width="13" style="70" customWidth="1"/>
    <col min="16137" max="16138" width="14" style="70" customWidth="1"/>
    <col min="16139" max="16139" width="13.33203125" style="70" customWidth="1"/>
    <col min="16140" max="16140" width="14.6640625" style="70" customWidth="1"/>
    <col min="16141" max="16384" width="9.33203125" style="70"/>
  </cols>
  <sheetData>
    <row r="1" spans="1:12" ht="33" customHeight="1">
      <c r="A1" s="910" t="s">
        <v>528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</row>
    <row r="2" spans="1:12" ht="13.8">
      <c r="A2" s="71"/>
      <c r="B2" s="72"/>
      <c r="C2" s="72"/>
      <c r="D2" s="73"/>
      <c r="E2" s="74"/>
      <c r="F2" s="74"/>
      <c r="G2" s="75"/>
      <c r="H2" s="75"/>
      <c r="I2" s="74"/>
    </row>
    <row r="3" spans="1:12" ht="13.8">
      <c r="A3" s="71"/>
      <c r="B3" s="76"/>
      <c r="C3" s="76"/>
      <c r="D3" s="77"/>
      <c r="E3" s="73"/>
      <c r="F3" s="73"/>
      <c r="G3" s="73"/>
      <c r="H3" s="73"/>
      <c r="I3" s="73"/>
      <c r="L3" s="95"/>
    </row>
    <row r="4" spans="1:12" s="79" customFormat="1" ht="85.5" customHeight="1">
      <c r="A4" s="455" t="s">
        <v>407</v>
      </c>
      <c r="B4" s="455" t="s">
        <v>454</v>
      </c>
      <c r="C4" s="455" t="s">
        <v>455</v>
      </c>
      <c r="D4" s="455" t="s">
        <v>742</v>
      </c>
      <c r="E4" s="455" t="s">
        <v>456</v>
      </c>
      <c r="F4" s="455" t="s">
        <v>457</v>
      </c>
      <c r="G4" s="456" t="s">
        <v>458</v>
      </c>
      <c r="H4" s="456" t="s">
        <v>427</v>
      </c>
      <c r="I4" s="247" t="s">
        <v>459</v>
      </c>
      <c r="J4" s="457" t="s">
        <v>189</v>
      </c>
      <c r="K4" s="457" t="s">
        <v>743</v>
      </c>
      <c r="L4" s="247" t="s">
        <v>460</v>
      </c>
    </row>
    <row r="5" spans="1:12" ht="57" customHeight="1">
      <c r="A5" s="458" t="s">
        <v>10</v>
      </c>
      <c r="B5" s="459" t="s">
        <v>461</v>
      </c>
      <c r="C5" s="460" t="s">
        <v>462</v>
      </c>
      <c r="D5" s="461"/>
      <c r="E5" s="462"/>
      <c r="F5" s="462">
        <f>'10.sz.mell'!G29</f>
        <v>6620344</v>
      </c>
      <c r="G5" s="463"/>
      <c r="H5" s="463"/>
      <c r="I5" s="462"/>
      <c r="J5" s="464"/>
      <c r="K5" s="464"/>
      <c r="L5" s="464">
        <f>SUM(D5:K5)</f>
        <v>6620344</v>
      </c>
    </row>
    <row r="6" spans="1:12" s="80" customFormat="1" ht="57" customHeight="1">
      <c r="A6" s="455" t="s">
        <v>1020</v>
      </c>
      <c r="B6" s="465" t="s">
        <v>857</v>
      </c>
      <c r="C6" s="466"/>
      <c r="D6" s="467"/>
      <c r="E6" s="468"/>
      <c r="F6" s="468">
        <v>7239709</v>
      </c>
      <c r="G6" s="469"/>
      <c r="H6" s="469"/>
      <c r="I6" s="468"/>
      <c r="J6" s="470"/>
      <c r="K6" s="470"/>
      <c r="L6" s="470">
        <f t="shared" ref="L6:L7" si="0">SUM(D6:K6)</f>
        <v>7239709</v>
      </c>
    </row>
    <row r="7" spans="1:12" s="80" customFormat="1" ht="57" customHeight="1">
      <c r="A7" s="455" t="s">
        <v>16</v>
      </c>
      <c r="B7" s="465" t="s">
        <v>1004</v>
      </c>
      <c r="C7" s="466"/>
      <c r="D7" s="467"/>
      <c r="E7" s="468"/>
      <c r="F7" s="468">
        <v>6323708</v>
      </c>
      <c r="G7" s="469"/>
      <c r="H7" s="469"/>
      <c r="I7" s="468"/>
      <c r="J7" s="470"/>
      <c r="K7" s="470"/>
      <c r="L7" s="470">
        <f t="shared" si="0"/>
        <v>6323708</v>
      </c>
    </row>
    <row r="8" spans="1:12" ht="45.75" customHeight="1">
      <c r="A8" s="458" t="s">
        <v>19</v>
      </c>
      <c r="B8" s="459" t="s">
        <v>463</v>
      </c>
      <c r="C8" s="460" t="s">
        <v>464</v>
      </c>
      <c r="D8" s="461"/>
      <c r="E8" s="462"/>
      <c r="F8" s="462"/>
      <c r="G8" s="463"/>
      <c r="H8" s="463"/>
      <c r="I8" s="462"/>
      <c r="J8" s="464"/>
      <c r="K8" s="464">
        <f>'10.sz.mell'!G37</f>
        <v>273351171</v>
      </c>
      <c r="L8" s="464">
        <f>SUM(D8:K8)</f>
        <v>273351171</v>
      </c>
    </row>
    <row r="9" spans="1:12" s="80" customFormat="1" ht="45.75" customHeight="1">
      <c r="A9" s="455" t="s">
        <v>22</v>
      </c>
      <c r="B9" s="465" t="s">
        <v>857</v>
      </c>
      <c r="C9" s="466"/>
      <c r="D9" s="467"/>
      <c r="E9" s="468"/>
      <c r="F9" s="468"/>
      <c r="G9" s="469"/>
      <c r="H9" s="469"/>
      <c r="I9" s="468"/>
      <c r="J9" s="470"/>
      <c r="K9" s="470">
        <v>283276981</v>
      </c>
      <c r="L9" s="470">
        <f t="shared" ref="L9:L10" si="1">SUM(D9:K9)</f>
        <v>283276981</v>
      </c>
    </row>
    <row r="10" spans="1:12" s="80" customFormat="1" ht="45.75" customHeight="1">
      <c r="A10" s="455" t="s">
        <v>25</v>
      </c>
      <c r="B10" s="465" t="s">
        <v>1004</v>
      </c>
      <c r="C10" s="466"/>
      <c r="D10" s="467"/>
      <c r="E10" s="468"/>
      <c r="F10" s="468"/>
      <c r="G10" s="469"/>
      <c r="H10" s="469"/>
      <c r="I10" s="468"/>
      <c r="J10" s="470"/>
      <c r="K10" s="470">
        <v>198527050</v>
      </c>
      <c r="L10" s="470">
        <f t="shared" si="1"/>
        <v>198527050</v>
      </c>
    </row>
    <row r="11" spans="1:12" s="80" customFormat="1" ht="33" customHeight="1">
      <c r="A11" s="458" t="s">
        <v>28</v>
      </c>
      <c r="B11" s="472" t="s">
        <v>1015</v>
      </c>
      <c r="C11" s="473"/>
      <c r="D11" s="481">
        <f>D7+D10</f>
        <v>0</v>
      </c>
      <c r="E11" s="481">
        <f t="shared" ref="E11:L11" si="2">E7+E10</f>
        <v>0</v>
      </c>
      <c r="F11" s="481">
        <f t="shared" si="2"/>
        <v>6323708</v>
      </c>
      <c r="G11" s="481">
        <f t="shared" si="2"/>
        <v>0</v>
      </c>
      <c r="H11" s="481">
        <f t="shared" si="2"/>
        <v>0</v>
      </c>
      <c r="I11" s="481">
        <f t="shared" si="2"/>
        <v>0</v>
      </c>
      <c r="J11" s="481">
        <f t="shared" si="2"/>
        <v>0</v>
      </c>
      <c r="K11" s="481">
        <f t="shared" si="2"/>
        <v>198527050</v>
      </c>
      <c r="L11" s="481">
        <f t="shared" si="2"/>
        <v>204850758</v>
      </c>
    </row>
    <row r="12" spans="1:12" s="669" customFormat="1" ht="21" customHeight="1">
      <c r="A12" s="455" t="s">
        <v>31</v>
      </c>
      <c r="B12" s="670" t="s">
        <v>1016</v>
      </c>
      <c r="C12" s="670"/>
      <c r="D12" s="671">
        <f>D6+D9</f>
        <v>0</v>
      </c>
      <c r="E12" s="671">
        <f t="shared" ref="E12:L12" si="3">E6+E9</f>
        <v>0</v>
      </c>
      <c r="F12" s="671">
        <f t="shared" si="3"/>
        <v>7239709</v>
      </c>
      <c r="G12" s="671">
        <f t="shared" si="3"/>
        <v>0</v>
      </c>
      <c r="H12" s="671">
        <f t="shared" si="3"/>
        <v>0</v>
      </c>
      <c r="I12" s="671">
        <f t="shared" si="3"/>
        <v>0</v>
      </c>
      <c r="J12" s="671">
        <f t="shared" si="3"/>
        <v>0</v>
      </c>
      <c r="K12" s="671">
        <f t="shared" si="3"/>
        <v>283276981</v>
      </c>
      <c r="L12" s="671">
        <f t="shared" si="3"/>
        <v>290516690</v>
      </c>
    </row>
    <row r="13" spans="1:12" ht="42" customHeight="1">
      <c r="A13" s="81"/>
      <c r="B13" s="84"/>
      <c r="C13" s="85"/>
      <c r="D13" s="86"/>
      <c r="E13" s="83"/>
      <c r="F13" s="83"/>
      <c r="G13" s="82"/>
      <c r="H13" s="82"/>
      <c r="I13" s="82"/>
    </row>
    <row r="14" spans="1:12" ht="42" customHeight="1">
      <c r="A14" s="87"/>
      <c r="B14" s="88"/>
      <c r="C14" s="89"/>
      <c r="D14" s="90"/>
      <c r="E14" s="74"/>
      <c r="F14" s="74"/>
      <c r="G14" s="75"/>
      <c r="H14" s="75"/>
      <c r="I14" s="75"/>
    </row>
    <row r="15" spans="1:12" ht="13.8">
      <c r="A15" s="71"/>
      <c r="B15" s="72"/>
      <c r="C15" s="72"/>
      <c r="D15" s="73"/>
      <c r="E15" s="73"/>
      <c r="F15" s="73"/>
      <c r="G15" s="73"/>
      <c r="H15" s="73"/>
      <c r="I15" s="73"/>
    </row>
    <row r="16" spans="1:12" s="92" customFormat="1" ht="13.8">
      <c r="A16" s="71"/>
      <c r="B16" s="72"/>
      <c r="C16" s="72"/>
      <c r="D16" s="73"/>
      <c r="E16" s="74"/>
      <c r="F16" s="91"/>
      <c r="G16" s="91"/>
      <c r="H16" s="91"/>
      <c r="I16" s="91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22/2017. (XII.04.)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M22"/>
  <sheetViews>
    <sheetView view="pageLayout" topLeftCell="C4" workbookViewId="0">
      <selection activeCell="J4" sqref="J4"/>
    </sheetView>
  </sheetViews>
  <sheetFormatPr defaultRowHeight="13.2"/>
  <cols>
    <col min="1" max="1" width="5.77734375" style="93" customWidth="1"/>
    <col min="2" max="2" width="22.33203125" style="70" customWidth="1"/>
    <col min="3" max="3" width="13" style="70" customWidth="1"/>
    <col min="4" max="4" width="13.21875" style="94" customWidth="1"/>
    <col min="5" max="5" width="15.44140625" style="94" customWidth="1"/>
    <col min="6" max="6" width="11.21875" style="94" customWidth="1"/>
    <col min="7" max="7" width="10.33203125" style="94" bestFit="1" customWidth="1"/>
    <col min="8" max="9" width="14" style="94" customWidth="1"/>
    <col min="10" max="10" width="13.33203125" style="70" customWidth="1"/>
    <col min="11" max="11" width="12.33203125" style="70" customWidth="1"/>
    <col min="12" max="12" width="14.33203125" style="70" customWidth="1"/>
    <col min="13" max="13" width="15.21875" style="70" customWidth="1"/>
    <col min="14" max="256" width="9.33203125" style="70"/>
    <col min="257" max="257" width="5.77734375" style="70" customWidth="1"/>
    <col min="258" max="258" width="22.33203125" style="70" customWidth="1"/>
    <col min="259" max="259" width="13" style="70" customWidth="1"/>
    <col min="260" max="260" width="11" style="70" customWidth="1"/>
    <col min="261" max="261" width="15.44140625" style="70" customWidth="1"/>
    <col min="262" max="262" width="11.21875" style="70" customWidth="1"/>
    <col min="263" max="263" width="13.33203125" style="70" customWidth="1"/>
    <col min="264" max="265" width="14" style="70" customWidth="1"/>
    <col min="266" max="266" width="13.33203125" style="70" customWidth="1"/>
    <col min="267" max="267" width="12.33203125" style="70" customWidth="1"/>
    <col min="268" max="268" width="14.33203125" style="70" customWidth="1"/>
    <col min="269" max="269" width="15.21875" style="70" customWidth="1"/>
    <col min="270" max="512" width="9.33203125" style="70"/>
    <col min="513" max="513" width="5.77734375" style="70" customWidth="1"/>
    <col min="514" max="514" width="22.33203125" style="70" customWidth="1"/>
    <col min="515" max="515" width="13" style="70" customWidth="1"/>
    <col min="516" max="516" width="11" style="70" customWidth="1"/>
    <col min="517" max="517" width="15.44140625" style="70" customWidth="1"/>
    <col min="518" max="518" width="11.21875" style="70" customWidth="1"/>
    <col min="519" max="519" width="13.33203125" style="70" customWidth="1"/>
    <col min="520" max="521" width="14" style="70" customWidth="1"/>
    <col min="522" max="522" width="13.33203125" style="70" customWidth="1"/>
    <col min="523" max="523" width="12.33203125" style="70" customWidth="1"/>
    <col min="524" max="524" width="14.33203125" style="70" customWidth="1"/>
    <col min="525" max="525" width="15.21875" style="70" customWidth="1"/>
    <col min="526" max="768" width="9.33203125" style="70"/>
    <col min="769" max="769" width="5.77734375" style="70" customWidth="1"/>
    <col min="770" max="770" width="22.33203125" style="70" customWidth="1"/>
    <col min="771" max="771" width="13" style="70" customWidth="1"/>
    <col min="772" max="772" width="11" style="70" customWidth="1"/>
    <col min="773" max="773" width="15.44140625" style="70" customWidth="1"/>
    <col min="774" max="774" width="11.21875" style="70" customWidth="1"/>
    <col min="775" max="775" width="13.33203125" style="70" customWidth="1"/>
    <col min="776" max="777" width="14" style="70" customWidth="1"/>
    <col min="778" max="778" width="13.33203125" style="70" customWidth="1"/>
    <col min="779" max="779" width="12.33203125" style="70" customWidth="1"/>
    <col min="780" max="780" width="14.33203125" style="70" customWidth="1"/>
    <col min="781" max="781" width="15.21875" style="70" customWidth="1"/>
    <col min="782" max="1024" width="9.33203125" style="70"/>
    <col min="1025" max="1025" width="5.77734375" style="70" customWidth="1"/>
    <col min="1026" max="1026" width="22.33203125" style="70" customWidth="1"/>
    <col min="1027" max="1027" width="13" style="70" customWidth="1"/>
    <col min="1028" max="1028" width="11" style="70" customWidth="1"/>
    <col min="1029" max="1029" width="15.44140625" style="70" customWidth="1"/>
    <col min="1030" max="1030" width="11.21875" style="70" customWidth="1"/>
    <col min="1031" max="1031" width="13.33203125" style="70" customWidth="1"/>
    <col min="1032" max="1033" width="14" style="70" customWidth="1"/>
    <col min="1034" max="1034" width="13.33203125" style="70" customWidth="1"/>
    <col min="1035" max="1035" width="12.33203125" style="70" customWidth="1"/>
    <col min="1036" max="1036" width="14.33203125" style="70" customWidth="1"/>
    <col min="1037" max="1037" width="15.21875" style="70" customWidth="1"/>
    <col min="1038" max="1280" width="9.33203125" style="70"/>
    <col min="1281" max="1281" width="5.77734375" style="70" customWidth="1"/>
    <col min="1282" max="1282" width="22.33203125" style="70" customWidth="1"/>
    <col min="1283" max="1283" width="13" style="70" customWidth="1"/>
    <col min="1284" max="1284" width="11" style="70" customWidth="1"/>
    <col min="1285" max="1285" width="15.44140625" style="70" customWidth="1"/>
    <col min="1286" max="1286" width="11.21875" style="70" customWidth="1"/>
    <col min="1287" max="1287" width="13.33203125" style="70" customWidth="1"/>
    <col min="1288" max="1289" width="14" style="70" customWidth="1"/>
    <col min="1290" max="1290" width="13.33203125" style="70" customWidth="1"/>
    <col min="1291" max="1291" width="12.33203125" style="70" customWidth="1"/>
    <col min="1292" max="1292" width="14.33203125" style="70" customWidth="1"/>
    <col min="1293" max="1293" width="15.21875" style="70" customWidth="1"/>
    <col min="1294" max="1536" width="9.33203125" style="70"/>
    <col min="1537" max="1537" width="5.77734375" style="70" customWidth="1"/>
    <col min="1538" max="1538" width="22.33203125" style="70" customWidth="1"/>
    <col min="1539" max="1539" width="13" style="70" customWidth="1"/>
    <col min="1540" max="1540" width="11" style="70" customWidth="1"/>
    <col min="1541" max="1541" width="15.44140625" style="70" customWidth="1"/>
    <col min="1542" max="1542" width="11.21875" style="70" customWidth="1"/>
    <col min="1543" max="1543" width="13.33203125" style="70" customWidth="1"/>
    <col min="1544" max="1545" width="14" style="70" customWidth="1"/>
    <col min="1546" max="1546" width="13.33203125" style="70" customWidth="1"/>
    <col min="1547" max="1547" width="12.33203125" style="70" customWidth="1"/>
    <col min="1548" max="1548" width="14.33203125" style="70" customWidth="1"/>
    <col min="1549" max="1549" width="15.21875" style="70" customWidth="1"/>
    <col min="1550" max="1792" width="9.33203125" style="70"/>
    <col min="1793" max="1793" width="5.77734375" style="70" customWidth="1"/>
    <col min="1794" max="1794" width="22.33203125" style="70" customWidth="1"/>
    <col min="1795" max="1795" width="13" style="70" customWidth="1"/>
    <col min="1796" max="1796" width="11" style="70" customWidth="1"/>
    <col min="1797" max="1797" width="15.44140625" style="70" customWidth="1"/>
    <col min="1798" max="1798" width="11.21875" style="70" customWidth="1"/>
    <col min="1799" max="1799" width="13.33203125" style="70" customWidth="1"/>
    <col min="1800" max="1801" width="14" style="70" customWidth="1"/>
    <col min="1802" max="1802" width="13.33203125" style="70" customWidth="1"/>
    <col min="1803" max="1803" width="12.33203125" style="70" customWidth="1"/>
    <col min="1804" max="1804" width="14.33203125" style="70" customWidth="1"/>
    <col min="1805" max="1805" width="15.21875" style="70" customWidth="1"/>
    <col min="1806" max="2048" width="9.33203125" style="70"/>
    <col min="2049" max="2049" width="5.77734375" style="70" customWidth="1"/>
    <col min="2050" max="2050" width="22.33203125" style="70" customWidth="1"/>
    <col min="2051" max="2051" width="13" style="70" customWidth="1"/>
    <col min="2052" max="2052" width="11" style="70" customWidth="1"/>
    <col min="2053" max="2053" width="15.44140625" style="70" customWidth="1"/>
    <col min="2054" max="2054" width="11.21875" style="70" customWidth="1"/>
    <col min="2055" max="2055" width="13.33203125" style="70" customWidth="1"/>
    <col min="2056" max="2057" width="14" style="70" customWidth="1"/>
    <col min="2058" max="2058" width="13.33203125" style="70" customWidth="1"/>
    <col min="2059" max="2059" width="12.33203125" style="70" customWidth="1"/>
    <col min="2060" max="2060" width="14.33203125" style="70" customWidth="1"/>
    <col min="2061" max="2061" width="15.21875" style="70" customWidth="1"/>
    <col min="2062" max="2304" width="9.33203125" style="70"/>
    <col min="2305" max="2305" width="5.77734375" style="70" customWidth="1"/>
    <col min="2306" max="2306" width="22.33203125" style="70" customWidth="1"/>
    <col min="2307" max="2307" width="13" style="70" customWidth="1"/>
    <col min="2308" max="2308" width="11" style="70" customWidth="1"/>
    <col min="2309" max="2309" width="15.44140625" style="70" customWidth="1"/>
    <col min="2310" max="2310" width="11.21875" style="70" customWidth="1"/>
    <col min="2311" max="2311" width="13.33203125" style="70" customWidth="1"/>
    <col min="2312" max="2313" width="14" style="70" customWidth="1"/>
    <col min="2314" max="2314" width="13.33203125" style="70" customWidth="1"/>
    <col min="2315" max="2315" width="12.33203125" style="70" customWidth="1"/>
    <col min="2316" max="2316" width="14.33203125" style="70" customWidth="1"/>
    <col min="2317" max="2317" width="15.21875" style="70" customWidth="1"/>
    <col min="2318" max="2560" width="9.33203125" style="70"/>
    <col min="2561" max="2561" width="5.77734375" style="70" customWidth="1"/>
    <col min="2562" max="2562" width="22.33203125" style="70" customWidth="1"/>
    <col min="2563" max="2563" width="13" style="70" customWidth="1"/>
    <col min="2564" max="2564" width="11" style="70" customWidth="1"/>
    <col min="2565" max="2565" width="15.44140625" style="70" customWidth="1"/>
    <col min="2566" max="2566" width="11.21875" style="70" customWidth="1"/>
    <col min="2567" max="2567" width="13.33203125" style="70" customWidth="1"/>
    <col min="2568" max="2569" width="14" style="70" customWidth="1"/>
    <col min="2570" max="2570" width="13.33203125" style="70" customWidth="1"/>
    <col min="2571" max="2571" width="12.33203125" style="70" customWidth="1"/>
    <col min="2572" max="2572" width="14.33203125" style="70" customWidth="1"/>
    <col min="2573" max="2573" width="15.21875" style="70" customWidth="1"/>
    <col min="2574" max="2816" width="9.33203125" style="70"/>
    <col min="2817" max="2817" width="5.77734375" style="70" customWidth="1"/>
    <col min="2818" max="2818" width="22.33203125" style="70" customWidth="1"/>
    <col min="2819" max="2819" width="13" style="70" customWidth="1"/>
    <col min="2820" max="2820" width="11" style="70" customWidth="1"/>
    <col min="2821" max="2821" width="15.44140625" style="70" customWidth="1"/>
    <col min="2822" max="2822" width="11.21875" style="70" customWidth="1"/>
    <col min="2823" max="2823" width="13.33203125" style="70" customWidth="1"/>
    <col min="2824" max="2825" width="14" style="70" customWidth="1"/>
    <col min="2826" max="2826" width="13.33203125" style="70" customWidth="1"/>
    <col min="2827" max="2827" width="12.33203125" style="70" customWidth="1"/>
    <col min="2828" max="2828" width="14.33203125" style="70" customWidth="1"/>
    <col min="2829" max="2829" width="15.21875" style="70" customWidth="1"/>
    <col min="2830" max="3072" width="9.33203125" style="70"/>
    <col min="3073" max="3073" width="5.77734375" style="70" customWidth="1"/>
    <col min="3074" max="3074" width="22.33203125" style="70" customWidth="1"/>
    <col min="3075" max="3075" width="13" style="70" customWidth="1"/>
    <col min="3076" max="3076" width="11" style="70" customWidth="1"/>
    <col min="3077" max="3077" width="15.44140625" style="70" customWidth="1"/>
    <col min="3078" max="3078" width="11.21875" style="70" customWidth="1"/>
    <col min="3079" max="3079" width="13.33203125" style="70" customWidth="1"/>
    <col min="3080" max="3081" width="14" style="70" customWidth="1"/>
    <col min="3082" max="3082" width="13.33203125" style="70" customWidth="1"/>
    <col min="3083" max="3083" width="12.33203125" style="70" customWidth="1"/>
    <col min="3084" max="3084" width="14.33203125" style="70" customWidth="1"/>
    <col min="3085" max="3085" width="15.21875" style="70" customWidth="1"/>
    <col min="3086" max="3328" width="9.33203125" style="70"/>
    <col min="3329" max="3329" width="5.77734375" style="70" customWidth="1"/>
    <col min="3330" max="3330" width="22.33203125" style="70" customWidth="1"/>
    <col min="3331" max="3331" width="13" style="70" customWidth="1"/>
    <col min="3332" max="3332" width="11" style="70" customWidth="1"/>
    <col min="3333" max="3333" width="15.44140625" style="70" customWidth="1"/>
    <col min="3334" max="3334" width="11.21875" style="70" customWidth="1"/>
    <col min="3335" max="3335" width="13.33203125" style="70" customWidth="1"/>
    <col min="3336" max="3337" width="14" style="70" customWidth="1"/>
    <col min="3338" max="3338" width="13.33203125" style="70" customWidth="1"/>
    <col min="3339" max="3339" width="12.33203125" style="70" customWidth="1"/>
    <col min="3340" max="3340" width="14.33203125" style="70" customWidth="1"/>
    <col min="3341" max="3341" width="15.21875" style="70" customWidth="1"/>
    <col min="3342" max="3584" width="9.33203125" style="70"/>
    <col min="3585" max="3585" width="5.77734375" style="70" customWidth="1"/>
    <col min="3586" max="3586" width="22.33203125" style="70" customWidth="1"/>
    <col min="3587" max="3587" width="13" style="70" customWidth="1"/>
    <col min="3588" max="3588" width="11" style="70" customWidth="1"/>
    <col min="3589" max="3589" width="15.44140625" style="70" customWidth="1"/>
    <col min="3590" max="3590" width="11.21875" style="70" customWidth="1"/>
    <col min="3591" max="3591" width="13.33203125" style="70" customWidth="1"/>
    <col min="3592" max="3593" width="14" style="70" customWidth="1"/>
    <col min="3594" max="3594" width="13.33203125" style="70" customWidth="1"/>
    <col min="3595" max="3595" width="12.33203125" style="70" customWidth="1"/>
    <col min="3596" max="3596" width="14.33203125" style="70" customWidth="1"/>
    <col min="3597" max="3597" width="15.21875" style="70" customWidth="1"/>
    <col min="3598" max="3840" width="9.33203125" style="70"/>
    <col min="3841" max="3841" width="5.77734375" style="70" customWidth="1"/>
    <col min="3842" max="3842" width="22.33203125" style="70" customWidth="1"/>
    <col min="3843" max="3843" width="13" style="70" customWidth="1"/>
    <col min="3844" max="3844" width="11" style="70" customWidth="1"/>
    <col min="3845" max="3845" width="15.44140625" style="70" customWidth="1"/>
    <col min="3846" max="3846" width="11.21875" style="70" customWidth="1"/>
    <col min="3847" max="3847" width="13.33203125" style="70" customWidth="1"/>
    <col min="3848" max="3849" width="14" style="70" customWidth="1"/>
    <col min="3850" max="3850" width="13.33203125" style="70" customWidth="1"/>
    <col min="3851" max="3851" width="12.33203125" style="70" customWidth="1"/>
    <col min="3852" max="3852" width="14.33203125" style="70" customWidth="1"/>
    <col min="3853" max="3853" width="15.21875" style="70" customWidth="1"/>
    <col min="3854" max="4096" width="9.33203125" style="70"/>
    <col min="4097" max="4097" width="5.77734375" style="70" customWidth="1"/>
    <col min="4098" max="4098" width="22.33203125" style="70" customWidth="1"/>
    <col min="4099" max="4099" width="13" style="70" customWidth="1"/>
    <col min="4100" max="4100" width="11" style="70" customWidth="1"/>
    <col min="4101" max="4101" width="15.44140625" style="70" customWidth="1"/>
    <col min="4102" max="4102" width="11.21875" style="70" customWidth="1"/>
    <col min="4103" max="4103" width="13.33203125" style="70" customWidth="1"/>
    <col min="4104" max="4105" width="14" style="70" customWidth="1"/>
    <col min="4106" max="4106" width="13.33203125" style="70" customWidth="1"/>
    <col min="4107" max="4107" width="12.33203125" style="70" customWidth="1"/>
    <col min="4108" max="4108" width="14.33203125" style="70" customWidth="1"/>
    <col min="4109" max="4109" width="15.21875" style="70" customWidth="1"/>
    <col min="4110" max="4352" width="9.33203125" style="70"/>
    <col min="4353" max="4353" width="5.77734375" style="70" customWidth="1"/>
    <col min="4354" max="4354" width="22.33203125" style="70" customWidth="1"/>
    <col min="4355" max="4355" width="13" style="70" customWidth="1"/>
    <col min="4356" max="4356" width="11" style="70" customWidth="1"/>
    <col min="4357" max="4357" width="15.44140625" style="70" customWidth="1"/>
    <col min="4358" max="4358" width="11.21875" style="70" customWidth="1"/>
    <col min="4359" max="4359" width="13.33203125" style="70" customWidth="1"/>
    <col min="4360" max="4361" width="14" style="70" customWidth="1"/>
    <col min="4362" max="4362" width="13.33203125" style="70" customWidth="1"/>
    <col min="4363" max="4363" width="12.33203125" style="70" customWidth="1"/>
    <col min="4364" max="4364" width="14.33203125" style="70" customWidth="1"/>
    <col min="4365" max="4365" width="15.21875" style="70" customWidth="1"/>
    <col min="4366" max="4608" width="9.33203125" style="70"/>
    <col min="4609" max="4609" width="5.77734375" style="70" customWidth="1"/>
    <col min="4610" max="4610" width="22.33203125" style="70" customWidth="1"/>
    <col min="4611" max="4611" width="13" style="70" customWidth="1"/>
    <col min="4612" max="4612" width="11" style="70" customWidth="1"/>
    <col min="4613" max="4613" width="15.44140625" style="70" customWidth="1"/>
    <col min="4614" max="4614" width="11.21875" style="70" customWidth="1"/>
    <col min="4615" max="4615" width="13.33203125" style="70" customWidth="1"/>
    <col min="4616" max="4617" width="14" style="70" customWidth="1"/>
    <col min="4618" max="4618" width="13.33203125" style="70" customWidth="1"/>
    <col min="4619" max="4619" width="12.33203125" style="70" customWidth="1"/>
    <col min="4620" max="4620" width="14.33203125" style="70" customWidth="1"/>
    <col min="4621" max="4621" width="15.21875" style="70" customWidth="1"/>
    <col min="4622" max="4864" width="9.33203125" style="70"/>
    <col min="4865" max="4865" width="5.77734375" style="70" customWidth="1"/>
    <col min="4866" max="4866" width="22.33203125" style="70" customWidth="1"/>
    <col min="4867" max="4867" width="13" style="70" customWidth="1"/>
    <col min="4868" max="4868" width="11" style="70" customWidth="1"/>
    <col min="4869" max="4869" width="15.44140625" style="70" customWidth="1"/>
    <col min="4870" max="4870" width="11.21875" style="70" customWidth="1"/>
    <col min="4871" max="4871" width="13.33203125" style="70" customWidth="1"/>
    <col min="4872" max="4873" width="14" style="70" customWidth="1"/>
    <col min="4874" max="4874" width="13.33203125" style="70" customWidth="1"/>
    <col min="4875" max="4875" width="12.33203125" style="70" customWidth="1"/>
    <col min="4876" max="4876" width="14.33203125" style="70" customWidth="1"/>
    <col min="4877" max="4877" width="15.21875" style="70" customWidth="1"/>
    <col min="4878" max="5120" width="9.33203125" style="70"/>
    <col min="5121" max="5121" width="5.77734375" style="70" customWidth="1"/>
    <col min="5122" max="5122" width="22.33203125" style="70" customWidth="1"/>
    <col min="5123" max="5123" width="13" style="70" customWidth="1"/>
    <col min="5124" max="5124" width="11" style="70" customWidth="1"/>
    <col min="5125" max="5125" width="15.44140625" style="70" customWidth="1"/>
    <col min="5126" max="5126" width="11.21875" style="70" customWidth="1"/>
    <col min="5127" max="5127" width="13.33203125" style="70" customWidth="1"/>
    <col min="5128" max="5129" width="14" style="70" customWidth="1"/>
    <col min="5130" max="5130" width="13.33203125" style="70" customWidth="1"/>
    <col min="5131" max="5131" width="12.33203125" style="70" customWidth="1"/>
    <col min="5132" max="5132" width="14.33203125" style="70" customWidth="1"/>
    <col min="5133" max="5133" width="15.21875" style="70" customWidth="1"/>
    <col min="5134" max="5376" width="9.33203125" style="70"/>
    <col min="5377" max="5377" width="5.77734375" style="70" customWidth="1"/>
    <col min="5378" max="5378" width="22.33203125" style="70" customWidth="1"/>
    <col min="5379" max="5379" width="13" style="70" customWidth="1"/>
    <col min="5380" max="5380" width="11" style="70" customWidth="1"/>
    <col min="5381" max="5381" width="15.44140625" style="70" customWidth="1"/>
    <col min="5382" max="5382" width="11.21875" style="70" customWidth="1"/>
    <col min="5383" max="5383" width="13.33203125" style="70" customWidth="1"/>
    <col min="5384" max="5385" width="14" style="70" customWidth="1"/>
    <col min="5386" max="5386" width="13.33203125" style="70" customWidth="1"/>
    <col min="5387" max="5387" width="12.33203125" style="70" customWidth="1"/>
    <col min="5388" max="5388" width="14.33203125" style="70" customWidth="1"/>
    <col min="5389" max="5389" width="15.21875" style="70" customWidth="1"/>
    <col min="5390" max="5632" width="9.33203125" style="70"/>
    <col min="5633" max="5633" width="5.77734375" style="70" customWidth="1"/>
    <col min="5634" max="5634" width="22.33203125" style="70" customWidth="1"/>
    <col min="5635" max="5635" width="13" style="70" customWidth="1"/>
    <col min="5636" max="5636" width="11" style="70" customWidth="1"/>
    <col min="5637" max="5637" width="15.44140625" style="70" customWidth="1"/>
    <col min="5638" max="5638" width="11.21875" style="70" customWidth="1"/>
    <col min="5639" max="5639" width="13.33203125" style="70" customWidth="1"/>
    <col min="5640" max="5641" width="14" style="70" customWidth="1"/>
    <col min="5642" max="5642" width="13.33203125" style="70" customWidth="1"/>
    <col min="5643" max="5643" width="12.33203125" style="70" customWidth="1"/>
    <col min="5644" max="5644" width="14.33203125" style="70" customWidth="1"/>
    <col min="5645" max="5645" width="15.21875" style="70" customWidth="1"/>
    <col min="5646" max="5888" width="9.33203125" style="70"/>
    <col min="5889" max="5889" width="5.77734375" style="70" customWidth="1"/>
    <col min="5890" max="5890" width="22.33203125" style="70" customWidth="1"/>
    <col min="5891" max="5891" width="13" style="70" customWidth="1"/>
    <col min="5892" max="5892" width="11" style="70" customWidth="1"/>
    <col min="5893" max="5893" width="15.44140625" style="70" customWidth="1"/>
    <col min="5894" max="5894" width="11.21875" style="70" customWidth="1"/>
    <col min="5895" max="5895" width="13.33203125" style="70" customWidth="1"/>
    <col min="5896" max="5897" width="14" style="70" customWidth="1"/>
    <col min="5898" max="5898" width="13.33203125" style="70" customWidth="1"/>
    <col min="5899" max="5899" width="12.33203125" style="70" customWidth="1"/>
    <col min="5900" max="5900" width="14.33203125" style="70" customWidth="1"/>
    <col min="5901" max="5901" width="15.21875" style="70" customWidth="1"/>
    <col min="5902" max="6144" width="9.33203125" style="70"/>
    <col min="6145" max="6145" width="5.77734375" style="70" customWidth="1"/>
    <col min="6146" max="6146" width="22.33203125" style="70" customWidth="1"/>
    <col min="6147" max="6147" width="13" style="70" customWidth="1"/>
    <col min="6148" max="6148" width="11" style="70" customWidth="1"/>
    <col min="6149" max="6149" width="15.44140625" style="70" customWidth="1"/>
    <col min="6150" max="6150" width="11.21875" style="70" customWidth="1"/>
    <col min="6151" max="6151" width="13.33203125" style="70" customWidth="1"/>
    <col min="6152" max="6153" width="14" style="70" customWidth="1"/>
    <col min="6154" max="6154" width="13.33203125" style="70" customWidth="1"/>
    <col min="6155" max="6155" width="12.33203125" style="70" customWidth="1"/>
    <col min="6156" max="6156" width="14.33203125" style="70" customWidth="1"/>
    <col min="6157" max="6157" width="15.21875" style="70" customWidth="1"/>
    <col min="6158" max="6400" width="9.33203125" style="70"/>
    <col min="6401" max="6401" width="5.77734375" style="70" customWidth="1"/>
    <col min="6402" max="6402" width="22.33203125" style="70" customWidth="1"/>
    <col min="6403" max="6403" width="13" style="70" customWidth="1"/>
    <col min="6404" max="6404" width="11" style="70" customWidth="1"/>
    <col min="6405" max="6405" width="15.44140625" style="70" customWidth="1"/>
    <col min="6406" max="6406" width="11.21875" style="70" customWidth="1"/>
    <col min="6407" max="6407" width="13.33203125" style="70" customWidth="1"/>
    <col min="6408" max="6409" width="14" style="70" customWidth="1"/>
    <col min="6410" max="6410" width="13.33203125" style="70" customWidth="1"/>
    <col min="6411" max="6411" width="12.33203125" style="70" customWidth="1"/>
    <col min="6412" max="6412" width="14.33203125" style="70" customWidth="1"/>
    <col min="6413" max="6413" width="15.21875" style="70" customWidth="1"/>
    <col min="6414" max="6656" width="9.33203125" style="70"/>
    <col min="6657" max="6657" width="5.77734375" style="70" customWidth="1"/>
    <col min="6658" max="6658" width="22.33203125" style="70" customWidth="1"/>
    <col min="6659" max="6659" width="13" style="70" customWidth="1"/>
    <col min="6660" max="6660" width="11" style="70" customWidth="1"/>
    <col min="6661" max="6661" width="15.44140625" style="70" customWidth="1"/>
    <col min="6662" max="6662" width="11.21875" style="70" customWidth="1"/>
    <col min="6663" max="6663" width="13.33203125" style="70" customWidth="1"/>
    <col min="6664" max="6665" width="14" style="70" customWidth="1"/>
    <col min="6666" max="6666" width="13.33203125" style="70" customWidth="1"/>
    <col min="6667" max="6667" width="12.33203125" style="70" customWidth="1"/>
    <col min="6668" max="6668" width="14.33203125" style="70" customWidth="1"/>
    <col min="6669" max="6669" width="15.21875" style="70" customWidth="1"/>
    <col min="6670" max="6912" width="9.33203125" style="70"/>
    <col min="6913" max="6913" width="5.77734375" style="70" customWidth="1"/>
    <col min="6914" max="6914" width="22.33203125" style="70" customWidth="1"/>
    <col min="6915" max="6915" width="13" style="70" customWidth="1"/>
    <col min="6916" max="6916" width="11" style="70" customWidth="1"/>
    <col min="6917" max="6917" width="15.44140625" style="70" customWidth="1"/>
    <col min="6918" max="6918" width="11.21875" style="70" customWidth="1"/>
    <col min="6919" max="6919" width="13.33203125" style="70" customWidth="1"/>
    <col min="6920" max="6921" width="14" style="70" customWidth="1"/>
    <col min="6922" max="6922" width="13.33203125" style="70" customWidth="1"/>
    <col min="6923" max="6923" width="12.33203125" style="70" customWidth="1"/>
    <col min="6924" max="6924" width="14.33203125" style="70" customWidth="1"/>
    <col min="6925" max="6925" width="15.21875" style="70" customWidth="1"/>
    <col min="6926" max="7168" width="9.33203125" style="70"/>
    <col min="7169" max="7169" width="5.77734375" style="70" customWidth="1"/>
    <col min="7170" max="7170" width="22.33203125" style="70" customWidth="1"/>
    <col min="7171" max="7171" width="13" style="70" customWidth="1"/>
    <col min="7172" max="7172" width="11" style="70" customWidth="1"/>
    <col min="7173" max="7173" width="15.44140625" style="70" customWidth="1"/>
    <col min="7174" max="7174" width="11.21875" style="70" customWidth="1"/>
    <col min="7175" max="7175" width="13.33203125" style="70" customWidth="1"/>
    <col min="7176" max="7177" width="14" style="70" customWidth="1"/>
    <col min="7178" max="7178" width="13.33203125" style="70" customWidth="1"/>
    <col min="7179" max="7179" width="12.33203125" style="70" customWidth="1"/>
    <col min="7180" max="7180" width="14.33203125" style="70" customWidth="1"/>
    <col min="7181" max="7181" width="15.21875" style="70" customWidth="1"/>
    <col min="7182" max="7424" width="9.33203125" style="70"/>
    <col min="7425" max="7425" width="5.77734375" style="70" customWidth="1"/>
    <col min="7426" max="7426" width="22.33203125" style="70" customWidth="1"/>
    <col min="7427" max="7427" width="13" style="70" customWidth="1"/>
    <col min="7428" max="7428" width="11" style="70" customWidth="1"/>
    <col min="7429" max="7429" width="15.44140625" style="70" customWidth="1"/>
    <col min="7430" max="7430" width="11.21875" style="70" customWidth="1"/>
    <col min="7431" max="7431" width="13.33203125" style="70" customWidth="1"/>
    <col min="7432" max="7433" width="14" style="70" customWidth="1"/>
    <col min="7434" max="7434" width="13.33203125" style="70" customWidth="1"/>
    <col min="7435" max="7435" width="12.33203125" style="70" customWidth="1"/>
    <col min="7436" max="7436" width="14.33203125" style="70" customWidth="1"/>
    <col min="7437" max="7437" width="15.21875" style="70" customWidth="1"/>
    <col min="7438" max="7680" width="9.33203125" style="70"/>
    <col min="7681" max="7681" width="5.77734375" style="70" customWidth="1"/>
    <col min="7682" max="7682" width="22.33203125" style="70" customWidth="1"/>
    <col min="7683" max="7683" width="13" style="70" customWidth="1"/>
    <col min="7684" max="7684" width="11" style="70" customWidth="1"/>
    <col min="7685" max="7685" width="15.44140625" style="70" customWidth="1"/>
    <col min="7686" max="7686" width="11.21875" style="70" customWidth="1"/>
    <col min="7687" max="7687" width="13.33203125" style="70" customWidth="1"/>
    <col min="7688" max="7689" width="14" style="70" customWidth="1"/>
    <col min="7690" max="7690" width="13.33203125" style="70" customWidth="1"/>
    <col min="7691" max="7691" width="12.33203125" style="70" customWidth="1"/>
    <col min="7692" max="7692" width="14.33203125" style="70" customWidth="1"/>
    <col min="7693" max="7693" width="15.21875" style="70" customWidth="1"/>
    <col min="7694" max="7936" width="9.33203125" style="70"/>
    <col min="7937" max="7937" width="5.77734375" style="70" customWidth="1"/>
    <col min="7938" max="7938" width="22.33203125" style="70" customWidth="1"/>
    <col min="7939" max="7939" width="13" style="70" customWidth="1"/>
    <col min="7940" max="7940" width="11" style="70" customWidth="1"/>
    <col min="7941" max="7941" width="15.44140625" style="70" customWidth="1"/>
    <col min="7942" max="7942" width="11.21875" style="70" customWidth="1"/>
    <col min="7943" max="7943" width="13.33203125" style="70" customWidth="1"/>
    <col min="7944" max="7945" width="14" style="70" customWidth="1"/>
    <col min="7946" max="7946" width="13.33203125" style="70" customWidth="1"/>
    <col min="7947" max="7947" width="12.33203125" style="70" customWidth="1"/>
    <col min="7948" max="7948" width="14.33203125" style="70" customWidth="1"/>
    <col min="7949" max="7949" width="15.21875" style="70" customWidth="1"/>
    <col min="7950" max="8192" width="9.33203125" style="70"/>
    <col min="8193" max="8193" width="5.77734375" style="70" customWidth="1"/>
    <col min="8194" max="8194" width="22.33203125" style="70" customWidth="1"/>
    <col min="8195" max="8195" width="13" style="70" customWidth="1"/>
    <col min="8196" max="8196" width="11" style="70" customWidth="1"/>
    <col min="8197" max="8197" width="15.44140625" style="70" customWidth="1"/>
    <col min="8198" max="8198" width="11.21875" style="70" customWidth="1"/>
    <col min="8199" max="8199" width="13.33203125" style="70" customWidth="1"/>
    <col min="8200" max="8201" width="14" style="70" customWidth="1"/>
    <col min="8202" max="8202" width="13.33203125" style="70" customWidth="1"/>
    <col min="8203" max="8203" width="12.33203125" style="70" customWidth="1"/>
    <col min="8204" max="8204" width="14.33203125" style="70" customWidth="1"/>
    <col min="8205" max="8205" width="15.21875" style="70" customWidth="1"/>
    <col min="8206" max="8448" width="9.33203125" style="70"/>
    <col min="8449" max="8449" width="5.77734375" style="70" customWidth="1"/>
    <col min="8450" max="8450" width="22.33203125" style="70" customWidth="1"/>
    <col min="8451" max="8451" width="13" style="70" customWidth="1"/>
    <col min="8452" max="8452" width="11" style="70" customWidth="1"/>
    <col min="8453" max="8453" width="15.44140625" style="70" customWidth="1"/>
    <col min="8454" max="8454" width="11.21875" style="70" customWidth="1"/>
    <col min="8455" max="8455" width="13.33203125" style="70" customWidth="1"/>
    <col min="8456" max="8457" width="14" style="70" customWidth="1"/>
    <col min="8458" max="8458" width="13.33203125" style="70" customWidth="1"/>
    <col min="8459" max="8459" width="12.33203125" style="70" customWidth="1"/>
    <col min="8460" max="8460" width="14.33203125" style="70" customWidth="1"/>
    <col min="8461" max="8461" width="15.21875" style="70" customWidth="1"/>
    <col min="8462" max="8704" width="9.33203125" style="70"/>
    <col min="8705" max="8705" width="5.77734375" style="70" customWidth="1"/>
    <col min="8706" max="8706" width="22.33203125" style="70" customWidth="1"/>
    <col min="8707" max="8707" width="13" style="70" customWidth="1"/>
    <col min="8708" max="8708" width="11" style="70" customWidth="1"/>
    <col min="8709" max="8709" width="15.44140625" style="70" customWidth="1"/>
    <col min="8710" max="8710" width="11.21875" style="70" customWidth="1"/>
    <col min="8711" max="8711" width="13.33203125" style="70" customWidth="1"/>
    <col min="8712" max="8713" width="14" style="70" customWidth="1"/>
    <col min="8714" max="8714" width="13.33203125" style="70" customWidth="1"/>
    <col min="8715" max="8715" width="12.33203125" style="70" customWidth="1"/>
    <col min="8716" max="8716" width="14.33203125" style="70" customWidth="1"/>
    <col min="8717" max="8717" width="15.21875" style="70" customWidth="1"/>
    <col min="8718" max="8960" width="9.33203125" style="70"/>
    <col min="8961" max="8961" width="5.77734375" style="70" customWidth="1"/>
    <col min="8962" max="8962" width="22.33203125" style="70" customWidth="1"/>
    <col min="8963" max="8963" width="13" style="70" customWidth="1"/>
    <col min="8964" max="8964" width="11" style="70" customWidth="1"/>
    <col min="8965" max="8965" width="15.44140625" style="70" customWidth="1"/>
    <col min="8966" max="8966" width="11.21875" style="70" customWidth="1"/>
    <col min="8967" max="8967" width="13.33203125" style="70" customWidth="1"/>
    <col min="8968" max="8969" width="14" style="70" customWidth="1"/>
    <col min="8970" max="8970" width="13.33203125" style="70" customWidth="1"/>
    <col min="8971" max="8971" width="12.33203125" style="70" customWidth="1"/>
    <col min="8972" max="8972" width="14.33203125" style="70" customWidth="1"/>
    <col min="8973" max="8973" width="15.21875" style="70" customWidth="1"/>
    <col min="8974" max="9216" width="9.33203125" style="70"/>
    <col min="9217" max="9217" width="5.77734375" style="70" customWidth="1"/>
    <col min="9218" max="9218" width="22.33203125" style="70" customWidth="1"/>
    <col min="9219" max="9219" width="13" style="70" customWidth="1"/>
    <col min="9220" max="9220" width="11" style="70" customWidth="1"/>
    <col min="9221" max="9221" width="15.44140625" style="70" customWidth="1"/>
    <col min="9222" max="9222" width="11.21875" style="70" customWidth="1"/>
    <col min="9223" max="9223" width="13.33203125" style="70" customWidth="1"/>
    <col min="9224" max="9225" width="14" style="70" customWidth="1"/>
    <col min="9226" max="9226" width="13.33203125" style="70" customWidth="1"/>
    <col min="9227" max="9227" width="12.33203125" style="70" customWidth="1"/>
    <col min="9228" max="9228" width="14.33203125" style="70" customWidth="1"/>
    <col min="9229" max="9229" width="15.21875" style="70" customWidth="1"/>
    <col min="9230" max="9472" width="9.33203125" style="70"/>
    <col min="9473" max="9473" width="5.77734375" style="70" customWidth="1"/>
    <col min="9474" max="9474" width="22.33203125" style="70" customWidth="1"/>
    <col min="9475" max="9475" width="13" style="70" customWidth="1"/>
    <col min="9476" max="9476" width="11" style="70" customWidth="1"/>
    <col min="9477" max="9477" width="15.44140625" style="70" customWidth="1"/>
    <col min="9478" max="9478" width="11.21875" style="70" customWidth="1"/>
    <col min="9479" max="9479" width="13.33203125" style="70" customWidth="1"/>
    <col min="9480" max="9481" width="14" style="70" customWidth="1"/>
    <col min="9482" max="9482" width="13.33203125" style="70" customWidth="1"/>
    <col min="9483" max="9483" width="12.33203125" style="70" customWidth="1"/>
    <col min="9484" max="9484" width="14.33203125" style="70" customWidth="1"/>
    <col min="9485" max="9485" width="15.21875" style="70" customWidth="1"/>
    <col min="9486" max="9728" width="9.33203125" style="70"/>
    <col min="9729" max="9729" width="5.77734375" style="70" customWidth="1"/>
    <col min="9730" max="9730" width="22.33203125" style="70" customWidth="1"/>
    <col min="9731" max="9731" width="13" style="70" customWidth="1"/>
    <col min="9732" max="9732" width="11" style="70" customWidth="1"/>
    <col min="9733" max="9733" width="15.44140625" style="70" customWidth="1"/>
    <col min="9734" max="9734" width="11.21875" style="70" customWidth="1"/>
    <col min="9735" max="9735" width="13.33203125" style="70" customWidth="1"/>
    <col min="9736" max="9737" width="14" style="70" customWidth="1"/>
    <col min="9738" max="9738" width="13.33203125" style="70" customWidth="1"/>
    <col min="9739" max="9739" width="12.33203125" style="70" customWidth="1"/>
    <col min="9740" max="9740" width="14.33203125" style="70" customWidth="1"/>
    <col min="9741" max="9741" width="15.21875" style="70" customWidth="1"/>
    <col min="9742" max="9984" width="9.33203125" style="70"/>
    <col min="9985" max="9985" width="5.77734375" style="70" customWidth="1"/>
    <col min="9986" max="9986" width="22.33203125" style="70" customWidth="1"/>
    <col min="9987" max="9987" width="13" style="70" customWidth="1"/>
    <col min="9988" max="9988" width="11" style="70" customWidth="1"/>
    <col min="9989" max="9989" width="15.44140625" style="70" customWidth="1"/>
    <col min="9990" max="9990" width="11.21875" style="70" customWidth="1"/>
    <col min="9991" max="9991" width="13.33203125" style="70" customWidth="1"/>
    <col min="9992" max="9993" width="14" style="70" customWidth="1"/>
    <col min="9994" max="9994" width="13.33203125" style="70" customWidth="1"/>
    <col min="9995" max="9995" width="12.33203125" style="70" customWidth="1"/>
    <col min="9996" max="9996" width="14.33203125" style="70" customWidth="1"/>
    <col min="9997" max="9997" width="15.21875" style="70" customWidth="1"/>
    <col min="9998" max="10240" width="9.33203125" style="70"/>
    <col min="10241" max="10241" width="5.77734375" style="70" customWidth="1"/>
    <col min="10242" max="10242" width="22.33203125" style="70" customWidth="1"/>
    <col min="10243" max="10243" width="13" style="70" customWidth="1"/>
    <col min="10244" max="10244" width="11" style="70" customWidth="1"/>
    <col min="10245" max="10245" width="15.44140625" style="70" customWidth="1"/>
    <col min="10246" max="10246" width="11.21875" style="70" customWidth="1"/>
    <col min="10247" max="10247" width="13.33203125" style="70" customWidth="1"/>
    <col min="10248" max="10249" width="14" style="70" customWidth="1"/>
    <col min="10250" max="10250" width="13.33203125" style="70" customWidth="1"/>
    <col min="10251" max="10251" width="12.33203125" style="70" customWidth="1"/>
    <col min="10252" max="10252" width="14.33203125" style="70" customWidth="1"/>
    <col min="10253" max="10253" width="15.21875" style="70" customWidth="1"/>
    <col min="10254" max="10496" width="9.33203125" style="70"/>
    <col min="10497" max="10497" width="5.77734375" style="70" customWidth="1"/>
    <col min="10498" max="10498" width="22.33203125" style="70" customWidth="1"/>
    <col min="10499" max="10499" width="13" style="70" customWidth="1"/>
    <col min="10500" max="10500" width="11" style="70" customWidth="1"/>
    <col min="10501" max="10501" width="15.44140625" style="70" customWidth="1"/>
    <col min="10502" max="10502" width="11.21875" style="70" customWidth="1"/>
    <col min="10503" max="10503" width="13.33203125" style="70" customWidth="1"/>
    <col min="10504" max="10505" width="14" style="70" customWidth="1"/>
    <col min="10506" max="10506" width="13.33203125" style="70" customWidth="1"/>
    <col min="10507" max="10507" width="12.33203125" style="70" customWidth="1"/>
    <col min="10508" max="10508" width="14.33203125" style="70" customWidth="1"/>
    <col min="10509" max="10509" width="15.21875" style="70" customWidth="1"/>
    <col min="10510" max="10752" width="9.33203125" style="70"/>
    <col min="10753" max="10753" width="5.77734375" style="70" customWidth="1"/>
    <col min="10754" max="10754" width="22.33203125" style="70" customWidth="1"/>
    <col min="10755" max="10755" width="13" style="70" customWidth="1"/>
    <col min="10756" max="10756" width="11" style="70" customWidth="1"/>
    <col min="10757" max="10757" width="15.44140625" style="70" customWidth="1"/>
    <col min="10758" max="10758" width="11.21875" style="70" customWidth="1"/>
    <col min="10759" max="10759" width="13.33203125" style="70" customWidth="1"/>
    <col min="10760" max="10761" width="14" style="70" customWidth="1"/>
    <col min="10762" max="10762" width="13.33203125" style="70" customWidth="1"/>
    <col min="10763" max="10763" width="12.33203125" style="70" customWidth="1"/>
    <col min="10764" max="10764" width="14.33203125" style="70" customWidth="1"/>
    <col min="10765" max="10765" width="15.21875" style="70" customWidth="1"/>
    <col min="10766" max="11008" width="9.33203125" style="70"/>
    <col min="11009" max="11009" width="5.77734375" style="70" customWidth="1"/>
    <col min="11010" max="11010" width="22.33203125" style="70" customWidth="1"/>
    <col min="11011" max="11011" width="13" style="70" customWidth="1"/>
    <col min="11012" max="11012" width="11" style="70" customWidth="1"/>
    <col min="11013" max="11013" width="15.44140625" style="70" customWidth="1"/>
    <col min="11014" max="11014" width="11.21875" style="70" customWidth="1"/>
    <col min="11015" max="11015" width="13.33203125" style="70" customWidth="1"/>
    <col min="11016" max="11017" width="14" style="70" customWidth="1"/>
    <col min="11018" max="11018" width="13.33203125" style="70" customWidth="1"/>
    <col min="11019" max="11019" width="12.33203125" style="70" customWidth="1"/>
    <col min="11020" max="11020" width="14.33203125" style="70" customWidth="1"/>
    <col min="11021" max="11021" width="15.21875" style="70" customWidth="1"/>
    <col min="11022" max="11264" width="9.33203125" style="70"/>
    <col min="11265" max="11265" width="5.77734375" style="70" customWidth="1"/>
    <col min="11266" max="11266" width="22.33203125" style="70" customWidth="1"/>
    <col min="11267" max="11267" width="13" style="70" customWidth="1"/>
    <col min="11268" max="11268" width="11" style="70" customWidth="1"/>
    <col min="11269" max="11269" width="15.44140625" style="70" customWidth="1"/>
    <col min="11270" max="11270" width="11.21875" style="70" customWidth="1"/>
    <col min="11271" max="11271" width="13.33203125" style="70" customWidth="1"/>
    <col min="11272" max="11273" width="14" style="70" customWidth="1"/>
    <col min="11274" max="11274" width="13.33203125" style="70" customWidth="1"/>
    <col min="11275" max="11275" width="12.33203125" style="70" customWidth="1"/>
    <col min="11276" max="11276" width="14.33203125" style="70" customWidth="1"/>
    <col min="11277" max="11277" width="15.21875" style="70" customWidth="1"/>
    <col min="11278" max="11520" width="9.33203125" style="70"/>
    <col min="11521" max="11521" width="5.77734375" style="70" customWidth="1"/>
    <col min="11522" max="11522" width="22.33203125" style="70" customWidth="1"/>
    <col min="11523" max="11523" width="13" style="70" customWidth="1"/>
    <col min="11524" max="11524" width="11" style="70" customWidth="1"/>
    <col min="11525" max="11525" width="15.44140625" style="70" customWidth="1"/>
    <col min="11526" max="11526" width="11.21875" style="70" customWidth="1"/>
    <col min="11527" max="11527" width="13.33203125" style="70" customWidth="1"/>
    <col min="11528" max="11529" width="14" style="70" customWidth="1"/>
    <col min="11530" max="11530" width="13.33203125" style="70" customWidth="1"/>
    <col min="11531" max="11531" width="12.33203125" style="70" customWidth="1"/>
    <col min="11532" max="11532" width="14.33203125" style="70" customWidth="1"/>
    <col min="11533" max="11533" width="15.21875" style="70" customWidth="1"/>
    <col min="11534" max="11776" width="9.33203125" style="70"/>
    <col min="11777" max="11777" width="5.77734375" style="70" customWidth="1"/>
    <col min="11778" max="11778" width="22.33203125" style="70" customWidth="1"/>
    <col min="11779" max="11779" width="13" style="70" customWidth="1"/>
    <col min="11780" max="11780" width="11" style="70" customWidth="1"/>
    <col min="11781" max="11781" width="15.44140625" style="70" customWidth="1"/>
    <col min="11782" max="11782" width="11.21875" style="70" customWidth="1"/>
    <col min="11783" max="11783" width="13.33203125" style="70" customWidth="1"/>
    <col min="11784" max="11785" width="14" style="70" customWidth="1"/>
    <col min="11786" max="11786" width="13.33203125" style="70" customWidth="1"/>
    <col min="11787" max="11787" width="12.33203125" style="70" customWidth="1"/>
    <col min="11788" max="11788" width="14.33203125" style="70" customWidth="1"/>
    <col min="11789" max="11789" width="15.21875" style="70" customWidth="1"/>
    <col min="11790" max="12032" width="9.33203125" style="70"/>
    <col min="12033" max="12033" width="5.77734375" style="70" customWidth="1"/>
    <col min="12034" max="12034" width="22.33203125" style="70" customWidth="1"/>
    <col min="12035" max="12035" width="13" style="70" customWidth="1"/>
    <col min="12036" max="12036" width="11" style="70" customWidth="1"/>
    <col min="12037" max="12037" width="15.44140625" style="70" customWidth="1"/>
    <col min="12038" max="12038" width="11.21875" style="70" customWidth="1"/>
    <col min="12039" max="12039" width="13.33203125" style="70" customWidth="1"/>
    <col min="12040" max="12041" width="14" style="70" customWidth="1"/>
    <col min="12042" max="12042" width="13.33203125" style="70" customWidth="1"/>
    <col min="12043" max="12043" width="12.33203125" style="70" customWidth="1"/>
    <col min="12044" max="12044" width="14.33203125" style="70" customWidth="1"/>
    <col min="12045" max="12045" width="15.21875" style="70" customWidth="1"/>
    <col min="12046" max="12288" width="9.33203125" style="70"/>
    <col min="12289" max="12289" width="5.77734375" style="70" customWidth="1"/>
    <col min="12290" max="12290" width="22.33203125" style="70" customWidth="1"/>
    <col min="12291" max="12291" width="13" style="70" customWidth="1"/>
    <col min="12292" max="12292" width="11" style="70" customWidth="1"/>
    <col min="12293" max="12293" width="15.44140625" style="70" customWidth="1"/>
    <col min="12294" max="12294" width="11.21875" style="70" customWidth="1"/>
    <col min="12295" max="12295" width="13.33203125" style="70" customWidth="1"/>
    <col min="12296" max="12297" width="14" style="70" customWidth="1"/>
    <col min="12298" max="12298" width="13.33203125" style="70" customWidth="1"/>
    <col min="12299" max="12299" width="12.33203125" style="70" customWidth="1"/>
    <col min="12300" max="12300" width="14.33203125" style="70" customWidth="1"/>
    <col min="12301" max="12301" width="15.21875" style="70" customWidth="1"/>
    <col min="12302" max="12544" width="9.33203125" style="70"/>
    <col min="12545" max="12545" width="5.77734375" style="70" customWidth="1"/>
    <col min="12546" max="12546" width="22.33203125" style="70" customWidth="1"/>
    <col min="12547" max="12547" width="13" style="70" customWidth="1"/>
    <col min="12548" max="12548" width="11" style="70" customWidth="1"/>
    <col min="12549" max="12549" width="15.44140625" style="70" customWidth="1"/>
    <col min="12550" max="12550" width="11.21875" style="70" customWidth="1"/>
    <col min="12551" max="12551" width="13.33203125" style="70" customWidth="1"/>
    <col min="12552" max="12553" width="14" style="70" customWidth="1"/>
    <col min="12554" max="12554" width="13.33203125" style="70" customWidth="1"/>
    <col min="12555" max="12555" width="12.33203125" style="70" customWidth="1"/>
    <col min="12556" max="12556" width="14.33203125" style="70" customWidth="1"/>
    <col min="12557" max="12557" width="15.21875" style="70" customWidth="1"/>
    <col min="12558" max="12800" width="9.33203125" style="70"/>
    <col min="12801" max="12801" width="5.77734375" style="70" customWidth="1"/>
    <col min="12802" max="12802" width="22.33203125" style="70" customWidth="1"/>
    <col min="12803" max="12803" width="13" style="70" customWidth="1"/>
    <col min="12804" max="12804" width="11" style="70" customWidth="1"/>
    <col min="12805" max="12805" width="15.44140625" style="70" customWidth="1"/>
    <col min="12806" max="12806" width="11.21875" style="70" customWidth="1"/>
    <col min="12807" max="12807" width="13.33203125" style="70" customWidth="1"/>
    <col min="12808" max="12809" width="14" style="70" customWidth="1"/>
    <col min="12810" max="12810" width="13.33203125" style="70" customWidth="1"/>
    <col min="12811" max="12811" width="12.33203125" style="70" customWidth="1"/>
    <col min="12812" max="12812" width="14.33203125" style="70" customWidth="1"/>
    <col min="12813" max="12813" width="15.21875" style="70" customWidth="1"/>
    <col min="12814" max="13056" width="9.33203125" style="70"/>
    <col min="13057" max="13057" width="5.77734375" style="70" customWidth="1"/>
    <col min="13058" max="13058" width="22.33203125" style="70" customWidth="1"/>
    <col min="13059" max="13059" width="13" style="70" customWidth="1"/>
    <col min="13060" max="13060" width="11" style="70" customWidth="1"/>
    <col min="13061" max="13061" width="15.44140625" style="70" customWidth="1"/>
    <col min="13062" max="13062" width="11.21875" style="70" customWidth="1"/>
    <col min="13063" max="13063" width="13.33203125" style="70" customWidth="1"/>
    <col min="13064" max="13065" width="14" style="70" customWidth="1"/>
    <col min="13066" max="13066" width="13.33203125" style="70" customWidth="1"/>
    <col min="13067" max="13067" width="12.33203125" style="70" customWidth="1"/>
    <col min="13068" max="13068" width="14.33203125" style="70" customWidth="1"/>
    <col min="13069" max="13069" width="15.21875" style="70" customWidth="1"/>
    <col min="13070" max="13312" width="9.33203125" style="70"/>
    <col min="13313" max="13313" width="5.77734375" style="70" customWidth="1"/>
    <col min="13314" max="13314" width="22.33203125" style="70" customWidth="1"/>
    <col min="13315" max="13315" width="13" style="70" customWidth="1"/>
    <col min="13316" max="13316" width="11" style="70" customWidth="1"/>
    <col min="13317" max="13317" width="15.44140625" style="70" customWidth="1"/>
    <col min="13318" max="13318" width="11.21875" style="70" customWidth="1"/>
    <col min="13319" max="13319" width="13.33203125" style="70" customWidth="1"/>
    <col min="13320" max="13321" width="14" style="70" customWidth="1"/>
    <col min="13322" max="13322" width="13.33203125" style="70" customWidth="1"/>
    <col min="13323" max="13323" width="12.33203125" style="70" customWidth="1"/>
    <col min="13324" max="13324" width="14.33203125" style="70" customWidth="1"/>
    <col min="13325" max="13325" width="15.21875" style="70" customWidth="1"/>
    <col min="13326" max="13568" width="9.33203125" style="70"/>
    <col min="13569" max="13569" width="5.77734375" style="70" customWidth="1"/>
    <col min="13570" max="13570" width="22.33203125" style="70" customWidth="1"/>
    <col min="13571" max="13571" width="13" style="70" customWidth="1"/>
    <col min="13572" max="13572" width="11" style="70" customWidth="1"/>
    <col min="13573" max="13573" width="15.44140625" style="70" customWidth="1"/>
    <col min="13574" max="13574" width="11.21875" style="70" customWidth="1"/>
    <col min="13575" max="13575" width="13.33203125" style="70" customWidth="1"/>
    <col min="13576" max="13577" width="14" style="70" customWidth="1"/>
    <col min="13578" max="13578" width="13.33203125" style="70" customWidth="1"/>
    <col min="13579" max="13579" width="12.33203125" style="70" customWidth="1"/>
    <col min="13580" max="13580" width="14.33203125" style="70" customWidth="1"/>
    <col min="13581" max="13581" width="15.21875" style="70" customWidth="1"/>
    <col min="13582" max="13824" width="9.33203125" style="70"/>
    <col min="13825" max="13825" width="5.77734375" style="70" customWidth="1"/>
    <col min="13826" max="13826" width="22.33203125" style="70" customWidth="1"/>
    <col min="13827" max="13827" width="13" style="70" customWidth="1"/>
    <col min="13828" max="13828" width="11" style="70" customWidth="1"/>
    <col min="13829" max="13829" width="15.44140625" style="70" customWidth="1"/>
    <col min="13830" max="13830" width="11.21875" style="70" customWidth="1"/>
    <col min="13831" max="13831" width="13.33203125" style="70" customWidth="1"/>
    <col min="13832" max="13833" width="14" style="70" customWidth="1"/>
    <col min="13834" max="13834" width="13.33203125" style="70" customWidth="1"/>
    <col min="13835" max="13835" width="12.33203125" style="70" customWidth="1"/>
    <col min="13836" max="13836" width="14.33203125" style="70" customWidth="1"/>
    <col min="13837" max="13837" width="15.21875" style="70" customWidth="1"/>
    <col min="13838" max="14080" width="9.33203125" style="70"/>
    <col min="14081" max="14081" width="5.77734375" style="70" customWidth="1"/>
    <col min="14082" max="14082" width="22.33203125" style="70" customWidth="1"/>
    <col min="14083" max="14083" width="13" style="70" customWidth="1"/>
    <col min="14084" max="14084" width="11" style="70" customWidth="1"/>
    <col min="14085" max="14085" width="15.44140625" style="70" customWidth="1"/>
    <col min="14086" max="14086" width="11.21875" style="70" customWidth="1"/>
    <col min="14087" max="14087" width="13.33203125" style="70" customWidth="1"/>
    <col min="14088" max="14089" width="14" style="70" customWidth="1"/>
    <col min="14090" max="14090" width="13.33203125" style="70" customWidth="1"/>
    <col min="14091" max="14091" width="12.33203125" style="70" customWidth="1"/>
    <col min="14092" max="14092" width="14.33203125" style="70" customWidth="1"/>
    <col min="14093" max="14093" width="15.21875" style="70" customWidth="1"/>
    <col min="14094" max="14336" width="9.33203125" style="70"/>
    <col min="14337" max="14337" width="5.77734375" style="70" customWidth="1"/>
    <col min="14338" max="14338" width="22.33203125" style="70" customWidth="1"/>
    <col min="14339" max="14339" width="13" style="70" customWidth="1"/>
    <col min="14340" max="14340" width="11" style="70" customWidth="1"/>
    <col min="14341" max="14341" width="15.44140625" style="70" customWidth="1"/>
    <col min="14342" max="14342" width="11.21875" style="70" customWidth="1"/>
    <col min="14343" max="14343" width="13.33203125" style="70" customWidth="1"/>
    <col min="14344" max="14345" width="14" style="70" customWidth="1"/>
    <col min="14346" max="14346" width="13.33203125" style="70" customWidth="1"/>
    <col min="14347" max="14347" width="12.33203125" style="70" customWidth="1"/>
    <col min="14348" max="14348" width="14.33203125" style="70" customWidth="1"/>
    <col min="14349" max="14349" width="15.21875" style="70" customWidth="1"/>
    <col min="14350" max="14592" width="9.33203125" style="70"/>
    <col min="14593" max="14593" width="5.77734375" style="70" customWidth="1"/>
    <col min="14594" max="14594" width="22.33203125" style="70" customWidth="1"/>
    <col min="14595" max="14595" width="13" style="70" customWidth="1"/>
    <col min="14596" max="14596" width="11" style="70" customWidth="1"/>
    <col min="14597" max="14597" width="15.44140625" style="70" customWidth="1"/>
    <col min="14598" max="14598" width="11.21875" style="70" customWidth="1"/>
    <col min="14599" max="14599" width="13.33203125" style="70" customWidth="1"/>
    <col min="14600" max="14601" width="14" style="70" customWidth="1"/>
    <col min="14602" max="14602" width="13.33203125" style="70" customWidth="1"/>
    <col min="14603" max="14603" width="12.33203125" style="70" customWidth="1"/>
    <col min="14604" max="14604" width="14.33203125" style="70" customWidth="1"/>
    <col min="14605" max="14605" width="15.21875" style="70" customWidth="1"/>
    <col min="14606" max="14848" width="9.33203125" style="70"/>
    <col min="14849" max="14849" width="5.77734375" style="70" customWidth="1"/>
    <col min="14850" max="14850" width="22.33203125" style="70" customWidth="1"/>
    <col min="14851" max="14851" width="13" style="70" customWidth="1"/>
    <col min="14852" max="14852" width="11" style="70" customWidth="1"/>
    <col min="14853" max="14853" width="15.44140625" style="70" customWidth="1"/>
    <col min="14854" max="14854" width="11.21875" style="70" customWidth="1"/>
    <col min="14855" max="14855" width="13.33203125" style="70" customWidth="1"/>
    <col min="14856" max="14857" width="14" style="70" customWidth="1"/>
    <col min="14858" max="14858" width="13.33203125" style="70" customWidth="1"/>
    <col min="14859" max="14859" width="12.33203125" style="70" customWidth="1"/>
    <col min="14860" max="14860" width="14.33203125" style="70" customWidth="1"/>
    <col min="14861" max="14861" width="15.21875" style="70" customWidth="1"/>
    <col min="14862" max="15104" width="9.33203125" style="70"/>
    <col min="15105" max="15105" width="5.77734375" style="70" customWidth="1"/>
    <col min="15106" max="15106" width="22.33203125" style="70" customWidth="1"/>
    <col min="15107" max="15107" width="13" style="70" customWidth="1"/>
    <col min="15108" max="15108" width="11" style="70" customWidth="1"/>
    <col min="15109" max="15109" width="15.44140625" style="70" customWidth="1"/>
    <col min="15110" max="15110" width="11.21875" style="70" customWidth="1"/>
    <col min="15111" max="15111" width="13.33203125" style="70" customWidth="1"/>
    <col min="15112" max="15113" width="14" style="70" customWidth="1"/>
    <col min="15114" max="15114" width="13.33203125" style="70" customWidth="1"/>
    <col min="15115" max="15115" width="12.33203125" style="70" customWidth="1"/>
    <col min="15116" max="15116" width="14.33203125" style="70" customWidth="1"/>
    <col min="15117" max="15117" width="15.21875" style="70" customWidth="1"/>
    <col min="15118" max="15360" width="9.33203125" style="70"/>
    <col min="15361" max="15361" width="5.77734375" style="70" customWidth="1"/>
    <col min="15362" max="15362" width="22.33203125" style="70" customWidth="1"/>
    <col min="15363" max="15363" width="13" style="70" customWidth="1"/>
    <col min="15364" max="15364" width="11" style="70" customWidth="1"/>
    <col min="15365" max="15365" width="15.44140625" style="70" customWidth="1"/>
    <col min="15366" max="15366" width="11.21875" style="70" customWidth="1"/>
    <col min="15367" max="15367" width="13.33203125" style="70" customWidth="1"/>
    <col min="15368" max="15369" width="14" style="70" customWidth="1"/>
    <col min="15370" max="15370" width="13.33203125" style="70" customWidth="1"/>
    <col min="15371" max="15371" width="12.33203125" style="70" customWidth="1"/>
    <col min="15372" max="15372" width="14.33203125" style="70" customWidth="1"/>
    <col min="15373" max="15373" width="15.21875" style="70" customWidth="1"/>
    <col min="15374" max="15616" width="9.33203125" style="70"/>
    <col min="15617" max="15617" width="5.77734375" style="70" customWidth="1"/>
    <col min="15618" max="15618" width="22.33203125" style="70" customWidth="1"/>
    <col min="15619" max="15619" width="13" style="70" customWidth="1"/>
    <col min="15620" max="15620" width="11" style="70" customWidth="1"/>
    <col min="15621" max="15621" width="15.44140625" style="70" customWidth="1"/>
    <col min="15622" max="15622" width="11.21875" style="70" customWidth="1"/>
    <col min="15623" max="15623" width="13.33203125" style="70" customWidth="1"/>
    <col min="15624" max="15625" width="14" style="70" customWidth="1"/>
    <col min="15626" max="15626" width="13.33203125" style="70" customWidth="1"/>
    <col min="15627" max="15627" width="12.33203125" style="70" customWidth="1"/>
    <col min="15628" max="15628" width="14.33203125" style="70" customWidth="1"/>
    <col min="15629" max="15629" width="15.21875" style="70" customWidth="1"/>
    <col min="15630" max="15872" width="9.33203125" style="70"/>
    <col min="15873" max="15873" width="5.77734375" style="70" customWidth="1"/>
    <col min="15874" max="15874" width="22.33203125" style="70" customWidth="1"/>
    <col min="15875" max="15875" width="13" style="70" customWidth="1"/>
    <col min="15876" max="15876" width="11" style="70" customWidth="1"/>
    <col min="15877" max="15877" width="15.44140625" style="70" customWidth="1"/>
    <col min="15878" max="15878" width="11.21875" style="70" customWidth="1"/>
    <col min="15879" max="15879" width="13.33203125" style="70" customWidth="1"/>
    <col min="15880" max="15881" width="14" style="70" customWidth="1"/>
    <col min="15882" max="15882" width="13.33203125" style="70" customWidth="1"/>
    <col min="15883" max="15883" width="12.33203125" style="70" customWidth="1"/>
    <col min="15884" max="15884" width="14.33203125" style="70" customWidth="1"/>
    <col min="15885" max="15885" width="15.21875" style="70" customWidth="1"/>
    <col min="15886" max="16128" width="9.33203125" style="70"/>
    <col min="16129" max="16129" width="5.77734375" style="70" customWidth="1"/>
    <col min="16130" max="16130" width="22.33203125" style="70" customWidth="1"/>
    <col min="16131" max="16131" width="13" style="70" customWidth="1"/>
    <col min="16132" max="16132" width="11" style="70" customWidth="1"/>
    <col min="16133" max="16133" width="15.44140625" style="70" customWidth="1"/>
    <col min="16134" max="16134" width="11.21875" style="70" customWidth="1"/>
    <col min="16135" max="16135" width="13.33203125" style="70" customWidth="1"/>
    <col min="16136" max="16137" width="14" style="70" customWidth="1"/>
    <col min="16138" max="16138" width="13.33203125" style="70" customWidth="1"/>
    <col min="16139" max="16139" width="12.33203125" style="70" customWidth="1"/>
    <col min="16140" max="16140" width="14.33203125" style="70" customWidth="1"/>
    <col min="16141" max="16141" width="15.21875" style="70" customWidth="1"/>
    <col min="16142" max="16384" width="9.33203125" style="70"/>
  </cols>
  <sheetData>
    <row r="1" spans="1:13" ht="33" customHeight="1">
      <c r="A1" s="910" t="s">
        <v>526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</row>
    <row r="2" spans="1:13" ht="13.8">
      <c r="A2" s="71"/>
      <c r="B2" s="72"/>
      <c r="C2" s="72"/>
      <c r="D2" s="73"/>
      <c r="E2" s="74"/>
      <c r="F2" s="74"/>
      <c r="G2" s="75"/>
      <c r="H2" s="75"/>
      <c r="I2" s="74"/>
    </row>
    <row r="3" spans="1:13" ht="13.8">
      <c r="A3" s="71"/>
      <c r="B3" s="76"/>
      <c r="C3" s="76"/>
      <c r="D3" s="77"/>
      <c r="E3" s="73"/>
      <c r="F3" s="73"/>
      <c r="G3" s="73"/>
      <c r="H3" s="73"/>
      <c r="I3" s="73"/>
      <c r="K3" s="918" t="s">
        <v>423</v>
      </c>
      <c r="L3" s="918"/>
      <c r="M3" s="918"/>
    </row>
    <row r="4" spans="1:13" s="79" customFormat="1" ht="75.75" customHeight="1">
      <c r="A4" s="455" t="s">
        <v>407</v>
      </c>
      <c r="B4" s="455" t="s">
        <v>454</v>
      </c>
      <c r="C4" s="455" t="s">
        <v>455</v>
      </c>
      <c r="D4" s="455" t="s">
        <v>465</v>
      </c>
      <c r="E4" s="455" t="s">
        <v>206</v>
      </c>
      <c r="F4" s="455" t="s">
        <v>466</v>
      </c>
      <c r="G4" s="456" t="s">
        <v>210</v>
      </c>
      <c r="H4" s="456" t="s">
        <v>467</v>
      </c>
      <c r="I4" s="456" t="s">
        <v>231</v>
      </c>
      <c r="J4" s="457" t="s">
        <v>233</v>
      </c>
      <c r="K4" s="247" t="s">
        <v>235</v>
      </c>
      <c r="L4" s="457" t="s">
        <v>468</v>
      </c>
      <c r="M4" s="247" t="s">
        <v>469</v>
      </c>
    </row>
    <row r="5" spans="1:13" ht="65.25" customHeight="1">
      <c r="A5" s="458" t="s">
        <v>10</v>
      </c>
      <c r="B5" s="459" t="s">
        <v>461</v>
      </c>
      <c r="C5" s="460" t="s">
        <v>462</v>
      </c>
      <c r="D5" s="478">
        <v>165241715</v>
      </c>
      <c r="E5" s="479">
        <v>38887585</v>
      </c>
      <c r="F5" s="479">
        <v>49162000</v>
      </c>
      <c r="G5" s="480"/>
      <c r="H5" s="480"/>
      <c r="I5" s="479">
        <v>3429000</v>
      </c>
      <c r="J5" s="508"/>
      <c r="K5" s="508"/>
      <c r="L5" s="508"/>
      <c r="M5" s="509">
        <f>SUM(D5:L5)</f>
        <v>256720300</v>
      </c>
    </row>
    <row r="6" spans="1:13" s="80" customFormat="1" ht="65.25" customHeight="1">
      <c r="A6" s="455" t="s">
        <v>13</v>
      </c>
      <c r="B6" s="465" t="s">
        <v>857</v>
      </c>
      <c r="C6" s="466"/>
      <c r="D6" s="481">
        <v>166905451</v>
      </c>
      <c r="E6" s="481">
        <v>39291333</v>
      </c>
      <c r="F6" s="481">
        <v>50919905</v>
      </c>
      <c r="G6" s="481">
        <v>0</v>
      </c>
      <c r="H6" s="481">
        <f t="shared" ref="H6:L6" si="0">H7-H5</f>
        <v>0</v>
      </c>
      <c r="I6" s="481">
        <v>3395181</v>
      </c>
      <c r="J6" s="481">
        <f t="shared" si="0"/>
        <v>0</v>
      </c>
      <c r="K6" s="481">
        <f t="shared" si="0"/>
        <v>0</v>
      </c>
      <c r="L6" s="481">
        <f t="shared" si="0"/>
        <v>0</v>
      </c>
      <c r="M6" s="511">
        <f t="shared" ref="M6:M7" si="1">SUM(D6:L6)</f>
        <v>260511870</v>
      </c>
    </row>
    <row r="7" spans="1:13" s="80" customFormat="1" ht="65.25" customHeight="1">
      <c r="A7" s="455" t="s">
        <v>16</v>
      </c>
      <c r="B7" s="465" t="s">
        <v>1004</v>
      </c>
      <c r="C7" s="466"/>
      <c r="D7" s="481">
        <v>123653542</v>
      </c>
      <c r="E7" s="482">
        <v>29443997</v>
      </c>
      <c r="F7" s="482">
        <v>29396289</v>
      </c>
      <c r="G7" s="483">
        <v>0</v>
      </c>
      <c r="H7" s="483"/>
      <c r="I7" s="482">
        <v>1968233</v>
      </c>
      <c r="J7" s="510"/>
      <c r="K7" s="510"/>
      <c r="L7" s="510"/>
      <c r="M7" s="511">
        <f t="shared" si="1"/>
        <v>184462061</v>
      </c>
    </row>
    <row r="8" spans="1:13" ht="33.75" customHeight="1">
      <c r="A8" s="458" t="s">
        <v>19</v>
      </c>
      <c r="B8" s="459" t="s">
        <v>774</v>
      </c>
      <c r="C8" s="460" t="s">
        <v>773</v>
      </c>
      <c r="D8" s="478">
        <v>8909833</v>
      </c>
      <c r="E8" s="479">
        <v>2335439</v>
      </c>
      <c r="F8" s="479">
        <v>2280000</v>
      </c>
      <c r="G8" s="480"/>
      <c r="H8" s="480"/>
      <c r="I8" s="479"/>
      <c r="J8" s="508"/>
      <c r="K8" s="508"/>
      <c r="L8" s="508"/>
      <c r="M8" s="509">
        <f t="shared" ref="M8:M16" si="2">SUM(D8:L8)</f>
        <v>13525272</v>
      </c>
    </row>
    <row r="9" spans="1:13" s="80" customFormat="1" ht="65.25" customHeight="1">
      <c r="A9" s="455" t="s">
        <v>22</v>
      </c>
      <c r="B9" s="465" t="s">
        <v>857</v>
      </c>
      <c r="C9" s="466"/>
      <c r="D9" s="481">
        <v>9226033</v>
      </c>
      <c r="E9" s="481">
        <v>2377327</v>
      </c>
      <c r="F9" s="481">
        <v>1925504</v>
      </c>
      <c r="G9" s="481">
        <v>0</v>
      </c>
      <c r="H9" s="481">
        <f t="shared" ref="H9:L9" si="3">H10-H8</f>
        <v>0</v>
      </c>
      <c r="I9" s="481">
        <f t="shared" si="3"/>
        <v>0</v>
      </c>
      <c r="J9" s="481">
        <f t="shared" si="3"/>
        <v>0</v>
      </c>
      <c r="K9" s="481">
        <f t="shared" si="3"/>
        <v>0</v>
      </c>
      <c r="L9" s="481">
        <f t="shared" si="3"/>
        <v>0</v>
      </c>
      <c r="M9" s="511">
        <f t="shared" si="2"/>
        <v>13528864</v>
      </c>
    </row>
    <row r="10" spans="1:13" s="80" customFormat="1" ht="65.25" customHeight="1">
      <c r="A10" s="455" t="s">
        <v>25</v>
      </c>
      <c r="B10" s="465" t="s">
        <v>1004</v>
      </c>
      <c r="C10" s="466"/>
      <c r="D10" s="481">
        <v>6513757</v>
      </c>
      <c r="E10" s="482">
        <v>1361156</v>
      </c>
      <c r="F10" s="482">
        <v>961379</v>
      </c>
      <c r="G10" s="483">
        <v>0</v>
      </c>
      <c r="H10" s="483"/>
      <c r="I10" s="482"/>
      <c r="J10" s="510"/>
      <c r="K10" s="510"/>
      <c r="L10" s="510"/>
      <c r="M10" s="511">
        <f t="shared" si="2"/>
        <v>8836292</v>
      </c>
    </row>
    <row r="11" spans="1:13" ht="31.5" customHeight="1">
      <c r="A11" s="458" t="s">
        <v>37</v>
      </c>
      <c r="B11" s="459" t="s">
        <v>777</v>
      </c>
      <c r="C11" s="460" t="s">
        <v>775</v>
      </c>
      <c r="D11" s="478">
        <v>5883261</v>
      </c>
      <c r="E11" s="479">
        <v>1510522</v>
      </c>
      <c r="F11" s="479">
        <v>1020000</v>
      </c>
      <c r="G11" s="480"/>
      <c r="H11" s="480"/>
      <c r="I11" s="479">
        <v>635000</v>
      </c>
      <c r="J11" s="508"/>
      <c r="K11" s="508"/>
      <c r="L11" s="508"/>
      <c r="M11" s="509">
        <f t="shared" si="2"/>
        <v>9048783</v>
      </c>
    </row>
    <row r="12" spans="1:13" s="80" customFormat="1" ht="65.25" customHeight="1">
      <c r="A12" s="455" t="s">
        <v>39</v>
      </c>
      <c r="B12" s="465" t="s">
        <v>857</v>
      </c>
      <c r="C12" s="466"/>
      <c r="D12" s="481">
        <v>6085589</v>
      </c>
      <c r="E12" s="481">
        <v>1537318</v>
      </c>
      <c r="F12" s="481">
        <v>1129997</v>
      </c>
      <c r="G12" s="481">
        <v>0</v>
      </c>
      <c r="H12" s="481">
        <f t="shared" ref="H12:L12" si="4">H13-H11</f>
        <v>0</v>
      </c>
      <c r="I12" s="481">
        <v>568192</v>
      </c>
      <c r="J12" s="481">
        <f t="shared" si="4"/>
        <v>0</v>
      </c>
      <c r="K12" s="481">
        <f t="shared" si="4"/>
        <v>0</v>
      </c>
      <c r="L12" s="481">
        <f t="shared" si="4"/>
        <v>0</v>
      </c>
      <c r="M12" s="511">
        <f t="shared" si="2"/>
        <v>9321096</v>
      </c>
    </row>
    <row r="13" spans="1:13" s="80" customFormat="1" ht="65.25" customHeight="1">
      <c r="A13" s="455" t="s">
        <v>41</v>
      </c>
      <c r="B13" s="465" t="s">
        <v>1004</v>
      </c>
      <c r="C13" s="466"/>
      <c r="D13" s="481">
        <v>4065694</v>
      </c>
      <c r="E13" s="482">
        <v>1117456</v>
      </c>
      <c r="F13" s="482">
        <v>786033</v>
      </c>
      <c r="G13" s="483">
        <v>0</v>
      </c>
      <c r="H13" s="483"/>
      <c r="I13" s="482">
        <v>300000</v>
      </c>
      <c r="J13" s="510"/>
      <c r="K13" s="510"/>
      <c r="L13" s="510"/>
      <c r="M13" s="511">
        <f t="shared" si="2"/>
        <v>6269183</v>
      </c>
    </row>
    <row r="14" spans="1:13" ht="43.5" customHeight="1">
      <c r="A14" s="458" t="s">
        <v>43</v>
      </c>
      <c r="B14" s="459" t="s">
        <v>778</v>
      </c>
      <c r="C14" s="460" t="s">
        <v>776</v>
      </c>
      <c r="D14" s="478"/>
      <c r="E14" s="479"/>
      <c r="F14" s="479"/>
      <c r="G14" s="480">
        <v>677160</v>
      </c>
      <c r="H14" s="480"/>
      <c r="I14" s="479"/>
      <c r="J14" s="508"/>
      <c r="K14" s="508"/>
      <c r="L14" s="464"/>
      <c r="M14" s="509">
        <f t="shared" si="2"/>
        <v>677160</v>
      </c>
    </row>
    <row r="15" spans="1:13" s="80" customFormat="1" ht="65.25" customHeight="1">
      <c r="A15" s="455" t="s">
        <v>45</v>
      </c>
      <c r="B15" s="465" t="s">
        <v>857</v>
      </c>
      <c r="C15" s="466"/>
      <c r="D15" s="481"/>
      <c r="E15" s="482"/>
      <c r="F15" s="482"/>
      <c r="G15" s="483">
        <v>7154860</v>
      </c>
      <c r="H15" s="483"/>
      <c r="I15" s="482"/>
      <c r="J15" s="510"/>
      <c r="K15" s="510"/>
      <c r="L15" s="510"/>
      <c r="M15" s="511">
        <f t="shared" si="2"/>
        <v>7154860</v>
      </c>
    </row>
    <row r="16" spans="1:13" s="80" customFormat="1" ht="65.25" customHeight="1">
      <c r="A16" s="455" t="s">
        <v>47</v>
      </c>
      <c r="B16" s="465" t="s">
        <v>1004</v>
      </c>
      <c r="C16" s="466"/>
      <c r="D16" s="481"/>
      <c r="E16" s="482"/>
      <c r="F16" s="482"/>
      <c r="G16" s="483">
        <v>583470</v>
      </c>
      <c r="H16" s="483"/>
      <c r="I16" s="482"/>
      <c r="J16" s="510"/>
      <c r="K16" s="510"/>
      <c r="L16" s="510"/>
      <c r="M16" s="511">
        <f t="shared" si="2"/>
        <v>583470</v>
      </c>
    </row>
    <row r="17" spans="1:13" s="80" customFormat="1" ht="33" customHeight="1">
      <c r="A17" s="458" t="s">
        <v>49</v>
      </c>
      <c r="B17" s="472" t="s">
        <v>1015</v>
      </c>
      <c r="C17" s="473"/>
      <c r="D17" s="481">
        <f>D16+D13+D10+D7</f>
        <v>134232993</v>
      </c>
      <c r="E17" s="481">
        <f t="shared" ref="E17:M17" si="5">E16+E13+E10+E7</f>
        <v>31922609</v>
      </c>
      <c r="F17" s="481">
        <f t="shared" si="5"/>
        <v>31143701</v>
      </c>
      <c r="G17" s="481">
        <f t="shared" si="5"/>
        <v>583470</v>
      </c>
      <c r="H17" s="481">
        <f t="shared" si="5"/>
        <v>0</v>
      </c>
      <c r="I17" s="481">
        <f t="shared" si="5"/>
        <v>2268233</v>
      </c>
      <c r="J17" s="481">
        <f t="shared" si="5"/>
        <v>0</v>
      </c>
      <c r="K17" s="481">
        <f t="shared" si="5"/>
        <v>0</v>
      </c>
      <c r="L17" s="481">
        <f t="shared" si="5"/>
        <v>0</v>
      </c>
      <c r="M17" s="481">
        <f t="shared" si="5"/>
        <v>200151006</v>
      </c>
    </row>
    <row r="18" spans="1:13" s="669" customFormat="1" ht="21" customHeight="1">
      <c r="A18" s="455" t="s">
        <v>51</v>
      </c>
      <c r="B18" s="670" t="s">
        <v>1016</v>
      </c>
      <c r="C18" s="670"/>
      <c r="D18" s="671">
        <f>D6+D9+D12+D15</f>
        <v>182217073</v>
      </c>
      <c r="E18" s="671">
        <f t="shared" ref="E18:M18" si="6">E6+E9+E12+E15</f>
        <v>43205978</v>
      </c>
      <c r="F18" s="671">
        <f t="shared" si="6"/>
        <v>53975406</v>
      </c>
      <c r="G18" s="671">
        <f t="shared" si="6"/>
        <v>7154860</v>
      </c>
      <c r="H18" s="671">
        <f t="shared" si="6"/>
        <v>0</v>
      </c>
      <c r="I18" s="671">
        <f t="shared" si="6"/>
        <v>3963373</v>
      </c>
      <c r="J18" s="671">
        <f t="shared" si="6"/>
        <v>0</v>
      </c>
      <c r="K18" s="671">
        <f t="shared" si="6"/>
        <v>0</v>
      </c>
      <c r="L18" s="671">
        <f t="shared" si="6"/>
        <v>0</v>
      </c>
      <c r="M18" s="671">
        <f t="shared" si="6"/>
        <v>290516690</v>
      </c>
    </row>
    <row r="19" spans="1:13" ht="42" customHeight="1">
      <c r="A19" s="81"/>
      <c r="B19" s="84"/>
      <c r="C19" s="85"/>
      <c r="D19" s="86"/>
      <c r="E19" s="83"/>
      <c r="F19" s="83"/>
      <c r="G19" s="82"/>
      <c r="H19" s="82"/>
      <c r="I19" s="82"/>
    </row>
    <row r="20" spans="1:13" ht="42" customHeight="1">
      <c r="A20" s="87"/>
      <c r="B20" s="88"/>
      <c r="C20" s="89"/>
      <c r="D20" s="90"/>
      <c r="E20" s="74"/>
      <c r="F20" s="74"/>
      <c r="G20" s="75"/>
      <c r="H20" s="75"/>
      <c r="I20" s="75"/>
    </row>
    <row r="21" spans="1:13" ht="13.8">
      <c r="A21" s="71"/>
      <c r="B21" s="72"/>
      <c r="C21" s="72"/>
      <c r="D21" s="73"/>
      <c r="E21" s="73"/>
      <c r="F21" s="73"/>
      <c r="G21" s="73"/>
      <c r="H21" s="73"/>
      <c r="I21" s="73"/>
    </row>
    <row r="22" spans="1:13" s="92" customFormat="1" ht="13.8">
      <c r="A22" s="71"/>
      <c r="B22" s="72"/>
      <c r="C22" s="72"/>
      <c r="D22" s="73"/>
      <c r="E22" s="74"/>
      <c r="F22" s="91"/>
      <c r="G22" s="91"/>
      <c r="H22" s="91"/>
      <c r="I22" s="91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22/2017. (XII.04.)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K65"/>
  <sheetViews>
    <sheetView view="pageLayout" topLeftCell="C1" zoomScaleNormal="87" zoomScaleSheetLayoutView="100" workbookViewId="0">
      <selection activeCell="H3" sqref="H3"/>
    </sheetView>
  </sheetViews>
  <sheetFormatPr defaultRowHeight="13.2"/>
  <cols>
    <col min="1" max="1" width="6.77734375" style="127" customWidth="1"/>
    <col min="2" max="2" width="66.77734375" style="128" customWidth="1"/>
    <col min="3" max="3" width="8.21875" style="128" customWidth="1"/>
    <col min="4" max="6" width="16.33203125" style="102" customWidth="1"/>
    <col min="7" max="7" width="14.44140625" style="314" customWidth="1"/>
    <col min="8" max="8" width="14.44140625" style="790" customWidth="1"/>
    <col min="9" max="10" width="13.33203125" style="314" bestFit="1" customWidth="1"/>
    <col min="11" max="11" width="15.6640625" style="702" bestFit="1" customWidth="1"/>
    <col min="12" max="257" width="9.33203125" style="102"/>
    <col min="258" max="258" width="6.77734375" style="102" customWidth="1"/>
    <col min="259" max="259" width="60.21875" style="102" customWidth="1"/>
    <col min="260" max="260" width="8.21875" style="102" customWidth="1"/>
    <col min="261" max="263" width="14.44140625" style="102" customWidth="1"/>
    <col min="264" max="513" width="9.33203125" style="102"/>
    <col min="514" max="514" width="6.77734375" style="102" customWidth="1"/>
    <col min="515" max="515" width="60.21875" style="102" customWidth="1"/>
    <col min="516" max="516" width="8.21875" style="102" customWidth="1"/>
    <col min="517" max="519" width="14.44140625" style="102" customWidth="1"/>
    <col min="520" max="769" width="9.33203125" style="102"/>
    <col min="770" max="770" width="6.77734375" style="102" customWidth="1"/>
    <col min="771" max="771" width="60.21875" style="102" customWidth="1"/>
    <col min="772" max="772" width="8.21875" style="102" customWidth="1"/>
    <col min="773" max="775" width="14.44140625" style="102" customWidth="1"/>
    <col min="776" max="1025" width="9.33203125" style="102"/>
    <col min="1026" max="1026" width="6.77734375" style="102" customWidth="1"/>
    <col min="1027" max="1027" width="60.21875" style="102" customWidth="1"/>
    <col min="1028" max="1028" width="8.21875" style="102" customWidth="1"/>
    <col min="1029" max="1031" width="14.44140625" style="102" customWidth="1"/>
    <col min="1032" max="1281" width="9.33203125" style="102"/>
    <col min="1282" max="1282" width="6.77734375" style="102" customWidth="1"/>
    <col min="1283" max="1283" width="60.21875" style="102" customWidth="1"/>
    <col min="1284" max="1284" width="8.21875" style="102" customWidth="1"/>
    <col min="1285" max="1287" width="14.44140625" style="102" customWidth="1"/>
    <col min="1288" max="1537" width="9.33203125" style="102"/>
    <col min="1538" max="1538" width="6.77734375" style="102" customWidth="1"/>
    <col min="1539" max="1539" width="60.21875" style="102" customWidth="1"/>
    <col min="1540" max="1540" width="8.21875" style="102" customWidth="1"/>
    <col min="1541" max="1543" width="14.44140625" style="102" customWidth="1"/>
    <col min="1544" max="1793" width="9.33203125" style="102"/>
    <col min="1794" max="1794" width="6.77734375" style="102" customWidth="1"/>
    <col min="1795" max="1795" width="60.21875" style="102" customWidth="1"/>
    <col min="1796" max="1796" width="8.21875" style="102" customWidth="1"/>
    <col min="1797" max="1799" width="14.44140625" style="102" customWidth="1"/>
    <col min="1800" max="2049" width="9.33203125" style="102"/>
    <col min="2050" max="2050" width="6.77734375" style="102" customWidth="1"/>
    <col min="2051" max="2051" width="60.21875" style="102" customWidth="1"/>
    <col min="2052" max="2052" width="8.21875" style="102" customWidth="1"/>
    <col min="2053" max="2055" width="14.44140625" style="102" customWidth="1"/>
    <col min="2056" max="2305" width="9.33203125" style="102"/>
    <col min="2306" max="2306" width="6.77734375" style="102" customWidth="1"/>
    <col min="2307" max="2307" width="60.21875" style="102" customWidth="1"/>
    <col min="2308" max="2308" width="8.21875" style="102" customWidth="1"/>
    <col min="2309" max="2311" width="14.44140625" style="102" customWidth="1"/>
    <col min="2312" max="2561" width="9.33203125" style="102"/>
    <col min="2562" max="2562" width="6.77734375" style="102" customWidth="1"/>
    <col min="2563" max="2563" width="60.21875" style="102" customWidth="1"/>
    <col min="2564" max="2564" width="8.21875" style="102" customWidth="1"/>
    <col min="2565" max="2567" width="14.44140625" style="102" customWidth="1"/>
    <col min="2568" max="2817" width="9.33203125" style="102"/>
    <col min="2818" max="2818" width="6.77734375" style="102" customWidth="1"/>
    <col min="2819" max="2819" width="60.21875" style="102" customWidth="1"/>
    <col min="2820" max="2820" width="8.21875" style="102" customWidth="1"/>
    <col min="2821" max="2823" width="14.44140625" style="102" customWidth="1"/>
    <col min="2824" max="3073" width="9.33203125" style="102"/>
    <col min="3074" max="3074" width="6.77734375" style="102" customWidth="1"/>
    <col min="3075" max="3075" width="60.21875" style="102" customWidth="1"/>
    <col min="3076" max="3076" width="8.21875" style="102" customWidth="1"/>
    <col min="3077" max="3079" width="14.44140625" style="102" customWidth="1"/>
    <col min="3080" max="3329" width="9.33203125" style="102"/>
    <col min="3330" max="3330" width="6.77734375" style="102" customWidth="1"/>
    <col min="3331" max="3331" width="60.21875" style="102" customWidth="1"/>
    <col min="3332" max="3332" width="8.21875" style="102" customWidth="1"/>
    <col min="3333" max="3335" width="14.44140625" style="102" customWidth="1"/>
    <col min="3336" max="3585" width="9.33203125" style="102"/>
    <col min="3586" max="3586" width="6.77734375" style="102" customWidth="1"/>
    <col min="3587" max="3587" width="60.21875" style="102" customWidth="1"/>
    <col min="3588" max="3588" width="8.21875" style="102" customWidth="1"/>
    <col min="3589" max="3591" width="14.44140625" style="102" customWidth="1"/>
    <col min="3592" max="3841" width="9.33203125" style="102"/>
    <col min="3842" max="3842" width="6.77734375" style="102" customWidth="1"/>
    <col min="3843" max="3843" width="60.21875" style="102" customWidth="1"/>
    <col min="3844" max="3844" width="8.21875" style="102" customWidth="1"/>
    <col min="3845" max="3847" width="14.44140625" style="102" customWidth="1"/>
    <col min="3848" max="4097" width="9.33203125" style="102"/>
    <col min="4098" max="4098" width="6.77734375" style="102" customWidth="1"/>
    <col min="4099" max="4099" width="60.21875" style="102" customWidth="1"/>
    <col min="4100" max="4100" width="8.21875" style="102" customWidth="1"/>
    <col min="4101" max="4103" width="14.44140625" style="102" customWidth="1"/>
    <col min="4104" max="4353" width="9.33203125" style="102"/>
    <col min="4354" max="4354" width="6.77734375" style="102" customWidth="1"/>
    <col min="4355" max="4355" width="60.21875" style="102" customWidth="1"/>
    <col min="4356" max="4356" width="8.21875" style="102" customWidth="1"/>
    <col min="4357" max="4359" width="14.44140625" style="102" customWidth="1"/>
    <col min="4360" max="4609" width="9.33203125" style="102"/>
    <col min="4610" max="4610" width="6.77734375" style="102" customWidth="1"/>
    <col min="4611" max="4611" width="60.21875" style="102" customWidth="1"/>
    <col min="4612" max="4612" width="8.21875" style="102" customWidth="1"/>
    <col min="4613" max="4615" width="14.44140625" style="102" customWidth="1"/>
    <col min="4616" max="4865" width="9.33203125" style="102"/>
    <col min="4866" max="4866" width="6.77734375" style="102" customWidth="1"/>
    <col min="4867" max="4867" width="60.21875" style="102" customWidth="1"/>
    <col min="4868" max="4868" width="8.21875" style="102" customWidth="1"/>
    <col min="4869" max="4871" width="14.44140625" style="102" customWidth="1"/>
    <col min="4872" max="5121" width="9.33203125" style="102"/>
    <col min="5122" max="5122" width="6.77734375" style="102" customWidth="1"/>
    <col min="5123" max="5123" width="60.21875" style="102" customWidth="1"/>
    <col min="5124" max="5124" width="8.21875" style="102" customWidth="1"/>
    <col min="5125" max="5127" width="14.44140625" style="102" customWidth="1"/>
    <col min="5128" max="5377" width="9.33203125" style="102"/>
    <col min="5378" max="5378" width="6.77734375" style="102" customWidth="1"/>
    <col min="5379" max="5379" width="60.21875" style="102" customWidth="1"/>
    <col min="5380" max="5380" width="8.21875" style="102" customWidth="1"/>
    <col min="5381" max="5383" width="14.44140625" style="102" customWidth="1"/>
    <col min="5384" max="5633" width="9.33203125" style="102"/>
    <col min="5634" max="5634" width="6.77734375" style="102" customWidth="1"/>
    <col min="5635" max="5635" width="60.21875" style="102" customWidth="1"/>
    <col min="5636" max="5636" width="8.21875" style="102" customWidth="1"/>
    <col min="5637" max="5639" width="14.44140625" style="102" customWidth="1"/>
    <col min="5640" max="5889" width="9.33203125" style="102"/>
    <col min="5890" max="5890" width="6.77734375" style="102" customWidth="1"/>
    <col min="5891" max="5891" width="60.21875" style="102" customWidth="1"/>
    <col min="5892" max="5892" width="8.21875" style="102" customWidth="1"/>
    <col min="5893" max="5895" width="14.44140625" style="102" customWidth="1"/>
    <col min="5896" max="6145" width="9.33203125" style="102"/>
    <col min="6146" max="6146" width="6.77734375" style="102" customWidth="1"/>
    <col min="6147" max="6147" width="60.21875" style="102" customWidth="1"/>
    <col min="6148" max="6148" width="8.21875" style="102" customWidth="1"/>
    <col min="6149" max="6151" width="14.44140625" style="102" customWidth="1"/>
    <col min="6152" max="6401" width="9.33203125" style="102"/>
    <col min="6402" max="6402" width="6.77734375" style="102" customWidth="1"/>
    <col min="6403" max="6403" width="60.21875" style="102" customWidth="1"/>
    <col min="6404" max="6404" width="8.21875" style="102" customWidth="1"/>
    <col min="6405" max="6407" width="14.44140625" style="102" customWidth="1"/>
    <col min="6408" max="6657" width="9.33203125" style="102"/>
    <col min="6658" max="6658" width="6.77734375" style="102" customWidth="1"/>
    <col min="6659" max="6659" width="60.21875" style="102" customWidth="1"/>
    <col min="6660" max="6660" width="8.21875" style="102" customWidth="1"/>
    <col min="6661" max="6663" width="14.44140625" style="102" customWidth="1"/>
    <col min="6664" max="6913" width="9.33203125" style="102"/>
    <col min="6914" max="6914" width="6.77734375" style="102" customWidth="1"/>
    <col min="6915" max="6915" width="60.21875" style="102" customWidth="1"/>
    <col min="6916" max="6916" width="8.21875" style="102" customWidth="1"/>
    <col min="6917" max="6919" width="14.44140625" style="102" customWidth="1"/>
    <col min="6920" max="7169" width="9.33203125" style="102"/>
    <col min="7170" max="7170" width="6.77734375" style="102" customWidth="1"/>
    <col min="7171" max="7171" width="60.21875" style="102" customWidth="1"/>
    <col min="7172" max="7172" width="8.21875" style="102" customWidth="1"/>
    <col min="7173" max="7175" width="14.44140625" style="102" customWidth="1"/>
    <col min="7176" max="7425" width="9.33203125" style="102"/>
    <col min="7426" max="7426" width="6.77734375" style="102" customWidth="1"/>
    <col min="7427" max="7427" width="60.21875" style="102" customWidth="1"/>
    <col min="7428" max="7428" width="8.21875" style="102" customWidth="1"/>
    <col min="7429" max="7431" width="14.44140625" style="102" customWidth="1"/>
    <col min="7432" max="7681" width="9.33203125" style="102"/>
    <col min="7682" max="7682" width="6.77734375" style="102" customWidth="1"/>
    <col min="7683" max="7683" width="60.21875" style="102" customWidth="1"/>
    <col min="7684" max="7684" width="8.21875" style="102" customWidth="1"/>
    <col min="7685" max="7687" width="14.44140625" style="102" customWidth="1"/>
    <col min="7688" max="7937" width="9.33203125" style="102"/>
    <col min="7938" max="7938" width="6.77734375" style="102" customWidth="1"/>
    <col min="7939" max="7939" width="60.21875" style="102" customWidth="1"/>
    <col min="7940" max="7940" width="8.21875" style="102" customWidth="1"/>
    <col min="7941" max="7943" width="14.44140625" style="102" customWidth="1"/>
    <col min="7944" max="8193" width="9.33203125" style="102"/>
    <col min="8194" max="8194" width="6.77734375" style="102" customWidth="1"/>
    <col min="8195" max="8195" width="60.21875" style="102" customWidth="1"/>
    <col min="8196" max="8196" width="8.21875" style="102" customWidth="1"/>
    <col min="8197" max="8199" width="14.44140625" style="102" customWidth="1"/>
    <col min="8200" max="8449" width="9.33203125" style="102"/>
    <col min="8450" max="8450" width="6.77734375" style="102" customWidth="1"/>
    <col min="8451" max="8451" width="60.21875" style="102" customWidth="1"/>
    <col min="8452" max="8452" width="8.21875" style="102" customWidth="1"/>
    <col min="8453" max="8455" width="14.44140625" style="102" customWidth="1"/>
    <col min="8456" max="8705" width="9.33203125" style="102"/>
    <col min="8706" max="8706" width="6.77734375" style="102" customWidth="1"/>
    <col min="8707" max="8707" width="60.21875" style="102" customWidth="1"/>
    <col min="8708" max="8708" width="8.21875" style="102" customWidth="1"/>
    <col min="8709" max="8711" width="14.44140625" style="102" customWidth="1"/>
    <col min="8712" max="8961" width="9.33203125" style="102"/>
    <col min="8962" max="8962" width="6.77734375" style="102" customWidth="1"/>
    <col min="8963" max="8963" width="60.21875" style="102" customWidth="1"/>
    <col min="8964" max="8964" width="8.21875" style="102" customWidth="1"/>
    <col min="8965" max="8967" width="14.44140625" style="102" customWidth="1"/>
    <col min="8968" max="9217" width="9.33203125" style="102"/>
    <col min="9218" max="9218" width="6.77734375" style="102" customWidth="1"/>
    <col min="9219" max="9219" width="60.21875" style="102" customWidth="1"/>
    <col min="9220" max="9220" width="8.21875" style="102" customWidth="1"/>
    <col min="9221" max="9223" width="14.44140625" style="102" customWidth="1"/>
    <col min="9224" max="9473" width="9.33203125" style="102"/>
    <col min="9474" max="9474" width="6.77734375" style="102" customWidth="1"/>
    <col min="9475" max="9475" width="60.21875" style="102" customWidth="1"/>
    <col min="9476" max="9476" width="8.21875" style="102" customWidth="1"/>
    <col min="9477" max="9479" width="14.44140625" style="102" customWidth="1"/>
    <col min="9480" max="9729" width="9.33203125" style="102"/>
    <col min="9730" max="9730" width="6.77734375" style="102" customWidth="1"/>
    <col min="9731" max="9731" width="60.21875" style="102" customWidth="1"/>
    <col min="9732" max="9732" width="8.21875" style="102" customWidth="1"/>
    <col min="9733" max="9735" width="14.44140625" style="102" customWidth="1"/>
    <col min="9736" max="9985" width="9.33203125" style="102"/>
    <col min="9986" max="9986" width="6.77734375" style="102" customWidth="1"/>
    <col min="9987" max="9987" width="60.21875" style="102" customWidth="1"/>
    <col min="9988" max="9988" width="8.21875" style="102" customWidth="1"/>
    <col min="9989" max="9991" width="14.44140625" style="102" customWidth="1"/>
    <col min="9992" max="10241" width="9.33203125" style="102"/>
    <col min="10242" max="10242" width="6.77734375" style="102" customWidth="1"/>
    <col min="10243" max="10243" width="60.21875" style="102" customWidth="1"/>
    <col min="10244" max="10244" width="8.21875" style="102" customWidth="1"/>
    <col min="10245" max="10247" width="14.44140625" style="102" customWidth="1"/>
    <col min="10248" max="10497" width="9.33203125" style="102"/>
    <col min="10498" max="10498" width="6.77734375" style="102" customWidth="1"/>
    <col min="10499" max="10499" width="60.21875" style="102" customWidth="1"/>
    <col min="10500" max="10500" width="8.21875" style="102" customWidth="1"/>
    <col min="10501" max="10503" width="14.44140625" style="102" customWidth="1"/>
    <col min="10504" max="10753" width="9.33203125" style="102"/>
    <col min="10754" max="10754" width="6.77734375" style="102" customWidth="1"/>
    <col min="10755" max="10755" width="60.21875" style="102" customWidth="1"/>
    <col min="10756" max="10756" width="8.21875" style="102" customWidth="1"/>
    <col min="10757" max="10759" width="14.44140625" style="102" customWidth="1"/>
    <col min="10760" max="11009" width="9.33203125" style="102"/>
    <col min="11010" max="11010" width="6.77734375" style="102" customWidth="1"/>
    <col min="11011" max="11011" width="60.21875" style="102" customWidth="1"/>
    <col min="11012" max="11012" width="8.21875" style="102" customWidth="1"/>
    <col min="11013" max="11015" width="14.44140625" style="102" customWidth="1"/>
    <col min="11016" max="11265" width="9.33203125" style="102"/>
    <col min="11266" max="11266" width="6.77734375" style="102" customWidth="1"/>
    <col min="11267" max="11267" width="60.21875" style="102" customWidth="1"/>
    <col min="11268" max="11268" width="8.21875" style="102" customWidth="1"/>
    <col min="11269" max="11271" width="14.44140625" style="102" customWidth="1"/>
    <col min="11272" max="11521" width="9.33203125" style="102"/>
    <col min="11522" max="11522" width="6.77734375" style="102" customWidth="1"/>
    <col min="11523" max="11523" width="60.21875" style="102" customWidth="1"/>
    <col min="11524" max="11524" width="8.21875" style="102" customWidth="1"/>
    <col min="11525" max="11527" width="14.44140625" style="102" customWidth="1"/>
    <col min="11528" max="11777" width="9.33203125" style="102"/>
    <col min="11778" max="11778" width="6.77734375" style="102" customWidth="1"/>
    <col min="11779" max="11779" width="60.21875" style="102" customWidth="1"/>
    <col min="11780" max="11780" width="8.21875" style="102" customWidth="1"/>
    <col min="11781" max="11783" width="14.44140625" style="102" customWidth="1"/>
    <col min="11784" max="12033" width="9.33203125" style="102"/>
    <col min="12034" max="12034" width="6.77734375" style="102" customWidth="1"/>
    <col min="12035" max="12035" width="60.21875" style="102" customWidth="1"/>
    <col min="12036" max="12036" width="8.21875" style="102" customWidth="1"/>
    <col min="12037" max="12039" width="14.44140625" style="102" customWidth="1"/>
    <col min="12040" max="12289" width="9.33203125" style="102"/>
    <col min="12290" max="12290" width="6.77734375" style="102" customWidth="1"/>
    <col min="12291" max="12291" width="60.21875" style="102" customWidth="1"/>
    <col min="12292" max="12292" width="8.21875" style="102" customWidth="1"/>
    <col min="12293" max="12295" width="14.44140625" style="102" customWidth="1"/>
    <col min="12296" max="12545" width="9.33203125" style="102"/>
    <col min="12546" max="12546" width="6.77734375" style="102" customWidth="1"/>
    <col min="12547" max="12547" width="60.21875" style="102" customWidth="1"/>
    <col min="12548" max="12548" width="8.21875" style="102" customWidth="1"/>
    <col min="12549" max="12551" width="14.44140625" style="102" customWidth="1"/>
    <col min="12552" max="12801" width="9.33203125" style="102"/>
    <col min="12802" max="12802" width="6.77734375" style="102" customWidth="1"/>
    <col min="12803" max="12803" width="60.21875" style="102" customWidth="1"/>
    <col min="12804" max="12804" width="8.21875" style="102" customWidth="1"/>
    <col min="12805" max="12807" width="14.44140625" style="102" customWidth="1"/>
    <col min="12808" max="13057" width="9.33203125" style="102"/>
    <col min="13058" max="13058" width="6.77734375" style="102" customWidth="1"/>
    <col min="13059" max="13059" width="60.21875" style="102" customWidth="1"/>
    <col min="13060" max="13060" width="8.21875" style="102" customWidth="1"/>
    <col min="13061" max="13063" width="14.44140625" style="102" customWidth="1"/>
    <col min="13064" max="13313" width="9.33203125" style="102"/>
    <col min="13314" max="13314" width="6.77734375" style="102" customWidth="1"/>
    <col min="13315" max="13315" width="60.21875" style="102" customWidth="1"/>
    <col min="13316" max="13316" width="8.21875" style="102" customWidth="1"/>
    <col min="13317" max="13319" width="14.44140625" style="102" customWidth="1"/>
    <col min="13320" max="13569" width="9.33203125" style="102"/>
    <col min="13570" max="13570" width="6.77734375" style="102" customWidth="1"/>
    <col min="13571" max="13571" width="60.21875" style="102" customWidth="1"/>
    <col min="13572" max="13572" width="8.21875" style="102" customWidth="1"/>
    <col min="13573" max="13575" width="14.44140625" style="102" customWidth="1"/>
    <col min="13576" max="13825" width="9.33203125" style="102"/>
    <col min="13826" max="13826" width="6.77734375" style="102" customWidth="1"/>
    <col min="13827" max="13827" width="60.21875" style="102" customWidth="1"/>
    <col min="13828" max="13828" width="8.21875" style="102" customWidth="1"/>
    <col min="13829" max="13831" width="14.44140625" style="102" customWidth="1"/>
    <col min="13832" max="14081" width="9.33203125" style="102"/>
    <col min="14082" max="14082" width="6.77734375" style="102" customWidth="1"/>
    <col min="14083" max="14083" width="60.21875" style="102" customWidth="1"/>
    <col min="14084" max="14084" width="8.21875" style="102" customWidth="1"/>
    <col min="14085" max="14087" width="14.44140625" style="102" customWidth="1"/>
    <col min="14088" max="14337" width="9.33203125" style="102"/>
    <col min="14338" max="14338" width="6.77734375" style="102" customWidth="1"/>
    <col min="14339" max="14339" width="60.21875" style="102" customWidth="1"/>
    <col min="14340" max="14340" width="8.21875" style="102" customWidth="1"/>
    <col min="14341" max="14343" width="14.44140625" style="102" customWidth="1"/>
    <col min="14344" max="14593" width="9.33203125" style="102"/>
    <col min="14594" max="14594" width="6.77734375" style="102" customWidth="1"/>
    <col min="14595" max="14595" width="60.21875" style="102" customWidth="1"/>
    <col min="14596" max="14596" width="8.21875" style="102" customWidth="1"/>
    <col min="14597" max="14599" width="14.44140625" style="102" customWidth="1"/>
    <col min="14600" max="14849" width="9.33203125" style="102"/>
    <col min="14850" max="14850" width="6.77734375" style="102" customWidth="1"/>
    <col min="14851" max="14851" width="60.21875" style="102" customWidth="1"/>
    <col min="14852" max="14852" width="8.21875" style="102" customWidth="1"/>
    <col min="14853" max="14855" width="14.44140625" style="102" customWidth="1"/>
    <col min="14856" max="15105" width="9.33203125" style="102"/>
    <col min="15106" max="15106" width="6.77734375" style="102" customWidth="1"/>
    <col min="15107" max="15107" width="60.21875" style="102" customWidth="1"/>
    <col min="15108" max="15108" width="8.21875" style="102" customWidth="1"/>
    <col min="15109" max="15111" width="14.44140625" style="102" customWidth="1"/>
    <col min="15112" max="15361" width="9.33203125" style="102"/>
    <col min="15362" max="15362" width="6.77734375" style="102" customWidth="1"/>
    <col min="15363" max="15363" width="60.21875" style="102" customWidth="1"/>
    <col min="15364" max="15364" width="8.21875" style="102" customWidth="1"/>
    <col min="15365" max="15367" width="14.44140625" style="102" customWidth="1"/>
    <col min="15368" max="15617" width="9.33203125" style="102"/>
    <col min="15618" max="15618" width="6.77734375" style="102" customWidth="1"/>
    <col min="15619" max="15619" width="60.21875" style="102" customWidth="1"/>
    <col min="15620" max="15620" width="8.21875" style="102" customWidth="1"/>
    <col min="15621" max="15623" width="14.44140625" style="102" customWidth="1"/>
    <col min="15624" max="15873" width="9.33203125" style="102"/>
    <col min="15874" max="15874" width="6.77734375" style="102" customWidth="1"/>
    <col min="15875" max="15875" width="60.21875" style="102" customWidth="1"/>
    <col min="15876" max="15876" width="8.21875" style="102" customWidth="1"/>
    <col min="15877" max="15879" width="14.44140625" style="102" customWidth="1"/>
    <col min="15880" max="16129" width="9.33203125" style="102"/>
    <col min="16130" max="16130" width="6.77734375" style="102" customWidth="1"/>
    <col min="16131" max="16131" width="60.21875" style="102" customWidth="1"/>
    <col min="16132" max="16132" width="8.21875" style="102" customWidth="1"/>
    <col min="16133" max="16135" width="14.44140625" style="102" customWidth="1"/>
    <col min="16136" max="16384" width="9.33203125" style="102"/>
  </cols>
  <sheetData>
    <row r="1" spans="1:11" s="96" customFormat="1" ht="40.5" customHeight="1">
      <c r="A1" s="919" t="s">
        <v>650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</row>
    <row r="2" spans="1:11" s="99" customFormat="1" ht="16.05" customHeight="1">
      <c r="A2" s="97"/>
      <c r="B2" s="97"/>
      <c r="C2" s="98"/>
      <c r="D2" s="98"/>
      <c r="E2" s="98"/>
      <c r="G2" s="306"/>
      <c r="H2" s="787"/>
      <c r="I2" s="98" t="s">
        <v>861</v>
      </c>
      <c r="J2" s="306"/>
      <c r="K2" s="705" t="s">
        <v>1</v>
      </c>
    </row>
    <row r="3" spans="1:11" ht="38.25" customHeight="1">
      <c r="A3" s="100" t="s">
        <v>407</v>
      </c>
      <c r="B3" s="100" t="s">
        <v>475</v>
      </c>
      <c r="C3" s="370" t="s">
        <v>476</v>
      </c>
      <c r="D3" s="370" t="s">
        <v>477</v>
      </c>
      <c r="E3" s="370" t="s">
        <v>478</v>
      </c>
      <c r="F3" s="370" t="s">
        <v>268</v>
      </c>
      <c r="G3" s="305" t="s">
        <v>1002</v>
      </c>
      <c r="H3" s="788" t="s">
        <v>1003</v>
      </c>
      <c r="I3" s="305" t="s">
        <v>857</v>
      </c>
      <c r="J3" s="305" t="s">
        <v>1004</v>
      </c>
      <c r="K3" s="700" t="s">
        <v>1005</v>
      </c>
    </row>
    <row r="4" spans="1:11" s="666" customFormat="1" ht="13.05" customHeight="1">
      <c r="A4" s="103" t="s">
        <v>6</v>
      </c>
      <c r="B4" s="103" t="s">
        <v>7</v>
      </c>
      <c r="C4" s="103" t="s">
        <v>8</v>
      </c>
      <c r="D4" s="103" t="s">
        <v>9</v>
      </c>
      <c r="E4" s="103" t="s">
        <v>269</v>
      </c>
      <c r="F4" s="103" t="s">
        <v>479</v>
      </c>
      <c r="G4" s="672" t="s">
        <v>855</v>
      </c>
      <c r="H4" s="789" t="s">
        <v>859</v>
      </c>
      <c r="I4" s="672" t="s">
        <v>860</v>
      </c>
      <c r="J4" s="704" t="s">
        <v>1008</v>
      </c>
      <c r="K4" s="709" t="s">
        <v>1009</v>
      </c>
    </row>
    <row r="5" spans="1:11" s="104" customFormat="1" ht="16.05" customHeight="1">
      <c r="A5" s="915" t="s">
        <v>265</v>
      </c>
      <c r="B5" s="916"/>
      <c r="C5" s="916"/>
      <c r="D5" s="916"/>
      <c r="E5" s="916"/>
      <c r="F5" s="916"/>
      <c r="G5" s="916"/>
      <c r="H5" s="916"/>
      <c r="I5" s="916"/>
      <c r="J5" s="916"/>
      <c r="K5" s="917"/>
    </row>
    <row r="6" spans="1:11" s="104" customFormat="1" ht="25.5" customHeight="1">
      <c r="A6" s="254" t="s">
        <v>10</v>
      </c>
      <c r="B6" s="512" t="s">
        <v>480</v>
      </c>
      <c r="C6" s="254" t="s">
        <v>481</v>
      </c>
      <c r="D6" s="492"/>
      <c r="E6" s="492"/>
      <c r="F6" s="492">
        <f>SUM(D6:E6)</f>
        <v>0</v>
      </c>
      <c r="G6" s="308"/>
      <c r="H6" s="789"/>
      <c r="I6" s="308"/>
      <c r="J6" s="704"/>
      <c r="K6" s="710"/>
    </row>
    <row r="7" spans="1:11" s="104" customFormat="1" ht="30" customHeight="1">
      <c r="A7" s="254" t="s">
        <v>13</v>
      </c>
      <c r="B7" s="512" t="s">
        <v>482</v>
      </c>
      <c r="C7" s="254" t="s">
        <v>483</v>
      </c>
      <c r="D7" s="492"/>
      <c r="E7" s="492"/>
      <c r="F7" s="492">
        <f>SUM(D7:E7)</f>
        <v>0</v>
      </c>
      <c r="G7" s="308"/>
      <c r="H7" s="789"/>
      <c r="I7" s="308"/>
      <c r="J7" s="704"/>
      <c r="K7" s="710"/>
    </row>
    <row r="8" spans="1:11" s="104" customFormat="1" ht="25.5" customHeight="1">
      <c r="A8" s="254" t="s">
        <v>16</v>
      </c>
      <c r="B8" s="512" t="s">
        <v>484</v>
      </c>
      <c r="C8" s="487" t="s">
        <v>485</v>
      </c>
      <c r="D8" s="492">
        <v>640402</v>
      </c>
      <c r="E8" s="492"/>
      <c r="F8" s="492">
        <f>SUM(D8:E8)</f>
        <v>640402</v>
      </c>
      <c r="G8" s="308">
        <v>6740711</v>
      </c>
      <c r="H8" s="789">
        <f>I8-F8-G8</f>
        <v>0</v>
      </c>
      <c r="I8" s="308">
        <v>7381113</v>
      </c>
      <c r="J8" s="704">
        <v>2555032</v>
      </c>
      <c r="K8" s="710">
        <f>J8/I8</f>
        <v>0.34615809295969319</v>
      </c>
    </row>
    <row r="9" spans="1:11" s="104" customFormat="1" ht="25.5" customHeight="1">
      <c r="A9" s="254" t="s">
        <v>19</v>
      </c>
      <c r="B9" s="512" t="s">
        <v>486</v>
      </c>
      <c r="C9" s="487" t="s">
        <v>487</v>
      </c>
      <c r="D9" s="492"/>
      <c r="E9" s="492"/>
      <c r="F9" s="492">
        <f>SUM(D9:E9)</f>
        <v>0</v>
      </c>
      <c r="G9" s="308"/>
      <c r="H9" s="789">
        <f t="shared" ref="H9:H42" si="0">I9-F9-G9</f>
        <v>0</v>
      </c>
      <c r="I9" s="308"/>
      <c r="J9" s="704"/>
      <c r="K9" s="710" t="s">
        <v>861</v>
      </c>
    </row>
    <row r="10" spans="1:11" s="104" customFormat="1" ht="27.75" customHeight="1">
      <c r="A10" s="108" t="s">
        <v>22</v>
      </c>
      <c r="B10" s="513" t="s">
        <v>488</v>
      </c>
      <c r="C10" s="108" t="s">
        <v>36</v>
      </c>
      <c r="D10" s="492">
        <f>SUM(D6:D9)</f>
        <v>640402</v>
      </c>
      <c r="E10" s="492">
        <f>SUM(E6:E9)</f>
        <v>0</v>
      </c>
      <c r="F10" s="492">
        <f t="shared" ref="F10:F14" si="1">SUM(D10:E10)</f>
        <v>640402</v>
      </c>
      <c r="G10" s="492">
        <f>SUM(G8:G9)</f>
        <v>6740711</v>
      </c>
      <c r="H10" s="789">
        <f t="shared" si="0"/>
        <v>0</v>
      </c>
      <c r="I10" s="492">
        <f>SUM(I8:I9)</f>
        <v>7381113</v>
      </c>
      <c r="J10" s="492">
        <f t="shared" ref="J10" si="2">SUM(J8:J9)</f>
        <v>2555032</v>
      </c>
      <c r="K10" s="710">
        <f t="shared" ref="K10:K42" si="3">J10/I10</f>
        <v>0.34615809295969319</v>
      </c>
    </row>
    <row r="11" spans="1:11" s="104" customFormat="1" ht="24.75" customHeight="1">
      <c r="A11" s="254" t="s">
        <v>25</v>
      </c>
      <c r="B11" s="512" t="s">
        <v>489</v>
      </c>
      <c r="C11" s="254" t="s">
        <v>490</v>
      </c>
      <c r="D11" s="492"/>
      <c r="E11" s="492"/>
      <c r="F11" s="492">
        <f t="shared" si="1"/>
        <v>0</v>
      </c>
      <c r="G11" s="308"/>
      <c r="H11" s="789">
        <f t="shared" si="0"/>
        <v>0</v>
      </c>
      <c r="I11" s="308"/>
      <c r="J11" s="704"/>
      <c r="K11" s="710"/>
    </row>
    <row r="12" spans="1:11" s="104" customFormat="1" ht="30" customHeight="1">
      <c r="A12" s="254" t="s">
        <v>28</v>
      </c>
      <c r="B12" s="512" t="s">
        <v>491</v>
      </c>
      <c r="C12" s="254" t="s">
        <v>492</v>
      </c>
      <c r="D12" s="492"/>
      <c r="E12" s="492"/>
      <c r="F12" s="492">
        <f t="shared" si="1"/>
        <v>0</v>
      </c>
      <c r="G12" s="308"/>
      <c r="H12" s="789">
        <f t="shared" si="0"/>
        <v>0</v>
      </c>
      <c r="I12" s="308"/>
      <c r="J12" s="704"/>
      <c r="K12" s="710"/>
    </row>
    <row r="13" spans="1:11" s="104" customFormat="1" ht="30" customHeight="1">
      <c r="A13" s="254" t="s">
        <v>31</v>
      </c>
      <c r="B13" s="512" t="s">
        <v>493</v>
      </c>
      <c r="C13" s="254" t="s">
        <v>494</v>
      </c>
      <c r="D13" s="492"/>
      <c r="E13" s="492"/>
      <c r="F13" s="492">
        <f t="shared" si="1"/>
        <v>0</v>
      </c>
      <c r="G13" s="308"/>
      <c r="H13" s="789">
        <f t="shared" si="0"/>
        <v>0</v>
      </c>
      <c r="I13" s="308"/>
      <c r="J13" s="704"/>
      <c r="K13" s="710"/>
    </row>
    <row r="14" spans="1:11" s="104" customFormat="1" ht="30" customHeight="1">
      <c r="A14" s="254" t="s">
        <v>34</v>
      </c>
      <c r="B14" s="512" t="s">
        <v>495</v>
      </c>
      <c r="C14" s="254" t="s">
        <v>496</v>
      </c>
      <c r="D14" s="492"/>
      <c r="E14" s="492"/>
      <c r="F14" s="492">
        <f t="shared" si="1"/>
        <v>0</v>
      </c>
      <c r="G14" s="308"/>
      <c r="H14" s="789">
        <f t="shared" si="0"/>
        <v>0</v>
      </c>
      <c r="I14" s="308"/>
      <c r="J14" s="704"/>
      <c r="K14" s="710"/>
    </row>
    <row r="15" spans="1:11" s="104" customFormat="1" ht="21.75" customHeight="1">
      <c r="A15" s="108" t="s">
        <v>37</v>
      </c>
      <c r="B15" s="514" t="s">
        <v>456</v>
      </c>
      <c r="C15" s="251" t="s">
        <v>59</v>
      </c>
      <c r="D15" s="249">
        <f>SUM(D11:D14)</f>
        <v>0</v>
      </c>
      <c r="E15" s="249">
        <f>SUM(E11:E14)</f>
        <v>0</v>
      </c>
      <c r="F15" s="249">
        <f>SUM(F11:F14)</f>
        <v>0</v>
      </c>
      <c r="G15" s="249">
        <f t="shared" ref="G15:I15" si="4">SUM(G11:G14)</f>
        <v>0</v>
      </c>
      <c r="H15" s="789">
        <f t="shared" si="0"/>
        <v>0</v>
      </c>
      <c r="I15" s="249">
        <f t="shared" si="4"/>
        <v>0</v>
      </c>
      <c r="J15" s="704"/>
      <c r="K15" s="710"/>
    </row>
    <row r="16" spans="1:11" s="105" customFormat="1" ht="16.5" customHeight="1">
      <c r="A16" s="254" t="s">
        <v>39</v>
      </c>
      <c r="B16" s="515" t="s">
        <v>111</v>
      </c>
      <c r="C16" s="494" t="s">
        <v>112</v>
      </c>
      <c r="D16" s="495"/>
      <c r="E16" s="495"/>
      <c r="F16" s="495">
        <f>SUM(D16:E16)</f>
        <v>0</v>
      </c>
      <c r="G16" s="309"/>
      <c r="H16" s="789">
        <f t="shared" si="0"/>
        <v>0</v>
      </c>
      <c r="I16" s="309"/>
      <c r="J16" s="307"/>
      <c r="K16" s="710"/>
    </row>
    <row r="17" spans="1:11" s="105" customFormat="1" ht="16.5" customHeight="1">
      <c r="A17" s="254" t="s">
        <v>41</v>
      </c>
      <c r="B17" s="515" t="s">
        <v>114</v>
      </c>
      <c r="C17" s="494" t="s">
        <v>115</v>
      </c>
      <c r="D17" s="495">
        <v>700000</v>
      </c>
      <c r="E17" s="495"/>
      <c r="F17" s="495">
        <f>SUM(D17:E17)</f>
        <v>700000</v>
      </c>
      <c r="G17" s="309"/>
      <c r="H17" s="789">
        <f t="shared" si="0"/>
        <v>264000</v>
      </c>
      <c r="I17" s="309">
        <v>964000</v>
      </c>
      <c r="J17" s="307">
        <v>885825</v>
      </c>
      <c r="K17" s="710">
        <f t="shared" si="3"/>
        <v>0.91890560165975099</v>
      </c>
    </row>
    <row r="18" spans="1:11" s="105" customFormat="1" ht="16.5" customHeight="1">
      <c r="A18" s="254" t="s">
        <v>43</v>
      </c>
      <c r="B18" s="515" t="s">
        <v>497</v>
      </c>
      <c r="C18" s="494" t="s">
        <v>118</v>
      </c>
      <c r="D18" s="495">
        <f>SUM(D19:D20)</f>
        <v>0</v>
      </c>
      <c r="E18" s="495">
        <f>SUM(E19:E20)</f>
        <v>0</v>
      </c>
      <c r="F18" s="495">
        <f>SUM(F19:F20)</f>
        <v>0</v>
      </c>
      <c r="G18" s="309"/>
      <c r="H18" s="789">
        <f t="shared" si="0"/>
        <v>0</v>
      </c>
      <c r="I18" s="309"/>
      <c r="J18" s="307"/>
      <c r="K18" s="710"/>
    </row>
    <row r="19" spans="1:11" s="105" customFormat="1" ht="16.5" customHeight="1">
      <c r="A19" s="254" t="s">
        <v>45</v>
      </c>
      <c r="B19" s="516" t="s">
        <v>498</v>
      </c>
      <c r="C19" s="497" t="s">
        <v>499</v>
      </c>
      <c r="D19" s="498"/>
      <c r="E19" s="498"/>
      <c r="F19" s="498">
        <f>SUM(D19:E19)</f>
        <v>0</v>
      </c>
      <c r="G19" s="309"/>
      <c r="H19" s="789">
        <f t="shared" si="0"/>
        <v>0</v>
      </c>
      <c r="I19" s="309"/>
      <c r="J19" s="307"/>
      <c r="K19" s="710"/>
    </row>
    <row r="20" spans="1:11" s="106" customFormat="1" ht="16.5" customHeight="1">
      <c r="A20" s="254" t="s">
        <v>47</v>
      </c>
      <c r="B20" s="516" t="s">
        <v>500</v>
      </c>
      <c r="C20" s="497" t="s">
        <v>501</v>
      </c>
      <c r="D20" s="498"/>
      <c r="E20" s="498"/>
      <c r="F20" s="498">
        <f>SUM(D20:E20)</f>
        <v>0</v>
      </c>
      <c r="G20" s="310"/>
      <c r="H20" s="789">
        <f t="shared" si="0"/>
        <v>0</v>
      </c>
      <c r="I20" s="310"/>
      <c r="J20" s="312"/>
      <c r="K20" s="710"/>
    </row>
    <row r="21" spans="1:11" s="106" customFormat="1" ht="16.5" customHeight="1">
      <c r="A21" s="254" t="s">
        <v>49</v>
      </c>
      <c r="B21" s="517" t="s">
        <v>120</v>
      </c>
      <c r="C21" s="494" t="s">
        <v>121</v>
      </c>
      <c r="D21" s="498"/>
      <c r="E21" s="498"/>
      <c r="F21" s="498">
        <f>SUM(D21:E21)</f>
        <v>0</v>
      </c>
      <c r="G21" s="310"/>
      <c r="H21" s="789">
        <f t="shared" si="0"/>
        <v>0</v>
      </c>
      <c r="I21" s="310"/>
      <c r="J21" s="312"/>
      <c r="K21" s="710"/>
    </row>
    <row r="22" spans="1:11" s="105" customFormat="1" ht="16.5" customHeight="1">
      <c r="A22" s="254" t="s">
        <v>51</v>
      </c>
      <c r="B22" s="515" t="s">
        <v>123</v>
      </c>
      <c r="C22" s="494" t="s">
        <v>124</v>
      </c>
      <c r="D22" s="495"/>
      <c r="E22" s="495"/>
      <c r="F22" s="498">
        <f t="shared" ref="F22:F28" si="5">SUM(D22:E22)</f>
        <v>0</v>
      </c>
      <c r="G22" s="309"/>
      <c r="H22" s="789">
        <f t="shared" si="0"/>
        <v>0</v>
      </c>
      <c r="I22" s="309"/>
      <c r="J22" s="307"/>
      <c r="K22" s="710"/>
    </row>
    <row r="23" spans="1:11" s="105" customFormat="1" ht="16.5" customHeight="1">
      <c r="A23" s="254" t="s">
        <v>54</v>
      </c>
      <c r="B23" s="515" t="s">
        <v>502</v>
      </c>
      <c r="C23" s="494" t="s">
        <v>127</v>
      </c>
      <c r="D23" s="495"/>
      <c r="E23" s="495"/>
      <c r="F23" s="498">
        <f t="shared" si="5"/>
        <v>0</v>
      </c>
      <c r="G23" s="309"/>
      <c r="H23" s="789">
        <f t="shared" si="0"/>
        <v>0</v>
      </c>
      <c r="I23" s="309"/>
      <c r="J23" s="307"/>
      <c r="K23" s="710"/>
    </row>
    <row r="24" spans="1:11" s="106" customFormat="1" ht="16.5" customHeight="1">
      <c r="A24" s="254" t="s">
        <v>57</v>
      </c>
      <c r="B24" s="515" t="s">
        <v>503</v>
      </c>
      <c r="C24" s="494" t="s">
        <v>130</v>
      </c>
      <c r="D24" s="495"/>
      <c r="E24" s="495"/>
      <c r="F24" s="498">
        <f t="shared" si="5"/>
        <v>0</v>
      </c>
      <c r="G24" s="310"/>
      <c r="H24" s="789">
        <f t="shared" si="0"/>
        <v>0</v>
      </c>
      <c r="I24" s="310"/>
      <c r="J24" s="312"/>
      <c r="K24" s="710"/>
    </row>
    <row r="25" spans="1:11" s="106" customFormat="1" ht="16.5" customHeight="1">
      <c r="A25" s="254" t="s">
        <v>60</v>
      </c>
      <c r="B25" s="518" t="s">
        <v>132</v>
      </c>
      <c r="C25" s="494" t="s">
        <v>133</v>
      </c>
      <c r="D25" s="495"/>
      <c r="E25" s="495"/>
      <c r="F25" s="498">
        <f t="shared" si="5"/>
        <v>0</v>
      </c>
      <c r="G25" s="310">
        <v>1166</v>
      </c>
      <c r="H25" s="789">
        <v>317</v>
      </c>
      <c r="I25" s="310">
        <v>1483</v>
      </c>
      <c r="J25" s="312">
        <v>1483</v>
      </c>
      <c r="K25" s="710">
        <f t="shared" si="3"/>
        <v>1</v>
      </c>
    </row>
    <row r="26" spans="1:11" s="106" customFormat="1" ht="16.5" customHeight="1">
      <c r="A26" s="254" t="s">
        <v>62</v>
      </c>
      <c r="B26" s="515" t="s">
        <v>504</v>
      </c>
      <c r="C26" s="494" t="s">
        <v>136</v>
      </c>
      <c r="D26" s="495"/>
      <c r="E26" s="495"/>
      <c r="F26" s="498">
        <f t="shared" si="5"/>
        <v>0</v>
      </c>
      <c r="G26" s="310"/>
      <c r="H26" s="789">
        <f t="shared" si="0"/>
        <v>0</v>
      </c>
      <c r="I26" s="310"/>
      <c r="J26" s="312"/>
      <c r="K26" s="710"/>
    </row>
    <row r="27" spans="1:11" s="106" customFormat="1" ht="16.5" customHeight="1">
      <c r="A27" s="254" t="s">
        <v>64</v>
      </c>
      <c r="B27" s="515" t="s">
        <v>505</v>
      </c>
      <c r="C27" s="494" t="s">
        <v>139</v>
      </c>
      <c r="D27" s="495"/>
      <c r="E27" s="495"/>
      <c r="F27" s="498">
        <f t="shared" si="5"/>
        <v>0</v>
      </c>
      <c r="G27" s="310"/>
      <c r="H27" s="789">
        <f t="shared" si="0"/>
        <v>0</v>
      </c>
      <c r="I27" s="310"/>
      <c r="J27" s="312"/>
      <c r="K27" s="710"/>
    </row>
    <row r="28" spans="1:11" s="106" customFormat="1" ht="16.5" customHeight="1">
      <c r="A28" s="254" t="s">
        <v>66</v>
      </c>
      <c r="B28" s="515" t="s">
        <v>141</v>
      </c>
      <c r="C28" s="494" t="s">
        <v>142</v>
      </c>
      <c r="D28" s="376"/>
      <c r="E28" s="376"/>
      <c r="F28" s="498">
        <f t="shared" si="5"/>
        <v>0</v>
      </c>
      <c r="G28" s="310"/>
      <c r="H28" s="789">
        <f t="shared" si="0"/>
        <v>0</v>
      </c>
      <c r="I28" s="310"/>
      <c r="J28" s="312"/>
      <c r="K28" s="710"/>
    </row>
    <row r="29" spans="1:11" s="106" customFormat="1" ht="21.75" customHeight="1">
      <c r="A29" s="108" t="s">
        <v>68</v>
      </c>
      <c r="B29" s="258" t="s">
        <v>506</v>
      </c>
      <c r="C29" s="252" t="s">
        <v>145</v>
      </c>
      <c r="D29" s="111">
        <f>SUM(D16+D17+D18+D21+D22+D23+D24+D25+D26+D27+D28)</f>
        <v>700000</v>
      </c>
      <c r="E29" s="111">
        <f>SUM(E16+E17+E18+E21+E22+E23+E24+E25+E26+E27+E28)</f>
        <v>0</v>
      </c>
      <c r="F29" s="111">
        <f>SUM(F16+F17+F18+F21+F22+F23+F24+F25+F26+F27+F28)</f>
        <v>700000</v>
      </c>
      <c r="G29" s="111">
        <f t="shared" ref="G29:J29" si="6">SUM(G16+G17+G18+G21+G22+G23+G24+G25+G26+G27+G28)</f>
        <v>1166</v>
      </c>
      <c r="H29" s="698">
        <f t="shared" si="0"/>
        <v>264317</v>
      </c>
      <c r="I29" s="111">
        <f t="shared" si="6"/>
        <v>965483</v>
      </c>
      <c r="J29" s="111">
        <f t="shared" si="6"/>
        <v>887308</v>
      </c>
      <c r="K29" s="710">
        <f t="shared" si="3"/>
        <v>0.91903016417689387</v>
      </c>
    </row>
    <row r="30" spans="1:11" s="107" customFormat="1" ht="21.75" customHeight="1">
      <c r="A30" s="108" t="s">
        <v>70</v>
      </c>
      <c r="B30" s="258" t="s">
        <v>458</v>
      </c>
      <c r="C30" s="252" t="s">
        <v>163</v>
      </c>
      <c r="D30" s="111"/>
      <c r="E30" s="111"/>
      <c r="F30" s="111">
        <f>SUM(D30:E30)</f>
        <v>0</v>
      </c>
      <c r="G30" s="310"/>
      <c r="H30" s="789">
        <f t="shared" si="0"/>
        <v>0</v>
      </c>
      <c r="I30" s="310"/>
      <c r="J30" s="312"/>
      <c r="K30" s="710"/>
    </row>
    <row r="31" spans="1:11" s="106" customFormat="1" ht="21.75" customHeight="1">
      <c r="A31" s="108" t="s">
        <v>72</v>
      </c>
      <c r="B31" s="258" t="s">
        <v>427</v>
      </c>
      <c r="C31" s="252" t="s">
        <v>172</v>
      </c>
      <c r="D31" s="253"/>
      <c r="E31" s="253"/>
      <c r="F31" s="253">
        <f>SUM(D31:E31)</f>
        <v>0</v>
      </c>
      <c r="G31" s="310">
        <v>45000</v>
      </c>
      <c r="H31" s="789">
        <f t="shared" si="0"/>
        <v>0</v>
      </c>
      <c r="I31" s="310">
        <v>45000</v>
      </c>
      <c r="J31" s="312">
        <v>45000</v>
      </c>
      <c r="K31" s="710">
        <f t="shared" si="3"/>
        <v>1</v>
      </c>
    </row>
    <row r="32" spans="1:11" s="106" customFormat="1" ht="21.75" customHeight="1">
      <c r="A32" s="108" t="s">
        <v>75</v>
      </c>
      <c r="B32" s="258" t="s">
        <v>459</v>
      </c>
      <c r="C32" s="252" t="s">
        <v>181</v>
      </c>
      <c r="D32" s="253"/>
      <c r="E32" s="253"/>
      <c r="F32" s="253">
        <f>SUM(D32:E32)</f>
        <v>0</v>
      </c>
      <c r="G32" s="310"/>
      <c r="H32" s="789">
        <f t="shared" si="0"/>
        <v>0</v>
      </c>
      <c r="I32" s="310"/>
      <c r="J32" s="312"/>
      <c r="K32" s="710"/>
    </row>
    <row r="33" spans="1:11" s="106" customFormat="1" ht="21.75" customHeight="1">
      <c r="A33" s="108" t="s">
        <v>78</v>
      </c>
      <c r="B33" s="258" t="s">
        <v>507</v>
      </c>
      <c r="C33" s="110"/>
      <c r="D33" s="111">
        <f>D10+D15+D29+D30+D31+D32</f>
        <v>1340402</v>
      </c>
      <c r="E33" s="111">
        <f>E10+E15+E29+E30+E31+E32</f>
        <v>0</v>
      </c>
      <c r="F33" s="111">
        <f>F10+F15+F29+F30+F31+F32</f>
        <v>1340402</v>
      </c>
      <c r="G33" s="111">
        <f t="shared" ref="G33:J33" si="7">G10+G15+G29+G30+G31+G32</f>
        <v>6786877</v>
      </c>
      <c r="H33" s="698">
        <f t="shared" si="0"/>
        <v>264317</v>
      </c>
      <c r="I33" s="111">
        <f t="shared" si="7"/>
        <v>8391596</v>
      </c>
      <c r="J33" s="111">
        <f t="shared" si="7"/>
        <v>3487340</v>
      </c>
      <c r="K33" s="710">
        <f t="shared" si="3"/>
        <v>0.41557529699952189</v>
      </c>
    </row>
    <row r="34" spans="1:11" s="105" customFormat="1" ht="21.75" customHeight="1">
      <c r="A34" s="254" t="s">
        <v>81</v>
      </c>
      <c r="B34" s="519" t="s">
        <v>508</v>
      </c>
      <c r="C34" s="488" t="s">
        <v>190</v>
      </c>
      <c r="D34" s="445">
        <f>SUM(D35:D36)</f>
        <v>0</v>
      </c>
      <c r="E34" s="445">
        <f>SUM(E35:E36)</f>
        <v>0</v>
      </c>
      <c r="F34" s="445">
        <f>SUM(F35:F36)</f>
        <v>0</v>
      </c>
      <c r="G34" s="309">
        <v>788326</v>
      </c>
      <c r="H34" s="789">
        <f t="shared" si="0"/>
        <v>0</v>
      </c>
      <c r="I34" s="309">
        <v>788326</v>
      </c>
      <c r="J34" s="307">
        <v>788326</v>
      </c>
      <c r="K34" s="710">
        <f t="shared" si="3"/>
        <v>1</v>
      </c>
    </row>
    <row r="35" spans="1:11" s="105" customFormat="1" ht="21.75" customHeight="1">
      <c r="A35" s="254" t="s">
        <v>83</v>
      </c>
      <c r="B35" s="520" t="s">
        <v>192</v>
      </c>
      <c r="C35" s="488" t="s">
        <v>193</v>
      </c>
      <c r="D35" s="445"/>
      <c r="E35" s="445"/>
      <c r="F35" s="445">
        <f>SUM(D35:E35)</f>
        <v>0</v>
      </c>
      <c r="G35" s="309">
        <v>788326</v>
      </c>
      <c r="H35" s="789">
        <f t="shared" si="0"/>
        <v>0</v>
      </c>
      <c r="I35" s="309">
        <v>788326</v>
      </c>
      <c r="J35" s="307">
        <v>788326</v>
      </c>
      <c r="K35" s="710">
        <f t="shared" si="3"/>
        <v>1</v>
      </c>
    </row>
    <row r="36" spans="1:11" s="105" customFormat="1" ht="21.75" customHeight="1">
      <c r="A36" s="254" t="s">
        <v>85</v>
      </c>
      <c r="B36" s="520" t="s">
        <v>195</v>
      </c>
      <c r="C36" s="488" t="s">
        <v>196</v>
      </c>
      <c r="D36" s="445"/>
      <c r="E36" s="445"/>
      <c r="F36" s="445">
        <f>SUM(D36:E36)</f>
        <v>0</v>
      </c>
      <c r="G36" s="309"/>
      <c r="H36" s="789">
        <f t="shared" si="0"/>
        <v>0</v>
      </c>
      <c r="I36" s="309"/>
      <c r="J36" s="307"/>
      <c r="K36" s="710"/>
    </row>
    <row r="37" spans="1:11" s="105" customFormat="1" ht="21.75" customHeight="1">
      <c r="A37" s="254" t="s">
        <v>87</v>
      </c>
      <c r="B37" s="519" t="s">
        <v>509</v>
      </c>
      <c r="C37" s="365" t="s">
        <v>510</v>
      </c>
      <c r="D37" s="445">
        <f>SUM(D38:D39)</f>
        <v>27195291</v>
      </c>
      <c r="E37" s="445">
        <f t="shared" ref="E37:F37" si="8">SUM(E38:E39)</f>
        <v>0</v>
      </c>
      <c r="F37" s="445">
        <f t="shared" si="8"/>
        <v>27195291</v>
      </c>
      <c r="G37" s="309">
        <v>1798193</v>
      </c>
      <c r="H37" s="789">
        <f t="shared" si="0"/>
        <v>879836</v>
      </c>
      <c r="I37" s="309">
        <v>29873320</v>
      </c>
      <c r="J37" s="307">
        <v>18875468</v>
      </c>
      <c r="K37" s="710">
        <f t="shared" si="3"/>
        <v>0.63185036012066953</v>
      </c>
    </row>
    <row r="38" spans="1:11" s="105" customFormat="1" ht="21.75" customHeight="1">
      <c r="A38" s="254"/>
      <c r="B38" s="521" t="s">
        <v>598</v>
      </c>
      <c r="C38" s="356" t="s">
        <v>510</v>
      </c>
      <c r="D38" s="523">
        <f>19867920+53594</f>
        <v>19921514</v>
      </c>
      <c r="E38" s="523"/>
      <c r="F38" s="523">
        <f>SUM(D38:E38)</f>
        <v>19921514</v>
      </c>
      <c r="G38" s="524">
        <v>1798193</v>
      </c>
      <c r="H38" s="789">
        <v>879836</v>
      </c>
      <c r="I38" s="524">
        <f>F38+G38+H38</f>
        <v>22599543</v>
      </c>
      <c r="J38" s="307">
        <f>F38+H38</f>
        <v>20801350</v>
      </c>
      <c r="K38" s="710">
        <f t="shared" si="3"/>
        <v>0.92043232909621231</v>
      </c>
    </row>
    <row r="39" spans="1:11" s="105" customFormat="1" ht="21.75" customHeight="1">
      <c r="A39" s="254"/>
      <c r="B39" s="522" t="s">
        <v>599</v>
      </c>
      <c r="C39" s="356" t="s">
        <v>510</v>
      </c>
      <c r="D39" s="523">
        <f>7273777</f>
        <v>7273777</v>
      </c>
      <c r="E39" s="523"/>
      <c r="F39" s="523">
        <f>SUM(D39:E39)</f>
        <v>7273777</v>
      </c>
      <c r="G39" s="524"/>
      <c r="H39" s="789">
        <f t="shared" si="0"/>
        <v>0</v>
      </c>
      <c r="I39" s="524">
        <v>7273777</v>
      </c>
      <c r="J39" s="307">
        <v>7273777</v>
      </c>
      <c r="K39" s="710">
        <f t="shared" si="3"/>
        <v>1</v>
      </c>
    </row>
    <row r="40" spans="1:11" s="105" customFormat="1" ht="21.75" customHeight="1">
      <c r="A40" s="254" t="s">
        <v>90</v>
      </c>
      <c r="B40" s="258" t="s">
        <v>511</v>
      </c>
      <c r="C40" s="113" t="s">
        <v>512</v>
      </c>
      <c r="D40" s="112">
        <f>SUM(D34+D37)</f>
        <v>27195291</v>
      </c>
      <c r="E40" s="112">
        <f>SUM(E34+E37)</f>
        <v>0</v>
      </c>
      <c r="F40" s="112">
        <f>SUM(F34+F37)</f>
        <v>27195291</v>
      </c>
      <c r="G40" s="112">
        <f t="shared" ref="G40:J40" si="9">SUM(G34+G37)</f>
        <v>2586519</v>
      </c>
      <c r="H40" s="698">
        <f t="shared" si="0"/>
        <v>879836</v>
      </c>
      <c r="I40" s="112">
        <f t="shared" si="9"/>
        <v>30661646</v>
      </c>
      <c r="J40" s="112">
        <f t="shared" si="9"/>
        <v>19663794</v>
      </c>
      <c r="K40" s="710">
        <f t="shared" si="3"/>
        <v>0.64131566844128329</v>
      </c>
    </row>
    <row r="41" spans="1:11" s="105" customFormat="1" ht="21.75" customHeight="1">
      <c r="A41" s="108" t="s">
        <v>94</v>
      </c>
      <c r="B41" s="258" t="s">
        <v>601</v>
      </c>
      <c r="C41" s="113" t="s">
        <v>199</v>
      </c>
      <c r="D41" s="112">
        <f>D40</f>
        <v>27195291</v>
      </c>
      <c r="E41" s="112">
        <f t="shared" ref="E41:J41" si="10">E40</f>
        <v>0</v>
      </c>
      <c r="F41" s="112">
        <f t="shared" si="10"/>
        <v>27195291</v>
      </c>
      <c r="G41" s="112">
        <f t="shared" si="10"/>
        <v>2586519</v>
      </c>
      <c r="H41" s="698">
        <f t="shared" si="0"/>
        <v>879836</v>
      </c>
      <c r="I41" s="112">
        <f t="shared" si="10"/>
        <v>30661646</v>
      </c>
      <c r="J41" s="112">
        <f t="shared" si="10"/>
        <v>19663794</v>
      </c>
      <c r="K41" s="710">
        <f t="shared" si="3"/>
        <v>0.64131566844128329</v>
      </c>
    </row>
    <row r="42" spans="1:11" s="105" customFormat="1" ht="21.75" customHeight="1">
      <c r="A42" s="108" t="s">
        <v>97</v>
      </c>
      <c r="B42" s="258" t="s">
        <v>514</v>
      </c>
      <c r="C42" s="113"/>
      <c r="D42" s="112">
        <f>D33+D41</f>
        <v>28535693</v>
      </c>
      <c r="E42" s="112">
        <f>E33+E41</f>
        <v>0</v>
      </c>
      <c r="F42" s="112">
        <f>F33+F41</f>
        <v>28535693</v>
      </c>
      <c r="G42" s="112">
        <f t="shared" ref="G42:J42" si="11">G33+G41</f>
        <v>9373396</v>
      </c>
      <c r="H42" s="698">
        <f t="shared" si="0"/>
        <v>1144153</v>
      </c>
      <c r="I42" s="112">
        <f t="shared" si="11"/>
        <v>39053242</v>
      </c>
      <c r="J42" s="112">
        <f t="shared" si="11"/>
        <v>23151134</v>
      </c>
      <c r="K42" s="710">
        <f t="shared" si="3"/>
        <v>0.5928095291038834</v>
      </c>
    </row>
    <row r="43" spans="1:11" s="105" customFormat="1" ht="15" customHeight="1">
      <c r="A43" s="114"/>
      <c r="B43" s="115"/>
      <c r="C43" s="116"/>
      <c r="D43" s="117"/>
      <c r="E43" s="117"/>
      <c r="F43" s="117"/>
      <c r="G43" s="311"/>
      <c r="H43" s="790"/>
      <c r="I43" s="311"/>
      <c r="J43" s="314"/>
      <c r="K43" s="708"/>
    </row>
    <row r="44" spans="1:11" s="105" customFormat="1" ht="15" customHeight="1">
      <c r="A44" s="913" t="s">
        <v>515</v>
      </c>
      <c r="B44" s="913"/>
      <c r="C44" s="913"/>
      <c r="D44" s="913"/>
      <c r="E44" s="913"/>
      <c r="F44" s="913"/>
      <c r="G44" s="913"/>
      <c r="H44" s="913"/>
      <c r="I44" s="913"/>
      <c r="J44" s="314"/>
      <c r="K44" s="708"/>
    </row>
    <row r="45" spans="1:11" s="503" customFormat="1" ht="38.25" customHeight="1">
      <c r="A45" s="113" t="s">
        <v>407</v>
      </c>
      <c r="B45" s="113" t="s">
        <v>267</v>
      </c>
      <c r="C45" s="673" t="s">
        <v>476</v>
      </c>
      <c r="D45" s="673" t="s">
        <v>477</v>
      </c>
      <c r="E45" s="673" t="s">
        <v>478</v>
      </c>
      <c r="F45" s="673" t="s">
        <v>516</v>
      </c>
      <c r="G45" s="674" t="s">
        <v>1002</v>
      </c>
      <c r="H45" s="788" t="s">
        <v>1003</v>
      </c>
      <c r="I45" s="674" t="s">
        <v>857</v>
      </c>
      <c r="J45" s="305" t="s">
        <v>1004</v>
      </c>
      <c r="K45" s="706" t="s">
        <v>1005</v>
      </c>
    </row>
    <row r="46" spans="1:11" s="668" customFormat="1" ht="15" customHeight="1">
      <c r="A46" s="667" t="s">
        <v>6</v>
      </c>
      <c r="B46" s="667" t="s">
        <v>7</v>
      </c>
      <c r="C46" s="667"/>
      <c r="D46" s="667" t="s">
        <v>9</v>
      </c>
      <c r="E46" s="667" t="s">
        <v>269</v>
      </c>
      <c r="F46" s="667" t="s">
        <v>479</v>
      </c>
      <c r="G46" s="711" t="s">
        <v>855</v>
      </c>
      <c r="H46" s="791" t="s">
        <v>859</v>
      </c>
      <c r="I46" s="711" t="s">
        <v>860</v>
      </c>
      <c r="J46" s="704" t="s">
        <v>1008</v>
      </c>
      <c r="K46" s="709" t="s">
        <v>1009</v>
      </c>
    </row>
    <row r="47" spans="1:11" s="105" customFormat="1" ht="24.75" customHeight="1">
      <c r="A47" s="681" t="s">
        <v>10</v>
      </c>
      <c r="B47" s="568" t="s">
        <v>204</v>
      </c>
      <c r="C47" s="682" t="s">
        <v>205</v>
      </c>
      <c r="D47" s="567">
        <v>17964620</v>
      </c>
      <c r="E47" s="567"/>
      <c r="F47" s="567">
        <f>SUM(D47:E47)</f>
        <v>17964620</v>
      </c>
      <c r="G47" s="309">
        <v>6577812</v>
      </c>
      <c r="H47" s="792">
        <v>697479</v>
      </c>
      <c r="I47" s="309">
        <v>25239911</v>
      </c>
      <c r="J47" s="307">
        <v>15588650</v>
      </c>
      <c r="K47" s="707">
        <f>J47/I47</f>
        <v>0.61761905578827125</v>
      </c>
    </row>
    <row r="48" spans="1:11" s="105" customFormat="1" ht="24.75" customHeight="1">
      <c r="A48" s="681" t="s">
        <v>13</v>
      </c>
      <c r="B48" s="568" t="s">
        <v>206</v>
      </c>
      <c r="C48" s="682" t="s">
        <v>207</v>
      </c>
      <c r="D48" s="567">
        <v>3905423</v>
      </c>
      <c r="E48" s="567"/>
      <c r="F48" s="567">
        <f>SUM(D48:E48)</f>
        <v>3905423</v>
      </c>
      <c r="G48" s="309">
        <v>761538</v>
      </c>
      <c r="H48" s="792">
        <f t="shared" ref="H48:H49" si="12">I48-F48-G48</f>
        <v>182357</v>
      </c>
      <c r="I48" s="309">
        <v>4849318</v>
      </c>
      <c r="J48" s="307">
        <v>3331292</v>
      </c>
      <c r="K48" s="707">
        <f t="shared" ref="K48:K60" si="13">J48/I48</f>
        <v>0.6869609293513026</v>
      </c>
    </row>
    <row r="49" spans="1:11" s="105" customFormat="1" ht="24.75" customHeight="1">
      <c r="A49" s="681" t="s">
        <v>16</v>
      </c>
      <c r="B49" s="568" t="s">
        <v>208</v>
      </c>
      <c r="C49" s="682" t="s">
        <v>209</v>
      </c>
      <c r="D49" s="567">
        <v>6665650</v>
      </c>
      <c r="E49" s="567"/>
      <c r="F49" s="567">
        <f>SUM(D49:E49)</f>
        <v>6665650</v>
      </c>
      <c r="G49" s="309">
        <v>2034046</v>
      </c>
      <c r="H49" s="792">
        <f t="shared" si="12"/>
        <v>150937</v>
      </c>
      <c r="I49" s="309">
        <v>8850633</v>
      </c>
      <c r="J49" s="307">
        <v>3563546</v>
      </c>
      <c r="K49" s="707">
        <f t="shared" si="13"/>
        <v>0.40263176656404126</v>
      </c>
    </row>
    <row r="50" spans="1:11" s="105" customFormat="1" ht="24.75" customHeight="1">
      <c r="A50" s="681" t="s">
        <v>19</v>
      </c>
      <c r="B50" s="568" t="s">
        <v>210</v>
      </c>
      <c r="C50" s="682" t="s">
        <v>211</v>
      </c>
      <c r="D50" s="567"/>
      <c r="E50" s="567"/>
      <c r="F50" s="567">
        <f>SUM(D50:E50)</f>
        <v>0</v>
      </c>
      <c r="G50" s="309">
        <f t="shared" ref="G50" si="14">I50-F50</f>
        <v>0</v>
      </c>
      <c r="H50" s="792">
        <f t="shared" ref="H50:H51" si="15">I50-F50</f>
        <v>0</v>
      </c>
      <c r="I50" s="309"/>
      <c r="J50" s="307">
        <v>0</v>
      </c>
      <c r="K50" s="707"/>
    </row>
    <row r="51" spans="1:11" s="105" customFormat="1" ht="24.75" customHeight="1">
      <c r="A51" s="681" t="s">
        <v>22</v>
      </c>
      <c r="B51" s="568" t="s">
        <v>212</v>
      </c>
      <c r="C51" s="682" t="s">
        <v>213</v>
      </c>
      <c r="D51" s="567"/>
      <c r="E51" s="567"/>
      <c r="F51" s="567">
        <f>SUM(D51:E51)</f>
        <v>0</v>
      </c>
      <c r="G51" s="309"/>
      <c r="H51" s="792">
        <f t="shared" si="15"/>
        <v>0</v>
      </c>
      <c r="I51" s="309"/>
      <c r="J51" s="307">
        <v>0</v>
      </c>
      <c r="K51" s="707"/>
    </row>
    <row r="52" spans="1:11" s="104" customFormat="1" ht="24.75" customHeight="1">
      <c r="A52" s="259" t="s">
        <v>25</v>
      </c>
      <c r="B52" s="683" t="s">
        <v>517</v>
      </c>
      <c r="C52" s="261" t="s">
        <v>230</v>
      </c>
      <c r="D52" s="684">
        <f>SUM(D47:D51)</f>
        <v>28535693</v>
      </c>
      <c r="E52" s="684">
        <f>SUM(E47:E51)</f>
        <v>0</v>
      </c>
      <c r="F52" s="684">
        <f>SUM(F47:F51)</f>
        <v>28535693</v>
      </c>
      <c r="G52" s="684">
        <f t="shared" ref="G52:J52" si="16">SUM(G47:G51)</f>
        <v>9373396</v>
      </c>
      <c r="H52" s="692">
        <f t="shared" si="16"/>
        <v>1030773</v>
      </c>
      <c r="I52" s="684">
        <f t="shared" si="16"/>
        <v>38939862</v>
      </c>
      <c r="J52" s="684">
        <f t="shared" si="16"/>
        <v>22483488</v>
      </c>
      <c r="K52" s="707">
        <f t="shared" si="13"/>
        <v>0.57739002773045267</v>
      </c>
    </row>
    <row r="53" spans="1:11" s="118" customFormat="1" ht="24.75" customHeight="1">
      <c r="A53" s="681" t="s">
        <v>28</v>
      </c>
      <c r="B53" s="568" t="s">
        <v>518</v>
      </c>
      <c r="C53" s="682" t="s">
        <v>232</v>
      </c>
      <c r="D53" s="567"/>
      <c r="E53" s="567"/>
      <c r="F53" s="567">
        <f>SUM(D53:E53)</f>
        <v>0</v>
      </c>
      <c r="G53" s="312"/>
      <c r="H53" s="792">
        <f>I53-F53-G53</f>
        <v>113380</v>
      </c>
      <c r="I53" s="307">
        <v>113380</v>
      </c>
      <c r="J53" s="307">
        <v>75280</v>
      </c>
      <c r="K53" s="707">
        <f t="shared" si="13"/>
        <v>0.66396189804198269</v>
      </c>
    </row>
    <row r="54" spans="1:11" ht="24.75" customHeight="1">
      <c r="A54" s="681" t="s">
        <v>31</v>
      </c>
      <c r="B54" s="568" t="s">
        <v>233</v>
      </c>
      <c r="C54" s="682" t="s">
        <v>234</v>
      </c>
      <c r="D54" s="567"/>
      <c r="E54" s="567"/>
      <c r="F54" s="567">
        <f>SUM(D54:E54)</f>
        <v>0</v>
      </c>
      <c r="G54" s="307"/>
      <c r="H54" s="792"/>
      <c r="I54" s="307"/>
      <c r="J54" s="307"/>
      <c r="K54" s="707"/>
    </row>
    <row r="55" spans="1:11" ht="24.75" customHeight="1">
      <c r="A55" s="681" t="s">
        <v>34</v>
      </c>
      <c r="B55" s="568" t="s">
        <v>519</v>
      </c>
      <c r="C55" s="682" t="s">
        <v>236</v>
      </c>
      <c r="D55" s="567"/>
      <c r="E55" s="567"/>
      <c r="F55" s="567">
        <f>SUM(D55:E55)</f>
        <v>0</v>
      </c>
      <c r="G55" s="307"/>
      <c r="H55" s="792"/>
      <c r="I55" s="307"/>
      <c r="J55" s="307"/>
      <c r="K55" s="707"/>
    </row>
    <row r="56" spans="1:11" ht="24.75" customHeight="1">
      <c r="A56" s="259" t="s">
        <v>37</v>
      </c>
      <c r="B56" s="260" t="s">
        <v>520</v>
      </c>
      <c r="C56" s="261" t="s">
        <v>248</v>
      </c>
      <c r="D56" s="684">
        <f>SUM(D53:D55)</f>
        <v>0</v>
      </c>
      <c r="E56" s="684">
        <f t="shared" ref="E56:J56" si="17">SUM(E53:E55)</f>
        <v>0</v>
      </c>
      <c r="F56" s="684">
        <f t="shared" si="17"/>
        <v>0</v>
      </c>
      <c r="G56" s="684">
        <f t="shared" si="17"/>
        <v>0</v>
      </c>
      <c r="H56" s="692">
        <f t="shared" si="17"/>
        <v>113380</v>
      </c>
      <c r="I56" s="684">
        <f t="shared" si="17"/>
        <v>113380</v>
      </c>
      <c r="J56" s="684">
        <f t="shared" si="17"/>
        <v>75280</v>
      </c>
      <c r="K56" s="707">
        <f t="shared" si="13"/>
        <v>0.66396189804198269</v>
      </c>
    </row>
    <row r="57" spans="1:11" ht="24.75" customHeight="1">
      <c r="A57" s="259" t="s">
        <v>39</v>
      </c>
      <c r="B57" s="260" t="s">
        <v>521</v>
      </c>
      <c r="C57" s="261" t="s">
        <v>522</v>
      </c>
      <c r="D57" s="262">
        <f>D52+D56</f>
        <v>28535693</v>
      </c>
      <c r="E57" s="262">
        <f>E52+E56</f>
        <v>0</v>
      </c>
      <c r="F57" s="262">
        <f>F52+F56</f>
        <v>28535693</v>
      </c>
      <c r="G57" s="262">
        <f t="shared" ref="G57:J57" si="18">G52+G56</f>
        <v>9373396</v>
      </c>
      <c r="H57" s="333">
        <f t="shared" si="18"/>
        <v>1144153</v>
      </c>
      <c r="I57" s="262">
        <f t="shared" si="18"/>
        <v>39053242</v>
      </c>
      <c r="J57" s="262">
        <f t="shared" si="18"/>
        <v>22558768</v>
      </c>
      <c r="K57" s="707">
        <f t="shared" si="13"/>
        <v>0.57764136457608306</v>
      </c>
    </row>
    <row r="58" spans="1:11" ht="24.75" customHeight="1">
      <c r="A58" s="682" t="s">
        <v>41</v>
      </c>
      <c r="B58" s="260" t="s">
        <v>523</v>
      </c>
      <c r="C58" s="261" t="s">
        <v>524</v>
      </c>
      <c r="D58" s="262"/>
      <c r="E58" s="262"/>
      <c r="F58" s="262">
        <f>SUM(D58:E58)</f>
        <v>0</v>
      </c>
      <c r="G58" s="307"/>
      <c r="H58" s="792"/>
      <c r="I58" s="307"/>
      <c r="J58" s="307"/>
      <c r="K58" s="707"/>
    </row>
    <row r="59" spans="1:11" ht="24.75" customHeight="1">
      <c r="A59" s="261" t="s">
        <v>45</v>
      </c>
      <c r="B59" s="260" t="s">
        <v>600</v>
      </c>
      <c r="C59" s="261" t="s">
        <v>260</v>
      </c>
      <c r="D59" s="262">
        <f>SUM(D58:D58)</f>
        <v>0</v>
      </c>
      <c r="E59" s="262">
        <f>SUM(E58:E58)</f>
        <v>0</v>
      </c>
      <c r="F59" s="262">
        <f>SUM(F58:F58)</f>
        <v>0</v>
      </c>
      <c r="G59" s="307"/>
      <c r="H59" s="792"/>
      <c r="I59" s="307"/>
      <c r="J59" s="307"/>
      <c r="K59" s="707"/>
    </row>
    <row r="60" spans="1:11" ht="24.75" customHeight="1">
      <c r="A60" s="261" t="s">
        <v>47</v>
      </c>
      <c r="B60" s="260" t="s">
        <v>525</v>
      </c>
      <c r="C60" s="261" t="s">
        <v>262</v>
      </c>
      <c r="D60" s="262">
        <f>SUM(D57+D59)</f>
        <v>28535693</v>
      </c>
      <c r="E60" s="262">
        <f>SUM(E57+E59)</f>
        <v>0</v>
      </c>
      <c r="F60" s="262">
        <f>SUM(F57+F59)</f>
        <v>28535693</v>
      </c>
      <c r="G60" s="262">
        <f t="shared" ref="G60:J60" si="19">SUM(G57+G59)</f>
        <v>9373396</v>
      </c>
      <c r="H60" s="333">
        <f t="shared" si="19"/>
        <v>1144153</v>
      </c>
      <c r="I60" s="262">
        <f t="shared" si="19"/>
        <v>39053242</v>
      </c>
      <c r="J60" s="262">
        <f t="shared" si="19"/>
        <v>22558768</v>
      </c>
      <c r="K60" s="707">
        <f t="shared" si="13"/>
        <v>0.57764136457608306</v>
      </c>
    </row>
    <row r="61" spans="1:11" ht="12" customHeight="1">
      <c r="A61" s="122"/>
      <c r="B61" s="123"/>
      <c r="C61" s="124"/>
      <c r="D61" s="124"/>
      <c r="E61" s="124"/>
      <c r="F61" s="124"/>
      <c r="G61" s="313"/>
      <c r="H61" s="793"/>
      <c r="I61" s="313"/>
      <c r="J61" s="313"/>
      <c r="K61" s="703"/>
    </row>
    <row r="62" spans="1:11" ht="12" customHeight="1">
      <c r="A62" s="122"/>
      <c r="B62" s="123"/>
      <c r="C62" s="124"/>
      <c r="D62" s="124"/>
      <c r="E62" s="124"/>
      <c r="F62" s="124"/>
      <c r="G62" s="313"/>
      <c r="H62" s="793"/>
      <c r="I62" s="313"/>
      <c r="J62" s="313"/>
      <c r="K62" s="703"/>
    </row>
    <row r="63" spans="1:11">
      <c r="A63" s="125"/>
      <c r="B63" s="126"/>
      <c r="C63" s="126"/>
    </row>
    <row r="64" spans="1:11">
      <c r="A64" s="125"/>
      <c r="B64" s="126"/>
      <c r="C64" s="126"/>
    </row>
    <row r="65" spans="1:3">
      <c r="A65" s="125"/>
      <c r="B65" s="126"/>
      <c r="C65" s="126"/>
    </row>
  </sheetData>
  <sheetProtection formatCells="0"/>
  <mergeCells count="3">
    <mergeCell ref="A44:I44"/>
    <mergeCell ref="A1:K1"/>
    <mergeCell ref="A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  <headerFooter alignWithMargins="0">
    <oddHeader>&amp;R&amp;"Times New Roman CE,Félkövér dőlt"&amp;11 11. melléklet a 22/2017. (XII.04.)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19"/>
  <sheetViews>
    <sheetView view="pageLayout" topLeftCell="C1" workbookViewId="0">
      <selection activeCell="J3" sqref="J3:K3"/>
    </sheetView>
  </sheetViews>
  <sheetFormatPr defaultRowHeight="13.2"/>
  <cols>
    <col min="1" max="1" width="6.6640625" style="93" customWidth="1"/>
    <col min="2" max="2" width="24.6640625" style="70" customWidth="1"/>
    <col min="3" max="3" width="13" style="70" customWidth="1"/>
    <col min="4" max="5" width="15.44140625" style="94" customWidth="1"/>
    <col min="6" max="6" width="11.44140625" style="94" customWidth="1"/>
    <col min="7" max="7" width="13" style="94" customWidth="1"/>
    <col min="8" max="9" width="14" style="94" customWidth="1"/>
    <col min="10" max="10" width="13.33203125" style="70" customWidth="1"/>
    <col min="11" max="11" width="16.77734375" style="70" customWidth="1"/>
    <col min="12" max="12" width="14.6640625" style="70" customWidth="1"/>
    <col min="13" max="257" width="9.33203125" style="70"/>
    <col min="258" max="258" width="6.6640625" style="70" customWidth="1"/>
    <col min="259" max="259" width="24.6640625" style="70" customWidth="1"/>
    <col min="260" max="260" width="13" style="70" customWidth="1"/>
    <col min="261" max="262" width="15.44140625" style="70" customWidth="1"/>
    <col min="263" max="263" width="11.44140625" style="70" customWidth="1"/>
    <col min="264" max="264" width="13" style="70" customWidth="1"/>
    <col min="265" max="266" width="14" style="70" customWidth="1"/>
    <col min="267" max="267" width="13.33203125" style="70" customWidth="1"/>
    <col min="268" max="268" width="14.6640625" style="70" customWidth="1"/>
    <col min="269" max="513" width="9.33203125" style="70"/>
    <col min="514" max="514" width="6.6640625" style="70" customWidth="1"/>
    <col min="515" max="515" width="24.6640625" style="70" customWidth="1"/>
    <col min="516" max="516" width="13" style="70" customWidth="1"/>
    <col min="517" max="518" width="15.44140625" style="70" customWidth="1"/>
    <col min="519" max="519" width="11.44140625" style="70" customWidth="1"/>
    <col min="520" max="520" width="13" style="70" customWidth="1"/>
    <col min="521" max="522" width="14" style="70" customWidth="1"/>
    <col min="523" max="523" width="13.33203125" style="70" customWidth="1"/>
    <col min="524" max="524" width="14.6640625" style="70" customWidth="1"/>
    <col min="525" max="769" width="9.33203125" style="70"/>
    <col min="770" max="770" width="6.6640625" style="70" customWidth="1"/>
    <col min="771" max="771" width="24.6640625" style="70" customWidth="1"/>
    <col min="772" max="772" width="13" style="70" customWidth="1"/>
    <col min="773" max="774" width="15.44140625" style="70" customWidth="1"/>
    <col min="775" max="775" width="11.44140625" style="70" customWidth="1"/>
    <col min="776" max="776" width="13" style="70" customWidth="1"/>
    <col min="777" max="778" width="14" style="70" customWidth="1"/>
    <col min="779" max="779" width="13.33203125" style="70" customWidth="1"/>
    <col min="780" max="780" width="14.6640625" style="70" customWidth="1"/>
    <col min="781" max="1025" width="9.33203125" style="70"/>
    <col min="1026" max="1026" width="6.6640625" style="70" customWidth="1"/>
    <col min="1027" max="1027" width="24.6640625" style="70" customWidth="1"/>
    <col min="1028" max="1028" width="13" style="70" customWidth="1"/>
    <col min="1029" max="1030" width="15.44140625" style="70" customWidth="1"/>
    <col min="1031" max="1031" width="11.44140625" style="70" customWidth="1"/>
    <col min="1032" max="1032" width="13" style="70" customWidth="1"/>
    <col min="1033" max="1034" width="14" style="70" customWidth="1"/>
    <col min="1035" max="1035" width="13.33203125" style="70" customWidth="1"/>
    <col min="1036" max="1036" width="14.6640625" style="70" customWidth="1"/>
    <col min="1037" max="1281" width="9.33203125" style="70"/>
    <col min="1282" max="1282" width="6.6640625" style="70" customWidth="1"/>
    <col min="1283" max="1283" width="24.6640625" style="70" customWidth="1"/>
    <col min="1284" max="1284" width="13" style="70" customWidth="1"/>
    <col min="1285" max="1286" width="15.44140625" style="70" customWidth="1"/>
    <col min="1287" max="1287" width="11.44140625" style="70" customWidth="1"/>
    <col min="1288" max="1288" width="13" style="70" customWidth="1"/>
    <col min="1289" max="1290" width="14" style="70" customWidth="1"/>
    <col min="1291" max="1291" width="13.33203125" style="70" customWidth="1"/>
    <col min="1292" max="1292" width="14.6640625" style="70" customWidth="1"/>
    <col min="1293" max="1537" width="9.33203125" style="70"/>
    <col min="1538" max="1538" width="6.6640625" style="70" customWidth="1"/>
    <col min="1539" max="1539" width="24.6640625" style="70" customWidth="1"/>
    <col min="1540" max="1540" width="13" style="70" customWidth="1"/>
    <col min="1541" max="1542" width="15.44140625" style="70" customWidth="1"/>
    <col min="1543" max="1543" width="11.44140625" style="70" customWidth="1"/>
    <col min="1544" max="1544" width="13" style="70" customWidth="1"/>
    <col min="1545" max="1546" width="14" style="70" customWidth="1"/>
    <col min="1547" max="1547" width="13.33203125" style="70" customWidth="1"/>
    <col min="1548" max="1548" width="14.6640625" style="70" customWidth="1"/>
    <col min="1549" max="1793" width="9.33203125" style="70"/>
    <col min="1794" max="1794" width="6.6640625" style="70" customWidth="1"/>
    <col min="1795" max="1795" width="24.6640625" style="70" customWidth="1"/>
    <col min="1796" max="1796" width="13" style="70" customWidth="1"/>
    <col min="1797" max="1798" width="15.44140625" style="70" customWidth="1"/>
    <col min="1799" max="1799" width="11.44140625" style="70" customWidth="1"/>
    <col min="1800" max="1800" width="13" style="70" customWidth="1"/>
    <col min="1801" max="1802" width="14" style="70" customWidth="1"/>
    <col min="1803" max="1803" width="13.33203125" style="70" customWidth="1"/>
    <col min="1804" max="1804" width="14.6640625" style="70" customWidth="1"/>
    <col min="1805" max="2049" width="9.33203125" style="70"/>
    <col min="2050" max="2050" width="6.6640625" style="70" customWidth="1"/>
    <col min="2051" max="2051" width="24.6640625" style="70" customWidth="1"/>
    <col min="2052" max="2052" width="13" style="70" customWidth="1"/>
    <col min="2053" max="2054" width="15.44140625" style="70" customWidth="1"/>
    <col min="2055" max="2055" width="11.44140625" style="70" customWidth="1"/>
    <col min="2056" max="2056" width="13" style="70" customWidth="1"/>
    <col min="2057" max="2058" width="14" style="70" customWidth="1"/>
    <col min="2059" max="2059" width="13.33203125" style="70" customWidth="1"/>
    <col min="2060" max="2060" width="14.6640625" style="70" customWidth="1"/>
    <col min="2061" max="2305" width="9.33203125" style="70"/>
    <col min="2306" max="2306" width="6.6640625" style="70" customWidth="1"/>
    <col min="2307" max="2307" width="24.6640625" style="70" customWidth="1"/>
    <col min="2308" max="2308" width="13" style="70" customWidth="1"/>
    <col min="2309" max="2310" width="15.44140625" style="70" customWidth="1"/>
    <col min="2311" max="2311" width="11.44140625" style="70" customWidth="1"/>
    <col min="2312" max="2312" width="13" style="70" customWidth="1"/>
    <col min="2313" max="2314" width="14" style="70" customWidth="1"/>
    <col min="2315" max="2315" width="13.33203125" style="70" customWidth="1"/>
    <col min="2316" max="2316" width="14.6640625" style="70" customWidth="1"/>
    <col min="2317" max="2561" width="9.33203125" style="70"/>
    <col min="2562" max="2562" width="6.6640625" style="70" customWidth="1"/>
    <col min="2563" max="2563" width="24.6640625" style="70" customWidth="1"/>
    <col min="2564" max="2564" width="13" style="70" customWidth="1"/>
    <col min="2565" max="2566" width="15.44140625" style="70" customWidth="1"/>
    <col min="2567" max="2567" width="11.44140625" style="70" customWidth="1"/>
    <col min="2568" max="2568" width="13" style="70" customWidth="1"/>
    <col min="2569" max="2570" width="14" style="70" customWidth="1"/>
    <col min="2571" max="2571" width="13.33203125" style="70" customWidth="1"/>
    <col min="2572" max="2572" width="14.6640625" style="70" customWidth="1"/>
    <col min="2573" max="2817" width="9.33203125" style="70"/>
    <col min="2818" max="2818" width="6.6640625" style="70" customWidth="1"/>
    <col min="2819" max="2819" width="24.6640625" style="70" customWidth="1"/>
    <col min="2820" max="2820" width="13" style="70" customWidth="1"/>
    <col min="2821" max="2822" width="15.44140625" style="70" customWidth="1"/>
    <col min="2823" max="2823" width="11.44140625" style="70" customWidth="1"/>
    <col min="2824" max="2824" width="13" style="70" customWidth="1"/>
    <col min="2825" max="2826" width="14" style="70" customWidth="1"/>
    <col min="2827" max="2827" width="13.33203125" style="70" customWidth="1"/>
    <col min="2828" max="2828" width="14.6640625" style="70" customWidth="1"/>
    <col min="2829" max="3073" width="9.33203125" style="70"/>
    <col min="3074" max="3074" width="6.6640625" style="70" customWidth="1"/>
    <col min="3075" max="3075" width="24.6640625" style="70" customWidth="1"/>
    <col min="3076" max="3076" width="13" style="70" customWidth="1"/>
    <col min="3077" max="3078" width="15.44140625" style="70" customWidth="1"/>
    <col min="3079" max="3079" width="11.44140625" style="70" customWidth="1"/>
    <col min="3080" max="3080" width="13" style="70" customWidth="1"/>
    <col min="3081" max="3082" width="14" style="70" customWidth="1"/>
    <col min="3083" max="3083" width="13.33203125" style="70" customWidth="1"/>
    <col min="3084" max="3084" width="14.6640625" style="70" customWidth="1"/>
    <col min="3085" max="3329" width="9.33203125" style="70"/>
    <col min="3330" max="3330" width="6.6640625" style="70" customWidth="1"/>
    <col min="3331" max="3331" width="24.6640625" style="70" customWidth="1"/>
    <col min="3332" max="3332" width="13" style="70" customWidth="1"/>
    <col min="3333" max="3334" width="15.44140625" style="70" customWidth="1"/>
    <col min="3335" max="3335" width="11.44140625" style="70" customWidth="1"/>
    <col min="3336" max="3336" width="13" style="70" customWidth="1"/>
    <col min="3337" max="3338" width="14" style="70" customWidth="1"/>
    <col min="3339" max="3339" width="13.33203125" style="70" customWidth="1"/>
    <col min="3340" max="3340" width="14.6640625" style="70" customWidth="1"/>
    <col min="3341" max="3585" width="9.33203125" style="70"/>
    <col min="3586" max="3586" width="6.6640625" style="70" customWidth="1"/>
    <col min="3587" max="3587" width="24.6640625" style="70" customWidth="1"/>
    <col min="3588" max="3588" width="13" style="70" customWidth="1"/>
    <col min="3589" max="3590" width="15.44140625" style="70" customWidth="1"/>
    <col min="3591" max="3591" width="11.44140625" style="70" customWidth="1"/>
    <col min="3592" max="3592" width="13" style="70" customWidth="1"/>
    <col min="3593" max="3594" width="14" style="70" customWidth="1"/>
    <col min="3595" max="3595" width="13.33203125" style="70" customWidth="1"/>
    <col min="3596" max="3596" width="14.6640625" style="70" customWidth="1"/>
    <col min="3597" max="3841" width="9.33203125" style="70"/>
    <col min="3842" max="3842" width="6.6640625" style="70" customWidth="1"/>
    <col min="3843" max="3843" width="24.6640625" style="70" customWidth="1"/>
    <col min="3844" max="3844" width="13" style="70" customWidth="1"/>
    <col min="3845" max="3846" width="15.44140625" style="70" customWidth="1"/>
    <col min="3847" max="3847" width="11.44140625" style="70" customWidth="1"/>
    <col min="3848" max="3848" width="13" style="70" customWidth="1"/>
    <col min="3849" max="3850" width="14" style="70" customWidth="1"/>
    <col min="3851" max="3851" width="13.33203125" style="70" customWidth="1"/>
    <col min="3852" max="3852" width="14.6640625" style="70" customWidth="1"/>
    <col min="3853" max="4097" width="9.33203125" style="70"/>
    <col min="4098" max="4098" width="6.6640625" style="70" customWidth="1"/>
    <col min="4099" max="4099" width="24.6640625" style="70" customWidth="1"/>
    <col min="4100" max="4100" width="13" style="70" customWidth="1"/>
    <col min="4101" max="4102" width="15.44140625" style="70" customWidth="1"/>
    <col min="4103" max="4103" width="11.44140625" style="70" customWidth="1"/>
    <col min="4104" max="4104" width="13" style="70" customWidth="1"/>
    <col min="4105" max="4106" width="14" style="70" customWidth="1"/>
    <col min="4107" max="4107" width="13.33203125" style="70" customWidth="1"/>
    <col min="4108" max="4108" width="14.6640625" style="70" customWidth="1"/>
    <col min="4109" max="4353" width="9.33203125" style="70"/>
    <col min="4354" max="4354" width="6.6640625" style="70" customWidth="1"/>
    <col min="4355" max="4355" width="24.6640625" style="70" customWidth="1"/>
    <col min="4356" max="4356" width="13" style="70" customWidth="1"/>
    <col min="4357" max="4358" width="15.44140625" style="70" customWidth="1"/>
    <col min="4359" max="4359" width="11.44140625" style="70" customWidth="1"/>
    <col min="4360" max="4360" width="13" style="70" customWidth="1"/>
    <col min="4361" max="4362" width="14" style="70" customWidth="1"/>
    <col min="4363" max="4363" width="13.33203125" style="70" customWidth="1"/>
    <col min="4364" max="4364" width="14.6640625" style="70" customWidth="1"/>
    <col min="4365" max="4609" width="9.33203125" style="70"/>
    <col min="4610" max="4610" width="6.6640625" style="70" customWidth="1"/>
    <col min="4611" max="4611" width="24.6640625" style="70" customWidth="1"/>
    <col min="4612" max="4612" width="13" style="70" customWidth="1"/>
    <col min="4613" max="4614" width="15.44140625" style="70" customWidth="1"/>
    <col min="4615" max="4615" width="11.44140625" style="70" customWidth="1"/>
    <col min="4616" max="4616" width="13" style="70" customWidth="1"/>
    <col min="4617" max="4618" width="14" style="70" customWidth="1"/>
    <col min="4619" max="4619" width="13.33203125" style="70" customWidth="1"/>
    <col min="4620" max="4620" width="14.6640625" style="70" customWidth="1"/>
    <col min="4621" max="4865" width="9.33203125" style="70"/>
    <col min="4866" max="4866" width="6.6640625" style="70" customWidth="1"/>
    <col min="4867" max="4867" width="24.6640625" style="70" customWidth="1"/>
    <col min="4868" max="4868" width="13" style="70" customWidth="1"/>
    <col min="4869" max="4870" width="15.44140625" style="70" customWidth="1"/>
    <col min="4871" max="4871" width="11.44140625" style="70" customWidth="1"/>
    <col min="4872" max="4872" width="13" style="70" customWidth="1"/>
    <col min="4873" max="4874" width="14" style="70" customWidth="1"/>
    <col min="4875" max="4875" width="13.33203125" style="70" customWidth="1"/>
    <col min="4876" max="4876" width="14.6640625" style="70" customWidth="1"/>
    <col min="4877" max="5121" width="9.33203125" style="70"/>
    <col min="5122" max="5122" width="6.6640625" style="70" customWidth="1"/>
    <col min="5123" max="5123" width="24.6640625" style="70" customWidth="1"/>
    <col min="5124" max="5124" width="13" style="70" customWidth="1"/>
    <col min="5125" max="5126" width="15.44140625" style="70" customWidth="1"/>
    <col min="5127" max="5127" width="11.44140625" style="70" customWidth="1"/>
    <col min="5128" max="5128" width="13" style="70" customWidth="1"/>
    <col min="5129" max="5130" width="14" style="70" customWidth="1"/>
    <col min="5131" max="5131" width="13.33203125" style="70" customWidth="1"/>
    <col min="5132" max="5132" width="14.6640625" style="70" customWidth="1"/>
    <col min="5133" max="5377" width="9.33203125" style="70"/>
    <col min="5378" max="5378" width="6.6640625" style="70" customWidth="1"/>
    <col min="5379" max="5379" width="24.6640625" style="70" customWidth="1"/>
    <col min="5380" max="5380" width="13" style="70" customWidth="1"/>
    <col min="5381" max="5382" width="15.44140625" style="70" customWidth="1"/>
    <col min="5383" max="5383" width="11.44140625" style="70" customWidth="1"/>
    <col min="5384" max="5384" width="13" style="70" customWidth="1"/>
    <col min="5385" max="5386" width="14" style="70" customWidth="1"/>
    <col min="5387" max="5387" width="13.33203125" style="70" customWidth="1"/>
    <col min="5388" max="5388" width="14.6640625" style="70" customWidth="1"/>
    <col min="5389" max="5633" width="9.33203125" style="70"/>
    <col min="5634" max="5634" width="6.6640625" style="70" customWidth="1"/>
    <col min="5635" max="5635" width="24.6640625" style="70" customWidth="1"/>
    <col min="5636" max="5636" width="13" style="70" customWidth="1"/>
    <col min="5637" max="5638" width="15.44140625" style="70" customWidth="1"/>
    <col min="5639" max="5639" width="11.44140625" style="70" customWidth="1"/>
    <col min="5640" max="5640" width="13" style="70" customWidth="1"/>
    <col min="5641" max="5642" width="14" style="70" customWidth="1"/>
    <col min="5643" max="5643" width="13.33203125" style="70" customWidth="1"/>
    <col min="5644" max="5644" width="14.6640625" style="70" customWidth="1"/>
    <col min="5645" max="5889" width="9.33203125" style="70"/>
    <col min="5890" max="5890" width="6.6640625" style="70" customWidth="1"/>
    <col min="5891" max="5891" width="24.6640625" style="70" customWidth="1"/>
    <col min="5892" max="5892" width="13" style="70" customWidth="1"/>
    <col min="5893" max="5894" width="15.44140625" style="70" customWidth="1"/>
    <col min="5895" max="5895" width="11.44140625" style="70" customWidth="1"/>
    <col min="5896" max="5896" width="13" style="70" customWidth="1"/>
    <col min="5897" max="5898" width="14" style="70" customWidth="1"/>
    <col min="5899" max="5899" width="13.33203125" style="70" customWidth="1"/>
    <col min="5900" max="5900" width="14.6640625" style="70" customWidth="1"/>
    <col min="5901" max="6145" width="9.33203125" style="70"/>
    <col min="6146" max="6146" width="6.6640625" style="70" customWidth="1"/>
    <col min="6147" max="6147" width="24.6640625" style="70" customWidth="1"/>
    <col min="6148" max="6148" width="13" style="70" customWidth="1"/>
    <col min="6149" max="6150" width="15.44140625" style="70" customWidth="1"/>
    <col min="6151" max="6151" width="11.44140625" style="70" customWidth="1"/>
    <col min="6152" max="6152" width="13" style="70" customWidth="1"/>
    <col min="6153" max="6154" width="14" style="70" customWidth="1"/>
    <col min="6155" max="6155" width="13.33203125" style="70" customWidth="1"/>
    <col min="6156" max="6156" width="14.6640625" style="70" customWidth="1"/>
    <col min="6157" max="6401" width="9.33203125" style="70"/>
    <col min="6402" max="6402" width="6.6640625" style="70" customWidth="1"/>
    <col min="6403" max="6403" width="24.6640625" style="70" customWidth="1"/>
    <col min="6404" max="6404" width="13" style="70" customWidth="1"/>
    <col min="6405" max="6406" width="15.44140625" style="70" customWidth="1"/>
    <col min="6407" max="6407" width="11.44140625" style="70" customWidth="1"/>
    <col min="6408" max="6408" width="13" style="70" customWidth="1"/>
    <col min="6409" max="6410" width="14" style="70" customWidth="1"/>
    <col min="6411" max="6411" width="13.33203125" style="70" customWidth="1"/>
    <col min="6412" max="6412" width="14.6640625" style="70" customWidth="1"/>
    <col min="6413" max="6657" width="9.33203125" style="70"/>
    <col min="6658" max="6658" width="6.6640625" style="70" customWidth="1"/>
    <col min="6659" max="6659" width="24.6640625" style="70" customWidth="1"/>
    <col min="6660" max="6660" width="13" style="70" customWidth="1"/>
    <col min="6661" max="6662" width="15.44140625" style="70" customWidth="1"/>
    <col min="6663" max="6663" width="11.44140625" style="70" customWidth="1"/>
    <col min="6664" max="6664" width="13" style="70" customWidth="1"/>
    <col min="6665" max="6666" width="14" style="70" customWidth="1"/>
    <col min="6667" max="6667" width="13.33203125" style="70" customWidth="1"/>
    <col min="6668" max="6668" width="14.6640625" style="70" customWidth="1"/>
    <col min="6669" max="6913" width="9.33203125" style="70"/>
    <col min="6914" max="6914" width="6.6640625" style="70" customWidth="1"/>
    <col min="6915" max="6915" width="24.6640625" style="70" customWidth="1"/>
    <col min="6916" max="6916" width="13" style="70" customWidth="1"/>
    <col min="6917" max="6918" width="15.44140625" style="70" customWidth="1"/>
    <col min="6919" max="6919" width="11.44140625" style="70" customWidth="1"/>
    <col min="6920" max="6920" width="13" style="70" customWidth="1"/>
    <col min="6921" max="6922" width="14" style="70" customWidth="1"/>
    <col min="6923" max="6923" width="13.33203125" style="70" customWidth="1"/>
    <col min="6924" max="6924" width="14.6640625" style="70" customWidth="1"/>
    <col min="6925" max="7169" width="9.33203125" style="70"/>
    <col min="7170" max="7170" width="6.6640625" style="70" customWidth="1"/>
    <col min="7171" max="7171" width="24.6640625" style="70" customWidth="1"/>
    <col min="7172" max="7172" width="13" style="70" customWidth="1"/>
    <col min="7173" max="7174" width="15.44140625" style="70" customWidth="1"/>
    <col min="7175" max="7175" width="11.44140625" style="70" customWidth="1"/>
    <col min="7176" max="7176" width="13" style="70" customWidth="1"/>
    <col min="7177" max="7178" width="14" style="70" customWidth="1"/>
    <col min="7179" max="7179" width="13.33203125" style="70" customWidth="1"/>
    <col min="7180" max="7180" width="14.6640625" style="70" customWidth="1"/>
    <col min="7181" max="7425" width="9.33203125" style="70"/>
    <col min="7426" max="7426" width="6.6640625" style="70" customWidth="1"/>
    <col min="7427" max="7427" width="24.6640625" style="70" customWidth="1"/>
    <col min="7428" max="7428" width="13" style="70" customWidth="1"/>
    <col min="7429" max="7430" width="15.44140625" style="70" customWidth="1"/>
    <col min="7431" max="7431" width="11.44140625" style="70" customWidth="1"/>
    <col min="7432" max="7432" width="13" style="70" customWidth="1"/>
    <col min="7433" max="7434" width="14" style="70" customWidth="1"/>
    <col min="7435" max="7435" width="13.33203125" style="70" customWidth="1"/>
    <col min="7436" max="7436" width="14.6640625" style="70" customWidth="1"/>
    <col min="7437" max="7681" width="9.33203125" style="70"/>
    <col min="7682" max="7682" width="6.6640625" style="70" customWidth="1"/>
    <col min="7683" max="7683" width="24.6640625" style="70" customWidth="1"/>
    <col min="7684" max="7684" width="13" style="70" customWidth="1"/>
    <col min="7685" max="7686" width="15.44140625" style="70" customWidth="1"/>
    <col min="7687" max="7687" width="11.44140625" style="70" customWidth="1"/>
    <col min="7688" max="7688" width="13" style="70" customWidth="1"/>
    <col min="7689" max="7690" width="14" style="70" customWidth="1"/>
    <col min="7691" max="7691" width="13.33203125" style="70" customWidth="1"/>
    <col min="7692" max="7692" width="14.6640625" style="70" customWidth="1"/>
    <col min="7693" max="7937" width="9.33203125" style="70"/>
    <col min="7938" max="7938" width="6.6640625" style="70" customWidth="1"/>
    <col min="7939" max="7939" width="24.6640625" style="70" customWidth="1"/>
    <col min="7940" max="7940" width="13" style="70" customWidth="1"/>
    <col min="7941" max="7942" width="15.44140625" style="70" customWidth="1"/>
    <col min="7943" max="7943" width="11.44140625" style="70" customWidth="1"/>
    <col min="7944" max="7944" width="13" style="70" customWidth="1"/>
    <col min="7945" max="7946" width="14" style="70" customWidth="1"/>
    <col min="7947" max="7947" width="13.33203125" style="70" customWidth="1"/>
    <col min="7948" max="7948" width="14.6640625" style="70" customWidth="1"/>
    <col min="7949" max="8193" width="9.33203125" style="70"/>
    <col min="8194" max="8194" width="6.6640625" style="70" customWidth="1"/>
    <col min="8195" max="8195" width="24.6640625" style="70" customWidth="1"/>
    <col min="8196" max="8196" width="13" style="70" customWidth="1"/>
    <col min="8197" max="8198" width="15.44140625" style="70" customWidth="1"/>
    <col min="8199" max="8199" width="11.44140625" style="70" customWidth="1"/>
    <col min="8200" max="8200" width="13" style="70" customWidth="1"/>
    <col min="8201" max="8202" width="14" style="70" customWidth="1"/>
    <col min="8203" max="8203" width="13.33203125" style="70" customWidth="1"/>
    <col min="8204" max="8204" width="14.6640625" style="70" customWidth="1"/>
    <col min="8205" max="8449" width="9.33203125" style="70"/>
    <col min="8450" max="8450" width="6.6640625" style="70" customWidth="1"/>
    <col min="8451" max="8451" width="24.6640625" style="70" customWidth="1"/>
    <col min="8452" max="8452" width="13" style="70" customWidth="1"/>
    <col min="8453" max="8454" width="15.44140625" style="70" customWidth="1"/>
    <col min="8455" max="8455" width="11.44140625" style="70" customWidth="1"/>
    <col min="8456" max="8456" width="13" style="70" customWidth="1"/>
    <col min="8457" max="8458" width="14" style="70" customWidth="1"/>
    <col min="8459" max="8459" width="13.33203125" style="70" customWidth="1"/>
    <col min="8460" max="8460" width="14.6640625" style="70" customWidth="1"/>
    <col min="8461" max="8705" width="9.33203125" style="70"/>
    <col min="8706" max="8706" width="6.6640625" style="70" customWidth="1"/>
    <col min="8707" max="8707" width="24.6640625" style="70" customWidth="1"/>
    <col min="8708" max="8708" width="13" style="70" customWidth="1"/>
    <col min="8709" max="8710" width="15.44140625" style="70" customWidth="1"/>
    <col min="8711" max="8711" width="11.44140625" style="70" customWidth="1"/>
    <col min="8712" max="8712" width="13" style="70" customWidth="1"/>
    <col min="8713" max="8714" width="14" style="70" customWidth="1"/>
    <col min="8715" max="8715" width="13.33203125" style="70" customWidth="1"/>
    <col min="8716" max="8716" width="14.6640625" style="70" customWidth="1"/>
    <col min="8717" max="8961" width="9.33203125" style="70"/>
    <col min="8962" max="8962" width="6.6640625" style="70" customWidth="1"/>
    <col min="8963" max="8963" width="24.6640625" style="70" customWidth="1"/>
    <col min="8964" max="8964" width="13" style="70" customWidth="1"/>
    <col min="8965" max="8966" width="15.44140625" style="70" customWidth="1"/>
    <col min="8967" max="8967" width="11.44140625" style="70" customWidth="1"/>
    <col min="8968" max="8968" width="13" style="70" customWidth="1"/>
    <col min="8969" max="8970" width="14" style="70" customWidth="1"/>
    <col min="8971" max="8971" width="13.33203125" style="70" customWidth="1"/>
    <col min="8972" max="8972" width="14.6640625" style="70" customWidth="1"/>
    <col min="8973" max="9217" width="9.33203125" style="70"/>
    <col min="9218" max="9218" width="6.6640625" style="70" customWidth="1"/>
    <col min="9219" max="9219" width="24.6640625" style="70" customWidth="1"/>
    <col min="9220" max="9220" width="13" style="70" customWidth="1"/>
    <col min="9221" max="9222" width="15.44140625" style="70" customWidth="1"/>
    <col min="9223" max="9223" width="11.44140625" style="70" customWidth="1"/>
    <col min="9224" max="9224" width="13" style="70" customWidth="1"/>
    <col min="9225" max="9226" width="14" style="70" customWidth="1"/>
    <col min="9227" max="9227" width="13.33203125" style="70" customWidth="1"/>
    <col min="9228" max="9228" width="14.6640625" style="70" customWidth="1"/>
    <col min="9229" max="9473" width="9.33203125" style="70"/>
    <col min="9474" max="9474" width="6.6640625" style="70" customWidth="1"/>
    <col min="9475" max="9475" width="24.6640625" style="70" customWidth="1"/>
    <col min="9476" max="9476" width="13" style="70" customWidth="1"/>
    <col min="9477" max="9478" width="15.44140625" style="70" customWidth="1"/>
    <col min="9479" max="9479" width="11.44140625" style="70" customWidth="1"/>
    <col min="9480" max="9480" width="13" style="70" customWidth="1"/>
    <col min="9481" max="9482" width="14" style="70" customWidth="1"/>
    <col min="9483" max="9483" width="13.33203125" style="70" customWidth="1"/>
    <col min="9484" max="9484" width="14.6640625" style="70" customWidth="1"/>
    <col min="9485" max="9729" width="9.33203125" style="70"/>
    <col min="9730" max="9730" width="6.6640625" style="70" customWidth="1"/>
    <col min="9731" max="9731" width="24.6640625" style="70" customWidth="1"/>
    <col min="9732" max="9732" width="13" style="70" customWidth="1"/>
    <col min="9733" max="9734" width="15.44140625" style="70" customWidth="1"/>
    <col min="9735" max="9735" width="11.44140625" style="70" customWidth="1"/>
    <col min="9736" max="9736" width="13" style="70" customWidth="1"/>
    <col min="9737" max="9738" width="14" style="70" customWidth="1"/>
    <col min="9739" max="9739" width="13.33203125" style="70" customWidth="1"/>
    <col min="9740" max="9740" width="14.6640625" style="70" customWidth="1"/>
    <col min="9741" max="9985" width="9.33203125" style="70"/>
    <col min="9986" max="9986" width="6.6640625" style="70" customWidth="1"/>
    <col min="9987" max="9987" width="24.6640625" style="70" customWidth="1"/>
    <col min="9988" max="9988" width="13" style="70" customWidth="1"/>
    <col min="9989" max="9990" width="15.44140625" style="70" customWidth="1"/>
    <col min="9991" max="9991" width="11.44140625" style="70" customWidth="1"/>
    <col min="9992" max="9992" width="13" style="70" customWidth="1"/>
    <col min="9993" max="9994" width="14" style="70" customWidth="1"/>
    <col min="9995" max="9995" width="13.33203125" style="70" customWidth="1"/>
    <col min="9996" max="9996" width="14.6640625" style="70" customWidth="1"/>
    <col min="9997" max="10241" width="9.33203125" style="70"/>
    <col min="10242" max="10242" width="6.6640625" style="70" customWidth="1"/>
    <col min="10243" max="10243" width="24.6640625" style="70" customWidth="1"/>
    <col min="10244" max="10244" width="13" style="70" customWidth="1"/>
    <col min="10245" max="10246" width="15.44140625" style="70" customWidth="1"/>
    <col min="10247" max="10247" width="11.44140625" style="70" customWidth="1"/>
    <col min="10248" max="10248" width="13" style="70" customWidth="1"/>
    <col min="10249" max="10250" width="14" style="70" customWidth="1"/>
    <col min="10251" max="10251" width="13.33203125" style="70" customWidth="1"/>
    <col min="10252" max="10252" width="14.6640625" style="70" customWidth="1"/>
    <col min="10253" max="10497" width="9.33203125" style="70"/>
    <col min="10498" max="10498" width="6.6640625" style="70" customWidth="1"/>
    <col min="10499" max="10499" width="24.6640625" style="70" customWidth="1"/>
    <col min="10500" max="10500" width="13" style="70" customWidth="1"/>
    <col min="10501" max="10502" width="15.44140625" style="70" customWidth="1"/>
    <col min="10503" max="10503" width="11.44140625" style="70" customWidth="1"/>
    <col min="10504" max="10504" width="13" style="70" customWidth="1"/>
    <col min="10505" max="10506" width="14" style="70" customWidth="1"/>
    <col min="10507" max="10507" width="13.33203125" style="70" customWidth="1"/>
    <col min="10508" max="10508" width="14.6640625" style="70" customWidth="1"/>
    <col min="10509" max="10753" width="9.33203125" style="70"/>
    <col min="10754" max="10754" width="6.6640625" style="70" customWidth="1"/>
    <col min="10755" max="10755" width="24.6640625" style="70" customWidth="1"/>
    <col min="10756" max="10756" width="13" style="70" customWidth="1"/>
    <col min="10757" max="10758" width="15.44140625" style="70" customWidth="1"/>
    <col min="10759" max="10759" width="11.44140625" style="70" customWidth="1"/>
    <col min="10760" max="10760" width="13" style="70" customWidth="1"/>
    <col min="10761" max="10762" width="14" style="70" customWidth="1"/>
    <col min="10763" max="10763" width="13.33203125" style="70" customWidth="1"/>
    <col min="10764" max="10764" width="14.6640625" style="70" customWidth="1"/>
    <col min="10765" max="11009" width="9.33203125" style="70"/>
    <col min="11010" max="11010" width="6.6640625" style="70" customWidth="1"/>
    <col min="11011" max="11011" width="24.6640625" style="70" customWidth="1"/>
    <col min="11012" max="11012" width="13" style="70" customWidth="1"/>
    <col min="11013" max="11014" width="15.44140625" style="70" customWidth="1"/>
    <col min="11015" max="11015" width="11.44140625" style="70" customWidth="1"/>
    <col min="11016" max="11016" width="13" style="70" customWidth="1"/>
    <col min="11017" max="11018" width="14" style="70" customWidth="1"/>
    <col min="11019" max="11019" width="13.33203125" style="70" customWidth="1"/>
    <col min="11020" max="11020" width="14.6640625" style="70" customWidth="1"/>
    <col min="11021" max="11265" width="9.33203125" style="70"/>
    <col min="11266" max="11266" width="6.6640625" style="70" customWidth="1"/>
    <col min="11267" max="11267" width="24.6640625" style="70" customWidth="1"/>
    <col min="11268" max="11268" width="13" style="70" customWidth="1"/>
    <col min="11269" max="11270" width="15.44140625" style="70" customWidth="1"/>
    <col min="11271" max="11271" width="11.44140625" style="70" customWidth="1"/>
    <col min="11272" max="11272" width="13" style="70" customWidth="1"/>
    <col min="11273" max="11274" width="14" style="70" customWidth="1"/>
    <col min="11275" max="11275" width="13.33203125" style="70" customWidth="1"/>
    <col min="11276" max="11276" width="14.6640625" style="70" customWidth="1"/>
    <col min="11277" max="11521" width="9.33203125" style="70"/>
    <col min="11522" max="11522" width="6.6640625" style="70" customWidth="1"/>
    <col min="11523" max="11523" width="24.6640625" style="70" customWidth="1"/>
    <col min="11524" max="11524" width="13" style="70" customWidth="1"/>
    <col min="11525" max="11526" width="15.44140625" style="70" customWidth="1"/>
    <col min="11527" max="11527" width="11.44140625" style="70" customWidth="1"/>
    <col min="11528" max="11528" width="13" style="70" customWidth="1"/>
    <col min="11529" max="11530" width="14" style="70" customWidth="1"/>
    <col min="11531" max="11531" width="13.33203125" style="70" customWidth="1"/>
    <col min="11532" max="11532" width="14.6640625" style="70" customWidth="1"/>
    <col min="11533" max="11777" width="9.33203125" style="70"/>
    <col min="11778" max="11778" width="6.6640625" style="70" customWidth="1"/>
    <col min="11779" max="11779" width="24.6640625" style="70" customWidth="1"/>
    <col min="11780" max="11780" width="13" style="70" customWidth="1"/>
    <col min="11781" max="11782" width="15.44140625" style="70" customWidth="1"/>
    <col min="11783" max="11783" width="11.44140625" style="70" customWidth="1"/>
    <col min="11784" max="11784" width="13" style="70" customWidth="1"/>
    <col min="11785" max="11786" width="14" style="70" customWidth="1"/>
    <col min="11787" max="11787" width="13.33203125" style="70" customWidth="1"/>
    <col min="11788" max="11788" width="14.6640625" style="70" customWidth="1"/>
    <col min="11789" max="12033" width="9.33203125" style="70"/>
    <col min="12034" max="12034" width="6.6640625" style="70" customWidth="1"/>
    <col min="12035" max="12035" width="24.6640625" style="70" customWidth="1"/>
    <col min="12036" max="12036" width="13" style="70" customWidth="1"/>
    <col min="12037" max="12038" width="15.44140625" style="70" customWidth="1"/>
    <col min="12039" max="12039" width="11.44140625" style="70" customWidth="1"/>
    <col min="12040" max="12040" width="13" style="70" customWidth="1"/>
    <col min="12041" max="12042" width="14" style="70" customWidth="1"/>
    <col min="12043" max="12043" width="13.33203125" style="70" customWidth="1"/>
    <col min="12044" max="12044" width="14.6640625" style="70" customWidth="1"/>
    <col min="12045" max="12289" width="9.33203125" style="70"/>
    <col min="12290" max="12290" width="6.6640625" style="70" customWidth="1"/>
    <col min="12291" max="12291" width="24.6640625" style="70" customWidth="1"/>
    <col min="12292" max="12292" width="13" style="70" customWidth="1"/>
    <col min="12293" max="12294" width="15.44140625" style="70" customWidth="1"/>
    <col min="12295" max="12295" width="11.44140625" style="70" customWidth="1"/>
    <col min="12296" max="12296" width="13" style="70" customWidth="1"/>
    <col min="12297" max="12298" width="14" style="70" customWidth="1"/>
    <col min="12299" max="12299" width="13.33203125" style="70" customWidth="1"/>
    <col min="12300" max="12300" width="14.6640625" style="70" customWidth="1"/>
    <col min="12301" max="12545" width="9.33203125" style="70"/>
    <col min="12546" max="12546" width="6.6640625" style="70" customWidth="1"/>
    <col min="12547" max="12547" width="24.6640625" style="70" customWidth="1"/>
    <col min="12548" max="12548" width="13" style="70" customWidth="1"/>
    <col min="12549" max="12550" width="15.44140625" style="70" customWidth="1"/>
    <col min="12551" max="12551" width="11.44140625" style="70" customWidth="1"/>
    <col min="12552" max="12552" width="13" style="70" customWidth="1"/>
    <col min="12553" max="12554" width="14" style="70" customWidth="1"/>
    <col min="12555" max="12555" width="13.33203125" style="70" customWidth="1"/>
    <col min="12556" max="12556" width="14.6640625" style="70" customWidth="1"/>
    <col min="12557" max="12801" width="9.33203125" style="70"/>
    <col min="12802" max="12802" width="6.6640625" style="70" customWidth="1"/>
    <col min="12803" max="12803" width="24.6640625" style="70" customWidth="1"/>
    <col min="12804" max="12804" width="13" style="70" customWidth="1"/>
    <col min="12805" max="12806" width="15.44140625" style="70" customWidth="1"/>
    <col min="12807" max="12807" width="11.44140625" style="70" customWidth="1"/>
    <col min="12808" max="12808" width="13" style="70" customWidth="1"/>
    <col min="12809" max="12810" width="14" style="70" customWidth="1"/>
    <col min="12811" max="12811" width="13.33203125" style="70" customWidth="1"/>
    <col min="12812" max="12812" width="14.6640625" style="70" customWidth="1"/>
    <col min="12813" max="13057" width="9.33203125" style="70"/>
    <col min="13058" max="13058" width="6.6640625" style="70" customWidth="1"/>
    <col min="13059" max="13059" width="24.6640625" style="70" customWidth="1"/>
    <col min="13060" max="13060" width="13" style="70" customWidth="1"/>
    <col min="13061" max="13062" width="15.44140625" style="70" customWidth="1"/>
    <col min="13063" max="13063" width="11.44140625" style="70" customWidth="1"/>
    <col min="13064" max="13064" width="13" style="70" customWidth="1"/>
    <col min="13065" max="13066" width="14" style="70" customWidth="1"/>
    <col min="13067" max="13067" width="13.33203125" style="70" customWidth="1"/>
    <col min="13068" max="13068" width="14.6640625" style="70" customWidth="1"/>
    <col min="13069" max="13313" width="9.33203125" style="70"/>
    <col min="13314" max="13314" width="6.6640625" style="70" customWidth="1"/>
    <col min="13315" max="13315" width="24.6640625" style="70" customWidth="1"/>
    <col min="13316" max="13316" width="13" style="70" customWidth="1"/>
    <col min="13317" max="13318" width="15.44140625" style="70" customWidth="1"/>
    <col min="13319" max="13319" width="11.44140625" style="70" customWidth="1"/>
    <col min="13320" max="13320" width="13" style="70" customWidth="1"/>
    <col min="13321" max="13322" width="14" style="70" customWidth="1"/>
    <col min="13323" max="13323" width="13.33203125" style="70" customWidth="1"/>
    <col min="13324" max="13324" width="14.6640625" style="70" customWidth="1"/>
    <col min="13325" max="13569" width="9.33203125" style="70"/>
    <col min="13570" max="13570" width="6.6640625" style="70" customWidth="1"/>
    <col min="13571" max="13571" width="24.6640625" style="70" customWidth="1"/>
    <col min="13572" max="13572" width="13" style="70" customWidth="1"/>
    <col min="13573" max="13574" width="15.44140625" style="70" customWidth="1"/>
    <col min="13575" max="13575" width="11.44140625" style="70" customWidth="1"/>
    <col min="13576" max="13576" width="13" style="70" customWidth="1"/>
    <col min="13577" max="13578" width="14" style="70" customWidth="1"/>
    <col min="13579" max="13579" width="13.33203125" style="70" customWidth="1"/>
    <col min="13580" max="13580" width="14.6640625" style="70" customWidth="1"/>
    <col min="13581" max="13825" width="9.33203125" style="70"/>
    <col min="13826" max="13826" width="6.6640625" style="70" customWidth="1"/>
    <col min="13827" max="13827" width="24.6640625" style="70" customWidth="1"/>
    <col min="13828" max="13828" width="13" style="70" customWidth="1"/>
    <col min="13829" max="13830" width="15.44140625" style="70" customWidth="1"/>
    <col min="13831" max="13831" width="11.44140625" style="70" customWidth="1"/>
    <col min="13832" max="13832" width="13" style="70" customWidth="1"/>
    <col min="13833" max="13834" width="14" style="70" customWidth="1"/>
    <col min="13835" max="13835" width="13.33203125" style="70" customWidth="1"/>
    <col min="13836" max="13836" width="14.6640625" style="70" customWidth="1"/>
    <col min="13837" max="14081" width="9.33203125" style="70"/>
    <col min="14082" max="14082" width="6.6640625" style="70" customWidth="1"/>
    <col min="14083" max="14083" width="24.6640625" style="70" customWidth="1"/>
    <col min="14084" max="14084" width="13" style="70" customWidth="1"/>
    <col min="14085" max="14086" width="15.44140625" style="70" customWidth="1"/>
    <col min="14087" max="14087" width="11.44140625" style="70" customWidth="1"/>
    <col min="14088" max="14088" width="13" style="70" customWidth="1"/>
    <col min="14089" max="14090" width="14" style="70" customWidth="1"/>
    <col min="14091" max="14091" width="13.33203125" style="70" customWidth="1"/>
    <col min="14092" max="14092" width="14.6640625" style="70" customWidth="1"/>
    <col min="14093" max="14337" width="9.33203125" style="70"/>
    <col min="14338" max="14338" width="6.6640625" style="70" customWidth="1"/>
    <col min="14339" max="14339" width="24.6640625" style="70" customWidth="1"/>
    <col min="14340" max="14340" width="13" style="70" customWidth="1"/>
    <col min="14341" max="14342" width="15.44140625" style="70" customWidth="1"/>
    <col min="14343" max="14343" width="11.44140625" style="70" customWidth="1"/>
    <col min="14344" max="14344" width="13" style="70" customWidth="1"/>
    <col min="14345" max="14346" width="14" style="70" customWidth="1"/>
    <col min="14347" max="14347" width="13.33203125" style="70" customWidth="1"/>
    <col min="14348" max="14348" width="14.6640625" style="70" customWidth="1"/>
    <col min="14349" max="14593" width="9.33203125" style="70"/>
    <col min="14594" max="14594" width="6.6640625" style="70" customWidth="1"/>
    <col min="14595" max="14595" width="24.6640625" style="70" customWidth="1"/>
    <col min="14596" max="14596" width="13" style="70" customWidth="1"/>
    <col min="14597" max="14598" width="15.44140625" style="70" customWidth="1"/>
    <col min="14599" max="14599" width="11.44140625" style="70" customWidth="1"/>
    <col min="14600" max="14600" width="13" style="70" customWidth="1"/>
    <col min="14601" max="14602" width="14" style="70" customWidth="1"/>
    <col min="14603" max="14603" width="13.33203125" style="70" customWidth="1"/>
    <col min="14604" max="14604" width="14.6640625" style="70" customWidth="1"/>
    <col min="14605" max="14849" width="9.33203125" style="70"/>
    <col min="14850" max="14850" width="6.6640625" style="70" customWidth="1"/>
    <col min="14851" max="14851" width="24.6640625" style="70" customWidth="1"/>
    <col min="14852" max="14852" width="13" style="70" customWidth="1"/>
    <col min="14853" max="14854" width="15.44140625" style="70" customWidth="1"/>
    <col min="14855" max="14855" width="11.44140625" style="70" customWidth="1"/>
    <col min="14856" max="14856" width="13" style="70" customWidth="1"/>
    <col min="14857" max="14858" width="14" style="70" customWidth="1"/>
    <col min="14859" max="14859" width="13.33203125" style="70" customWidth="1"/>
    <col min="14860" max="14860" width="14.6640625" style="70" customWidth="1"/>
    <col min="14861" max="15105" width="9.33203125" style="70"/>
    <col min="15106" max="15106" width="6.6640625" style="70" customWidth="1"/>
    <col min="15107" max="15107" width="24.6640625" style="70" customWidth="1"/>
    <col min="15108" max="15108" width="13" style="70" customWidth="1"/>
    <col min="15109" max="15110" width="15.44140625" style="70" customWidth="1"/>
    <col min="15111" max="15111" width="11.44140625" style="70" customWidth="1"/>
    <col min="15112" max="15112" width="13" style="70" customWidth="1"/>
    <col min="15113" max="15114" width="14" style="70" customWidth="1"/>
    <col min="15115" max="15115" width="13.33203125" style="70" customWidth="1"/>
    <col min="15116" max="15116" width="14.6640625" style="70" customWidth="1"/>
    <col min="15117" max="15361" width="9.33203125" style="70"/>
    <col min="15362" max="15362" width="6.6640625" style="70" customWidth="1"/>
    <col min="15363" max="15363" width="24.6640625" style="70" customWidth="1"/>
    <col min="15364" max="15364" width="13" style="70" customWidth="1"/>
    <col min="15365" max="15366" width="15.44140625" style="70" customWidth="1"/>
    <col min="15367" max="15367" width="11.44140625" style="70" customWidth="1"/>
    <col min="15368" max="15368" width="13" style="70" customWidth="1"/>
    <col min="15369" max="15370" width="14" style="70" customWidth="1"/>
    <col min="15371" max="15371" width="13.33203125" style="70" customWidth="1"/>
    <col min="15372" max="15372" width="14.6640625" style="70" customWidth="1"/>
    <col min="15373" max="15617" width="9.33203125" style="70"/>
    <col min="15618" max="15618" width="6.6640625" style="70" customWidth="1"/>
    <col min="15619" max="15619" width="24.6640625" style="70" customWidth="1"/>
    <col min="15620" max="15620" width="13" style="70" customWidth="1"/>
    <col min="15621" max="15622" width="15.44140625" style="70" customWidth="1"/>
    <col min="15623" max="15623" width="11.44140625" style="70" customWidth="1"/>
    <col min="15624" max="15624" width="13" style="70" customWidth="1"/>
    <col min="15625" max="15626" width="14" style="70" customWidth="1"/>
    <col min="15627" max="15627" width="13.33203125" style="70" customWidth="1"/>
    <col min="15628" max="15628" width="14.6640625" style="70" customWidth="1"/>
    <col min="15629" max="15873" width="9.33203125" style="70"/>
    <col min="15874" max="15874" width="6.6640625" style="70" customWidth="1"/>
    <col min="15875" max="15875" width="24.6640625" style="70" customWidth="1"/>
    <col min="15876" max="15876" width="13" style="70" customWidth="1"/>
    <col min="15877" max="15878" width="15.44140625" style="70" customWidth="1"/>
    <col min="15879" max="15879" width="11.44140625" style="70" customWidth="1"/>
    <col min="15880" max="15880" width="13" style="70" customWidth="1"/>
    <col min="15881" max="15882" width="14" style="70" customWidth="1"/>
    <col min="15883" max="15883" width="13.33203125" style="70" customWidth="1"/>
    <col min="15884" max="15884" width="14.6640625" style="70" customWidth="1"/>
    <col min="15885" max="16129" width="9.33203125" style="70"/>
    <col min="16130" max="16130" width="6.6640625" style="70" customWidth="1"/>
    <col min="16131" max="16131" width="24.6640625" style="70" customWidth="1"/>
    <col min="16132" max="16132" width="13" style="70" customWidth="1"/>
    <col min="16133" max="16134" width="15.44140625" style="70" customWidth="1"/>
    <col min="16135" max="16135" width="11.44140625" style="70" customWidth="1"/>
    <col min="16136" max="16136" width="13" style="70" customWidth="1"/>
    <col min="16137" max="16138" width="14" style="70" customWidth="1"/>
    <col min="16139" max="16139" width="13.33203125" style="70" customWidth="1"/>
    <col min="16140" max="16140" width="14.6640625" style="70" customWidth="1"/>
    <col min="16141" max="16384" width="9.33203125" style="70"/>
  </cols>
  <sheetData>
    <row r="1" spans="1:12" ht="33" customHeight="1">
      <c r="A1" s="910" t="s">
        <v>529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</row>
    <row r="2" spans="1:12" ht="13.8">
      <c r="A2" s="71"/>
      <c r="B2" s="72"/>
      <c r="C2" s="72"/>
      <c r="D2" s="73"/>
      <c r="E2" s="74"/>
      <c r="F2" s="74"/>
      <c r="G2" s="75"/>
      <c r="H2" s="75"/>
      <c r="I2" s="74"/>
    </row>
    <row r="3" spans="1:12" ht="13.8">
      <c r="A3" s="71"/>
      <c r="B3" s="76"/>
      <c r="C3" s="76"/>
      <c r="D3" s="246"/>
      <c r="E3" s="244"/>
      <c r="F3" s="244"/>
      <c r="G3" s="73"/>
      <c r="H3" s="73"/>
      <c r="I3" s="73"/>
      <c r="L3" s="95" t="s">
        <v>1</v>
      </c>
    </row>
    <row r="4" spans="1:12" s="79" customFormat="1" ht="69.75" customHeight="1">
      <c r="A4" s="455" t="s">
        <v>407</v>
      </c>
      <c r="B4" s="455" t="s">
        <v>454</v>
      </c>
      <c r="C4" s="455" t="s">
        <v>455</v>
      </c>
      <c r="D4" s="455" t="s">
        <v>742</v>
      </c>
      <c r="E4" s="455" t="s">
        <v>456</v>
      </c>
      <c r="F4" s="455" t="s">
        <v>457</v>
      </c>
      <c r="G4" s="456" t="s">
        <v>458</v>
      </c>
      <c r="H4" s="456" t="s">
        <v>427</v>
      </c>
      <c r="I4" s="247" t="s">
        <v>459</v>
      </c>
      <c r="J4" s="457" t="s">
        <v>189</v>
      </c>
      <c r="K4" s="457" t="s">
        <v>743</v>
      </c>
      <c r="L4" s="247" t="s">
        <v>460</v>
      </c>
    </row>
    <row r="5" spans="1:12" ht="31.5" customHeight="1">
      <c r="A5" s="458" t="s">
        <v>10</v>
      </c>
      <c r="B5" s="459" t="s">
        <v>463</v>
      </c>
      <c r="C5" s="525" t="s">
        <v>464</v>
      </c>
      <c r="D5" s="461"/>
      <c r="E5" s="462"/>
      <c r="F5" s="462"/>
      <c r="G5" s="463"/>
      <c r="H5" s="463"/>
      <c r="I5" s="462"/>
      <c r="J5" s="464">
        <v>0</v>
      </c>
      <c r="K5" s="464">
        <f>'11.sz.mell'!F37</f>
        <v>27195291</v>
      </c>
      <c r="L5" s="464">
        <f>SUM(D5:K5)</f>
        <v>27195291</v>
      </c>
    </row>
    <row r="6" spans="1:12" s="80" customFormat="1" ht="31.5" customHeight="1">
      <c r="A6" s="455" t="s">
        <v>13</v>
      </c>
      <c r="B6" s="465" t="s">
        <v>857</v>
      </c>
      <c r="C6" s="526"/>
      <c r="D6" s="467"/>
      <c r="E6" s="468"/>
      <c r="F6" s="468"/>
      <c r="G6" s="469"/>
      <c r="H6" s="469"/>
      <c r="I6" s="468"/>
      <c r="J6" s="470">
        <v>788326</v>
      </c>
      <c r="K6" s="470">
        <v>29873320</v>
      </c>
      <c r="L6" s="470">
        <f t="shared" ref="L6:L7" si="0">SUM(D6:K6)</f>
        <v>30661646</v>
      </c>
    </row>
    <row r="7" spans="1:12" s="80" customFormat="1" ht="31.5" customHeight="1">
      <c r="A7" s="455" t="s">
        <v>16</v>
      </c>
      <c r="B7" s="465" t="s">
        <v>1004</v>
      </c>
      <c r="C7" s="526"/>
      <c r="D7" s="467"/>
      <c r="E7" s="468"/>
      <c r="F7" s="468"/>
      <c r="G7" s="469"/>
      <c r="H7" s="469"/>
      <c r="I7" s="468"/>
      <c r="J7" s="470">
        <v>788326</v>
      </c>
      <c r="K7" s="470">
        <v>18875468</v>
      </c>
      <c r="L7" s="470">
        <f t="shared" si="0"/>
        <v>19663794</v>
      </c>
    </row>
    <row r="8" spans="1:12" ht="39" customHeight="1">
      <c r="A8" s="458" t="s">
        <v>19</v>
      </c>
      <c r="B8" s="459" t="s">
        <v>745</v>
      </c>
      <c r="C8" s="525" t="s">
        <v>744</v>
      </c>
      <c r="D8" s="461">
        <f>'11.sz.mell'!F8</f>
        <v>640402</v>
      </c>
      <c r="E8" s="462"/>
      <c r="F8" s="462"/>
      <c r="G8" s="463"/>
      <c r="H8" s="463"/>
      <c r="I8" s="462"/>
      <c r="J8" s="464"/>
      <c r="K8" s="464"/>
      <c r="L8" s="464">
        <f>SUM(D8:K8)</f>
        <v>640402</v>
      </c>
    </row>
    <row r="9" spans="1:12" s="80" customFormat="1" ht="31.5" customHeight="1">
      <c r="A9" s="455" t="s">
        <v>22</v>
      </c>
      <c r="B9" s="465" t="s">
        <v>857</v>
      </c>
      <c r="C9" s="526"/>
      <c r="D9" s="467">
        <v>7381113</v>
      </c>
      <c r="E9" s="468"/>
      <c r="F9" s="468">
        <v>0</v>
      </c>
      <c r="G9" s="469"/>
      <c r="H9" s="469"/>
      <c r="I9" s="468"/>
      <c r="J9" s="470"/>
      <c r="K9" s="470"/>
      <c r="L9" s="470">
        <f t="shared" ref="L9:L10" si="1">SUM(D9:K9)</f>
        <v>7381113</v>
      </c>
    </row>
    <row r="10" spans="1:12" s="80" customFormat="1" ht="31.5" customHeight="1">
      <c r="A10" s="455" t="s">
        <v>25</v>
      </c>
      <c r="B10" s="465" t="s">
        <v>1004</v>
      </c>
      <c r="C10" s="526"/>
      <c r="D10" s="467">
        <v>2555032</v>
      </c>
      <c r="E10" s="468"/>
      <c r="F10" s="468">
        <v>0</v>
      </c>
      <c r="G10" s="469"/>
      <c r="H10" s="469"/>
      <c r="I10" s="468"/>
      <c r="J10" s="470"/>
      <c r="K10" s="470"/>
      <c r="L10" s="470">
        <f t="shared" si="1"/>
        <v>2555032</v>
      </c>
    </row>
    <row r="11" spans="1:12" ht="31.5" customHeight="1">
      <c r="A11" s="458" t="s">
        <v>28</v>
      </c>
      <c r="B11" s="459" t="s">
        <v>747</v>
      </c>
      <c r="C11" s="525" t="s">
        <v>746</v>
      </c>
      <c r="D11" s="461"/>
      <c r="E11" s="462"/>
      <c r="F11" s="462">
        <f>'11.sz.mell'!F17</f>
        <v>700000</v>
      </c>
      <c r="G11" s="463"/>
      <c r="H11" s="463"/>
      <c r="I11" s="462"/>
      <c r="J11" s="464"/>
      <c r="K11" s="464"/>
      <c r="L11" s="464">
        <f>SUM(D11:K11)</f>
        <v>700000</v>
      </c>
    </row>
    <row r="12" spans="1:12" s="80" customFormat="1" ht="31.5" customHeight="1">
      <c r="A12" s="455" t="s">
        <v>31</v>
      </c>
      <c r="B12" s="465" t="s">
        <v>857</v>
      </c>
      <c r="C12" s="526"/>
      <c r="D12" s="467"/>
      <c r="E12" s="468"/>
      <c r="F12" s="468">
        <v>965483</v>
      </c>
      <c r="G12" s="469"/>
      <c r="H12" s="469">
        <v>45000</v>
      </c>
      <c r="I12" s="468"/>
      <c r="J12" s="470"/>
      <c r="K12" s="470"/>
      <c r="L12" s="470">
        <f t="shared" ref="L12:L13" si="2">SUM(D12:K12)</f>
        <v>1010483</v>
      </c>
    </row>
    <row r="13" spans="1:12" s="80" customFormat="1" ht="31.5" customHeight="1">
      <c r="A13" s="455" t="s">
        <v>34</v>
      </c>
      <c r="B13" s="465" t="s">
        <v>1004</v>
      </c>
      <c r="C13" s="526"/>
      <c r="D13" s="467"/>
      <c r="E13" s="468"/>
      <c r="F13" s="468">
        <v>887308</v>
      </c>
      <c r="G13" s="469"/>
      <c r="H13" s="469">
        <v>45000</v>
      </c>
      <c r="I13" s="468"/>
      <c r="J13" s="470"/>
      <c r="K13" s="470"/>
      <c r="L13" s="470">
        <f t="shared" si="2"/>
        <v>932308</v>
      </c>
    </row>
    <row r="14" spans="1:12" s="80" customFormat="1" ht="33" customHeight="1">
      <c r="A14" s="458" t="s">
        <v>37</v>
      </c>
      <c r="B14" s="472" t="s">
        <v>1015</v>
      </c>
      <c r="C14" s="473"/>
      <c r="D14" s="472">
        <f>D13+D10+D7</f>
        <v>2555032</v>
      </c>
      <c r="E14" s="472">
        <f t="shared" ref="E14:L14" si="3">E13+E10+E7</f>
        <v>0</v>
      </c>
      <c r="F14" s="472">
        <f t="shared" si="3"/>
        <v>887308</v>
      </c>
      <c r="G14" s="472">
        <f t="shared" si="3"/>
        <v>0</v>
      </c>
      <c r="H14" s="472">
        <f t="shared" si="3"/>
        <v>45000</v>
      </c>
      <c r="I14" s="472">
        <f t="shared" si="3"/>
        <v>0</v>
      </c>
      <c r="J14" s="472">
        <f t="shared" si="3"/>
        <v>788326</v>
      </c>
      <c r="K14" s="472">
        <f t="shared" si="3"/>
        <v>18875468</v>
      </c>
      <c r="L14" s="472">
        <f t="shared" si="3"/>
        <v>23151134</v>
      </c>
    </row>
    <row r="15" spans="1:12" s="669" customFormat="1" ht="21" customHeight="1">
      <c r="A15" s="455" t="s">
        <v>39</v>
      </c>
      <c r="B15" s="670" t="s">
        <v>1016</v>
      </c>
      <c r="C15" s="670"/>
      <c r="D15" s="670">
        <f>D6+D9+D12</f>
        <v>7381113</v>
      </c>
      <c r="E15" s="670">
        <f t="shared" ref="E15:L15" si="4">E6+E9+E12</f>
        <v>0</v>
      </c>
      <c r="F15" s="670">
        <f t="shared" si="4"/>
        <v>965483</v>
      </c>
      <c r="G15" s="670">
        <f t="shared" si="4"/>
        <v>0</v>
      </c>
      <c r="H15" s="670">
        <f t="shared" si="4"/>
        <v>45000</v>
      </c>
      <c r="I15" s="670">
        <f t="shared" si="4"/>
        <v>0</v>
      </c>
      <c r="J15" s="670">
        <f t="shared" si="4"/>
        <v>788326</v>
      </c>
      <c r="K15" s="670">
        <f t="shared" si="4"/>
        <v>29873320</v>
      </c>
      <c r="L15" s="670">
        <f t="shared" si="4"/>
        <v>39053242</v>
      </c>
    </row>
    <row r="16" spans="1:12" ht="42" customHeight="1">
      <c r="A16" s="81"/>
      <c r="B16" s="84"/>
      <c r="C16" s="85"/>
      <c r="D16" s="86"/>
      <c r="E16" s="83"/>
      <c r="F16" s="83"/>
      <c r="G16" s="82"/>
      <c r="H16" s="82"/>
      <c r="I16" s="82"/>
    </row>
    <row r="17" spans="1:9" ht="42" customHeight="1">
      <c r="A17" s="87"/>
      <c r="B17" s="88"/>
      <c r="C17" s="89"/>
      <c r="D17" s="90"/>
      <c r="E17" s="74"/>
      <c r="F17" s="74"/>
      <c r="G17" s="75"/>
      <c r="H17" s="75"/>
      <c r="I17" s="75"/>
    </row>
    <row r="18" spans="1:9" ht="13.8">
      <c r="A18" s="71"/>
      <c r="B18" s="72"/>
      <c r="C18" s="72"/>
      <c r="D18" s="73"/>
      <c r="E18" s="73"/>
      <c r="F18" s="73"/>
      <c r="G18" s="73"/>
      <c r="H18" s="73"/>
      <c r="I18" s="73"/>
    </row>
    <row r="19" spans="1:9" s="92" customFormat="1" ht="13.8">
      <c r="A19" s="71"/>
      <c r="B19" s="72"/>
      <c r="C19" s="72"/>
      <c r="D19" s="73"/>
      <c r="E19" s="74"/>
      <c r="F19" s="91"/>
      <c r="G19" s="91"/>
      <c r="H19" s="91"/>
      <c r="I19" s="91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22/2017. (XII.04.)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view="pageLayout" topLeftCell="C1" workbookViewId="0">
      <selection activeCell="K3" sqref="K3:M3"/>
    </sheetView>
  </sheetViews>
  <sheetFormatPr defaultRowHeight="13.2"/>
  <cols>
    <col min="1" max="1" width="5.77734375" style="93" customWidth="1"/>
    <col min="2" max="2" width="22.33203125" style="70" customWidth="1"/>
    <col min="3" max="3" width="13" style="70" customWidth="1"/>
    <col min="4" max="4" width="12.77734375" style="94" customWidth="1"/>
    <col min="5" max="5" width="15.44140625" style="94" customWidth="1"/>
    <col min="6" max="6" width="11.21875" style="94" customWidth="1"/>
    <col min="7" max="7" width="13.33203125" style="94" customWidth="1"/>
    <col min="8" max="9" width="14" style="94" customWidth="1"/>
    <col min="10" max="10" width="13.33203125" style="70" customWidth="1"/>
    <col min="11" max="11" width="12.33203125" style="70" customWidth="1"/>
    <col min="12" max="12" width="14.33203125" style="70" customWidth="1"/>
    <col min="13" max="13" width="15.21875" style="70" customWidth="1"/>
    <col min="14" max="256" width="9.33203125" style="70"/>
    <col min="257" max="257" width="5.77734375" style="70" customWidth="1"/>
    <col min="258" max="258" width="22.33203125" style="70" customWidth="1"/>
    <col min="259" max="259" width="13" style="70" customWidth="1"/>
    <col min="260" max="260" width="11" style="70" customWidth="1"/>
    <col min="261" max="261" width="15.44140625" style="70" customWidth="1"/>
    <col min="262" max="262" width="11.21875" style="70" customWidth="1"/>
    <col min="263" max="263" width="13.33203125" style="70" customWidth="1"/>
    <col min="264" max="265" width="14" style="70" customWidth="1"/>
    <col min="266" max="266" width="13.33203125" style="70" customWidth="1"/>
    <col min="267" max="267" width="12.33203125" style="70" customWidth="1"/>
    <col min="268" max="268" width="14.33203125" style="70" customWidth="1"/>
    <col min="269" max="269" width="15.21875" style="70" customWidth="1"/>
    <col min="270" max="512" width="9.33203125" style="70"/>
    <col min="513" max="513" width="5.77734375" style="70" customWidth="1"/>
    <col min="514" max="514" width="22.33203125" style="70" customWidth="1"/>
    <col min="515" max="515" width="13" style="70" customWidth="1"/>
    <col min="516" max="516" width="11" style="70" customWidth="1"/>
    <col min="517" max="517" width="15.44140625" style="70" customWidth="1"/>
    <col min="518" max="518" width="11.21875" style="70" customWidth="1"/>
    <col min="519" max="519" width="13.33203125" style="70" customWidth="1"/>
    <col min="520" max="521" width="14" style="70" customWidth="1"/>
    <col min="522" max="522" width="13.33203125" style="70" customWidth="1"/>
    <col min="523" max="523" width="12.33203125" style="70" customWidth="1"/>
    <col min="524" max="524" width="14.33203125" style="70" customWidth="1"/>
    <col min="525" max="525" width="15.21875" style="70" customWidth="1"/>
    <col min="526" max="768" width="9.33203125" style="70"/>
    <col min="769" max="769" width="5.77734375" style="70" customWidth="1"/>
    <col min="770" max="770" width="22.33203125" style="70" customWidth="1"/>
    <col min="771" max="771" width="13" style="70" customWidth="1"/>
    <col min="772" max="772" width="11" style="70" customWidth="1"/>
    <col min="773" max="773" width="15.44140625" style="70" customWidth="1"/>
    <col min="774" max="774" width="11.21875" style="70" customWidth="1"/>
    <col min="775" max="775" width="13.33203125" style="70" customWidth="1"/>
    <col min="776" max="777" width="14" style="70" customWidth="1"/>
    <col min="778" max="778" width="13.33203125" style="70" customWidth="1"/>
    <col min="779" max="779" width="12.33203125" style="70" customWidth="1"/>
    <col min="780" max="780" width="14.33203125" style="70" customWidth="1"/>
    <col min="781" max="781" width="15.21875" style="70" customWidth="1"/>
    <col min="782" max="1024" width="9.33203125" style="70"/>
    <col min="1025" max="1025" width="5.77734375" style="70" customWidth="1"/>
    <col min="1026" max="1026" width="22.33203125" style="70" customWidth="1"/>
    <col min="1027" max="1027" width="13" style="70" customWidth="1"/>
    <col min="1028" max="1028" width="11" style="70" customWidth="1"/>
    <col min="1029" max="1029" width="15.44140625" style="70" customWidth="1"/>
    <col min="1030" max="1030" width="11.21875" style="70" customWidth="1"/>
    <col min="1031" max="1031" width="13.33203125" style="70" customWidth="1"/>
    <col min="1032" max="1033" width="14" style="70" customWidth="1"/>
    <col min="1034" max="1034" width="13.33203125" style="70" customWidth="1"/>
    <col min="1035" max="1035" width="12.33203125" style="70" customWidth="1"/>
    <col min="1036" max="1036" width="14.33203125" style="70" customWidth="1"/>
    <col min="1037" max="1037" width="15.21875" style="70" customWidth="1"/>
    <col min="1038" max="1280" width="9.33203125" style="70"/>
    <col min="1281" max="1281" width="5.77734375" style="70" customWidth="1"/>
    <col min="1282" max="1282" width="22.33203125" style="70" customWidth="1"/>
    <col min="1283" max="1283" width="13" style="70" customWidth="1"/>
    <col min="1284" max="1284" width="11" style="70" customWidth="1"/>
    <col min="1285" max="1285" width="15.44140625" style="70" customWidth="1"/>
    <col min="1286" max="1286" width="11.21875" style="70" customWidth="1"/>
    <col min="1287" max="1287" width="13.33203125" style="70" customWidth="1"/>
    <col min="1288" max="1289" width="14" style="70" customWidth="1"/>
    <col min="1290" max="1290" width="13.33203125" style="70" customWidth="1"/>
    <col min="1291" max="1291" width="12.33203125" style="70" customWidth="1"/>
    <col min="1292" max="1292" width="14.33203125" style="70" customWidth="1"/>
    <col min="1293" max="1293" width="15.21875" style="70" customWidth="1"/>
    <col min="1294" max="1536" width="9.33203125" style="70"/>
    <col min="1537" max="1537" width="5.77734375" style="70" customWidth="1"/>
    <col min="1538" max="1538" width="22.33203125" style="70" customWidth="1"/>
    <col min="1539" max="1539" width="13" style="70" customWidth="1"/>
    <col min="1540" max="1540" width="11" style="70" customWidth="1"/>
    <col min="1541" max="1541" width="15.44140625" style="70" customWidth="1"/>
    <col min="1542" max="1542" width="11.21875" style="70" customWidth="1"/>
    <col min="1543" max="1543" width="13.33203125" style="70" customWidth="1"/>
    <col min="1544" max="1545" width="14" style="70" customWidth="1"/>
    <col min="1546" max="1546" width="13.33203125" style="70" customWidth="1"/>
    <col min="1547" max="1547" width="12.33203125" style="70" customWidth="1"/>
    <col min="1548" max="1548" width="14.33203125" style="70" customWidth="1"/>
    <col min="1549" max="1549" width="15.21875" style="70" customWidth="1"/>
    <col min="1550" max="1792" width="9.33203125" style="70"/>
    <col min="1793" max="1793" width="5.77734375" style="70" customWidth="1"/>
    <col min="1794" max="1794" width="22.33203125" style="70" customWidth="1"/>
    <col min="1795" max="1795" width="13" style="70" customWidth="1"/>
    <col min="1796" max="1796" width="11" style="70" customWidth="1"/>
    <col min="1797" max="1797" width="15.44140625" style="70" customWidth="1"/>
    <col min="1798" max="1798" width="11.21875" style="70" customWidth="1"/>
    <col min="1799" max="1799" width="13.33203125" style="70" customWidth="1"/>
    <col min="1800" max="1801" width="14" style="70" customWidth="1"/>
    <col min="1802" max="1802" width="13.33203125" style="70" customWidth="1"/>
    <col min="1803" max="1803" width="12.33203125" style="70" customWidth="1"/>
    <col min="1804" max="1804" width="14.33203125" style="70" customWidth="1"/>
    <col min="1805" max="1805" width="15.21875" style="70" customWidth="1"/>
    <col min="1806" max="2048" width="9.33203125" style="70"/>
    <col min="2049" max="2049" width="5.77734375" style="70" customWidth="1"/>
    <col min="2050" max="2050" width="22.33203125" style="70" customWidth="1"/>
    <col min="2051" max="2051" width="13" style="70" customWidth="1"/>
    <col min="2052" max="2052" width="11" style="70" customWidth="1"/>
    <col min="2053" max="2053" width="15.44140625" style="70" customWidth="1"/>
    <col min="2054" max="2054" width="11.21875" style="70" customWidth="1"/>
    <col min="2055" max="2055" width="13.33203125" style="70" customWidth="1"/>
    <col min="2056" max="2057" width="14" style="70" customWidth="1"/>
    <col min="2058" max="2058" width="13.33203125" style="70" customWidth="1"/>
    <col min="2059" max="2059" width="12.33203125" style="70" customWidth="1"/>
    <col min="2060" max="2060" width="14.33203125" style="70" customWidth="1"/>
    <col min="2061" max="2061" width="15.21875" style="70" customWidth="1"/>
    <col min="2062" max="2304" width="9.33203125" style="70"/>
    <col min="2305" max="2305" width="5.77734375" style="70" customWidth="1"/>
    <col min="2306" max="2306" width="22.33203125" style="70" customWidth="1"/>
    <col min="2307" max="2307" width="13" style="70" customWidth="1"/>
    <col min="2308" max="2308" width="11" style="70" customWidth="1"/>
    <col min="2309" max="2309" width="15.44140625" style="70" customWidth="1"/>
    <col min="2310" max="2310" width="11.21875" style="70" customWidth="1"/>
    <col min="2311" max="2311" width="13.33203125" style="70" customWidth="1"/>
    <col min="2312" max="2313" width="14" style="70" customWidth="1"/>
    <col min="2314" max="2314" width="13.33203125" style="70" customWidth="1"/>
    <col min="2315" max="2315" width="12.33203125" style="70" customWidth="1"/>
    <col min="2316" max="2316" width="14.33203125" style="70" customWidth="1"/>
    <col min="2317" max="2317" width="15.21875" style="70" customWidth="1"/>
    <col min="2318" max="2560" width="9.33203125" style="70"/>
    <col min="2561" max="2561" width="5.77734375" style="70" customWidth="1"/>
    <col min="2562" max="2562" width="22.33203125" style="70" customWidth="1"/>
    <col min="2563" max="2563" width="13" style="70" customWidth="1"/>
    <col min="2564" max="2564" width="11" style="70" customWidth="1"/>
    <col min="2565" max="2565" width="15.44140625" style="70" customWidth="1"/>
    <col min="2566" max="2566" width="11.21875" style="70" customWidth="1"/>
    <col min="2567" max="2567" width="13.33203125" style="70" customWidth="1"/>
    <col min="2568" max="2569" width="14" style="70" customWidth="1"/>
    <col min="2570" max="2570" width="13.33203125" style="70" customWidth="1"/>
    <col min="2571" max="2571" width="12.33203125" style="70" customWidth="1"/>
    <col min="2572" max="2572" width="14.33203125" style="70" customWidth="1"/>
    <col min="2573" max="2573" width="15.21875" style="70" customWidth="1"/>
    <col min="2574" max="2816" width="9.33203125" style="70"/>
    <col min="2817" max="2817" width="5.77734375" style="70" customWidth="1"/>
    <col min="2818" max="2818" width="22.33203125" style="70" customWidth="1"/>
    <col min="2819" max="2819" width="13" style="70" customWidth="1"/>
    <col min="2820" max="2820" width="11" style="70" customWidth="1"/>
    <col min="2821" max="2821" width="15.44140625" style="70" customWidth="1"/>
    <col min="2822" max="2822" width="11.21875" style="70" customWidth="1"/>
    <col min="2823" max="2823" width="13.33203125" style="70" customWidth="1"/>
    <col min="2824" max="2825" width="14" style="70" customWidth="1"/>
    <col min="2826" max="2826" width="13.33203125" style="70" customWidth="1"/>
    <col min="2827" max="2827" width="12.33203125" style="70" customWidth="1"/>
    <col min="2828" max="2828" width="14.33203125" style="70" customWidth="1"/>
    <col min="2829" max="2829" width="15.21875" style="70" customWidth="1"/>
    <col min="2830" max="3072" width="9.33203125" style="70"/>
    <col min="3073" max="3073" width="5.77734375" style="70" customWidth="1"/>
    <col min="3074" max="3074" width="22.33203125" style="70" customWidth="1"/>
    <col min="3075" max="3075" width="13" style="70" customWidth="1"/>
    <col min="3076" max="3076" width="11" style="70" customWidth="1"/>
    <col min="3077" max="3077" width="15.44140625" style="70" customWidth="1"/>
    <col min="3078" max="3078" width="11.21875" style="70" customWidth="1"/>
    <col min="3079" max="3079" width="13.33203125" style="70" customWidth="1"/>
    <col min="3080" max="3081" width="14" style="70" customWidth="1"/>
    <col min="3082" max="3082" width="13.33203125" style="70" customWidth="1"/>
    <col min="3083" max="3083" width="12.33203125" style="70" customWidth="1"/>
    <col min="3084" max="3084" width="14.33203125" style="70" customWidth="1"/>
    <col min="3085" max="3085" width="15.21875" style="70" customWidth="1"/>
    <col min="3086" max="3328" width="9.33203125" style="70"/>
    <col min="3329" max="3329" width="5.77734375" style="70" customWidth="1"/>
    <col min="3330" max="3330" width="22.33203125" style="70" customWidth="1"/>
    <col min="3331" max="3331" width="13" style="70" customWidth="1"/>
    <col min="3332" max="3332" width="11" style="70" customWidth="1"/>
    <col min="3333" max="3333" width="15.44140625" style="70" customWidth="1"/>
    <col min="3334" max="3334" width="11.21875" style="70" customWidth="1"/>
    <col min="3335" max="3335" width="13.33203125" style="70" customWidth="1"/>
    <col min="3336" max="3337" width="14" style="70" customWidth="1"/>
    <col min="3338" max="3338" width="13.33203125" style="70" customWidth="1"/>
    <col min="3339" max="3339" width="12.33203125" style="70" customWidth="1"/>
    <col min="3340" max="3340" width="14.33203125" style="70" customWidth="1"/>
    <col min="3341" max="3341" width="15.21875" style="70" customWidth="1"/>
    <col min="3342" max="3584" width="9.33203125" style="70"/>
    <col min="3585" max="3585" width="5.77734375" style="70" customWidth="1"/>
    <col min="3586" max="3586" width="22.33203125" style="70" customWidth="1"/>
    <col min="3587" max="3587" width="13" style="70" customWidth="1"/>
    <col min="3588" max="3588" width="11" style="70" customWidth="1"/>
    <col min="3589" max="3589" width="15.44140625" style="70" customWidth="1"/>
    <col min="3590" max="3590" width="11.21875" style="70" customWidth="1"/>
    <col min="3591" max="3591" width="13.33203125" style="70" customWidth="1"/>
    <col min="3592" max="3593" width="14" style="70" customWidth="1"/>
    <col min="3594" max="3594" width="13.33203125" style="70" customWidth="1"/>
    <col min="3595" max="3595" width="12.33203125" style="70" customWidth="1"/>
    <col min="3596" max="3596" width="14.33203125" style="70" customWidth="1"/>
    <col min="3597" max="3597" width="15.21875" style="70" customWidth="1"/>
    <col min="3598" max="3840" width="9.33203125" style="70"/>
    <col min="3841" max="3841" width="5.77734375" style="70" customWidth="1"/>
    <col min="3842" max="3842" width="22.33203125" style="70" customWidth="1"/>
    <col min="3843" max="3843" width="13" style="70" customWidth="1"/>
    <col min="3844" max="3844" width="11" style="70" customWidth="1"/>
    <col min="3845" max="3845" width="15.44140625" style="70" customWidth="1"/>
    <col min="3846" max="3846" width="11.21875" style="70" customWidth="1"/>
    <col min="3847" max="3847" width="13.33203125" style="70" customWidth="1"/>
    <col min="3848" max="3849" width="14" style="70" customWidth="1"/>
    <col min="3850" max="3850" width="13.33203125" style="70" customWidth="1"/>
    <col min="3851" max="3851" width="12.33203125" style="70" customWidth="1"/>
    <col min="3852" max="3852" width="14.33203125" style="70" customWidth="1"/>
    <col min="3853" max="3853" width="15.21875" style="70" customWidth="1"/>
    <col min="3854" max="4096" width="9.33203125" style="70"/>
    <col min="4097" max="4097" width="5.77734375" style="70" customWidth="1"/>
    <col min="4098" max="4098" width="22.33203125" style="70" customWidth="1"/>
    <col min="4099" max="4099" width="13" style="70" customWidth="1"/>
    <col min="4100" max="4100" width="11" style="70" customWidth="1"/>
    <col min="4101" max="4101" width="15.44140625" style="70" customWidth="1"/>
    <col min="4102" max="4102" width="11.21875" style="70" customWidth="1"/>
    <col min="4103" max="4103" width="13.33203125" style="70" customWidth="1"/>
    <col min="4104" max="4105" width="14" style="70" customWidth="1"/>
    <col min="4106" max="4106" width="13.33203125" style="70" customWidth="1"/>
    <col min="4107" max="4107" width="12.33203125" style="70" customWidth="1"/>
    <col min="4108" max="4108" width="14.33203125" style="70" customWidth="1"/>
    <col min="4109" max="4109" width="15.21875" style="70" customWidth="1"/>
    <col min="4110" max="4352" width="9.33203125" style="70"/>
    <col min="4353" max="4353" width="5.77734375" style="70" customWidth="1"/>
    <col min="4354" max="4354" width="22.33203125" style="70" customWidth="1"/>
    <col min="4355" max="4355" width="13" style="70" customWidth="1"/>
    <col min="4356" max="4356" width="11" style="70" customWidth="1"/>
    <col min="4357" max="4357" width="15.44140625" style="70" customWidth="1"/>
    <col min="4358" max="4358" width="11.21875" style="70" customWidth="1"/>
    <col min="4359" max="4359" width="13.33203125" style="70" customWidth="1"/>
    <col min="4360" max="4361" width="14" style="70" customWidth="1"/>
    <col min="4362" max="4362" width="13.33203125" style="70" customWidth="1"/>
    <col min="4363" max="4363" width="12.33203125" style="70" customWidth="1"/>
    <col min="4364" max="4364" width="14.33203125" style="70" customWidth="1"/>
    <col min="4365" max="4365" width="15.21875" style="70" customWidth="1"/>
    <col min="4366" max="4608" width="9.33203125" style="70"/>
    <col min="4609" max="4609" width="5.77734375" style="70" customWidth="1"/>
    <col min="4610" max="4610" width="22.33203125" style="70" customWidth="1"/>
    <col min="4611" max="4611" width="13" style="70" customWidth="1"/>
    <col min="4612" max="4612" width="11" style="70" customWidth="1"/>
    <col min="4613" max="4613" width="15.44140625" style="70" customWidth="1"/>
    <col min="4614" max="4614" width="11.21875" style="70" customWidth="1"/>
    <col min="4615" max="4615" width="13.33203125" style="70" customWidth="1"/>
    <col min="4616" max="4617" width="14" style="70" customWidth="1"/>
    <col min="4618" max="4618" width="13.33203125" style="70" customWidth="1"/>
    <col min="4619" max="4619" width="12.33203125" style="70" customWidth="1"/>
    <col min="4620" max="4620" width="14.33203125" style="70" customWidth="1"/>
    <col min="4621" max="4621" width="15.21875" style="70" customWidth="1"/>
    <col min="4622" max="4864" width="9.33203125" style="70"/>
    <col min="4865" max="4865" width="5.77734375" style="70" customWidth="1"/>
    <col min="4866" max="4866" width="22.33203125" style="70" customWidth="1"/>
    <col min="4867" max="4867" width="13" style="70" customWidth="1"/>
    <col min="4868" max="4868" width="11" style="70" customWidth="1"/>
    <col min="4869" max="4869" width="15.44140625" style="70" customWidth="1"/>
    <col min="4870" max="4870" width="11.21875" style="70" customWidth="1"/>
    <col min="4871" max="4871" width="13.33203125" style="70" customWidth="1"/>
    <col min="4872" max="4873" width="14" style="70" customWidth="1"/>
    <col min="4874" max="4874" width="13.33203125" style="70" customWidth="1"/>
    <col min="4875" max="4875" width="12.33203125" style="70" customWidth="1"/>
    <col min="4876" max="4876" width="14.33203125" style="70" customWidth="1"/>
    <col min="4877" max="4877" width="15.21875" style="70" customWidth="1"/>
    <col min="4878" max="5120" width="9.33203125" style="70"/>
    <col min="5121" max="5121" width="5.77734375" style="70" customWidth="1"/>
    <col min="5122" max="5122" width="22.33203125" style="70" customWidth="1"/>
    <col min="5123" max="5123" width="13" style="70" customWidth="1"/>
    <col min="5124" max="5124" width="11" style="70" customWidth="1"/>
    <col min="5125" max="5125" width="15.44140625" style="70" customWidth="1"/>
    <col min="5126" max="5126" width="11.21875" style="70" customWidth="1"/>
    <col min="5127" max="5127" width="13.33203125" style="70" customWidth="1"/>
    <col min="5128" max="5129" width="14" style="70" customWidth="1"/>
    <col min="5130" max="5130" width="13.33203125" style="70" customWidth="1"/>
    <col min="5131" max="5131" width="12.33203125" style="70" customWidth="1"/>
    <col min="5132" max="5132" width="14.33203125" style="70" customWidth="1"/>
    <col min="5133" max="5133" width="15.21875" style="70" customWidth="1"/>
    <col min="5134" max="5376" width="9.33203125" style="70"/>
    <col min="5377" max="5377" width="5.77734375" style="70" customWidth="1"/>
    <col min="5378" max="5378" width="22.33203125" style="70" customWidth="1"/>
    <col min="5379" max="5379" width="13" style="70" customWidth="1"/>
    <col min="5380" max="5380" width="11" style="70" customWidth="1"/>
    <col min="5381" max="5381" width="15.44140625" style="70" customWidth="1"/>
    <col min="5382" max="5382" width="11.21875" style="70" customWidth="1"/>
    <col min="5383" max="5383" width="13.33203125" style="70" customWidth="1"/>
    <col min="5384" max="5385" width="14" style="70" customWidth="1"/>
    <col min="5386" max="5386" width="13.33203125" style="70" customWidth="1"/>
    <col min="5387" max="5387" width="12.33203125" style="70" customWidth="1"/>
    <col min="5388" max="5388" width="14.33203125" style="70" customWidth="1"/>
    <col min="5389" max="5389" width="15.21875" style="70" customWidth="1"/>
    <col min="5390" max="5632" width="9.33203125" style="70"/>
    <col min="5633" max="5633" width="5.77734375" style="70" customWidth="1"/>
    <col min="5634" max="5634" width="22.33203125" style="70" customWidth="1"/>
    <col min="5635" max="5635" width="13" style="70" customWidth="1"/>
    <col min="5636" max="5636" width="11" style="70" customWidth="1"/>
    <col min="5637" max="5637" width="15.44140625" style="70" customWidth="1"/>
    <col min="5638" max="5638" width="11.21875" style="70" customWidth="1"/>
    <col min="5639" max="5639" width="13.33203125" style="70" customWidth="1"/>
    <col min="5640" max="5641" width="14" style="70" customWidth="1"/>
    <col min="5642" max="5642" width="13.33203125" style="70" customWidth="1"/>
    <col min="5643" max="5643" width="12.33203125" style="70" customWidth="1"/>
    <col min="5644" max="5644" width="14.33203125" style="70" customWidth="1"/>
    <col min="5645" max="5645" width="15.21875" style="70" customWidth="1"/>
    <col min="5646" max="5888" width="9.33203125" style="70"/>
    <col min="5889" max="5889" width="5.77734375" style="70" customWidth="1"/>
    <col min="5890" max="5890" width="22.33203125" style="70" customWidth="1"/>
    <col min="5891" max="5891" width="13" style="70" customWidth="1"/>
    <col min="5892" max="5892" width="11" style="70" customWidth="1"/>
    <col min="5893" max="5893" width="15.44140625" style="70" customWidth="1"/>
    <col min="5894" max="5894" width="11.21875" style="70" customWidth="1"/>
    <col min="5895" max="5895" width="13.33203125" style="70" customWidth="1"/>
    <col min="5896" max="5897" width="14" style="70" customWidth="1"/>
    <col min="5898" max="5898" width="13.33203125" style="70" customWidth="1"/>
    <col min="5899" max="5899" width="12.33203125" style="70" customWidth="1"/>
    <col min="5900" max="5900" width="14.33203125" style="70" customWidth="1"/>
    <col min="5901" max="5901" width="15.21875" style="70" customWidth="1"/>
    <col min="5902" max="6144" width="9.33203125" style="70"/>
    <col min="6145" max="6145" width="5.77734375" style="70" customWidth="1"/>
    <col min="6146" max="6146" width="22.33203125" style="70" customWidth="1"/>
    <col min="6147" max="6147" width="13" style="70" customWidth="1"/>
    <col min="6148" max="6148" width="11" style="70" customWidth="1"/>
    <col min="6149" max="6149" width="15.44140625" style="70" customWidth="1"/>
    <col min="6150" max="6150" width="11.21875" style="70" customWidth="1"/>
    <col min="6151" max="6151" width="13.33203125" style="70" customWidth="1"/>
    <col min="6152" max="6153" width="14" style="70" customWidth="1"/>
    <col min="6154" max="6154" width="13.33203125" style="70" customWidth="1"/>
    <col min="6155" max="6155" width="12.33203125" style="70" customWidth="1"/>
    <col min="6156" max="6156" width="14.33203125" style="70" customWidth="1"/>
    <col min="6157" max="6157" width="15.21875" style="70" customWidth="1"/>
    <col min="6158" max="6400" width="9.33203125" style="70"/>
    <col min="6401" max="6401" width="5.77734375" style="70" customWidth="1"/>
    <col min="6402" max="6402" width="22.33203125" style="70" customWidth="1"/>
    <col min="6403" max="6403" width="13" style="70" customWidth="1"/>
    <col min="6404" max="6404" width="11" style="70" customWidth="1"/>
    <col min="6405" max="6405" width="15.44140625" style="70" customWidth="1"/>
    <col min="6406" max="6406" width="11.21875" style="70" customWidth="1"/>
    <col min="6407" max="6407" width="13.33203125" style="70" customWidth="1"/>
    <col min="6408" max="6409" width="14" style="70" customWidth="1"/>
    <col min="6410" max="6410" width="13.33203125" style="70" customWidth="1"/>
    <col min="6411" max="6411" width="12.33203125" style="70" customWidth="1"/>
    <col min="6412" max="6412" width="14.33203125" style="70" customWidth="1"/>
    <col min="6413" max="6413" width="15.21875" style="70" customWidth="1"/>
    <col min="6414" max="6656" width="9.33203125" style="70"/>
    <col min="6657" max="6657" width="5.77734375" style="70" customWidth="1"/>
    <col min="6658" max="6658" width="22.33203125" style="70" customWidth="1"/>
    <col min="6659" max="6659" width="13" style="70" customWidth="1"/>
    <col min="6660" max="6660" width="11" style="70" customWidth="1"/>
    <col min="6661" max="6661" width="15.44140625" style="70" customWidth="1"/>
    <col min="6662" max="6662" width="11.21875" style="70" customWidth="1"/>
    <col min="6663" max="6663" width="13.33203125" style="70" customWidth="1"/>
    <col min="6664" max="6665" width="14" style="70" customWidth="1"/>
    <col min="6666" max="6666" width="13.33203125" style="70" customWidth="1"/>
    <col min="6667" max="6667" width="12.33203125" style="70" customWidth="1"/>
    <col min="6668" max="6668" width="14.33203125" style="70" customWidth="1"/>
    <col min="6669" max="6669" width="15.21875" style="70" customWidth="1"/>
    <col min="6670" max="6912" width="9.33203125" style="70"/>
    <col min="6913" max="6913" width="5.77734375" style="70" customWidth="1"/>
    <col min="6914" max="6914" width="22.33203125" style="70" customWidth="1"/>
    <col min="6915" max="6915" width="13" style="70" customWidth="1"/>
    <col min="6916" max="6916" width="11" style="70" customWidth="1"/>
    <col min="6917" max="6917" width="15.44140625" style="70" customWidth="1"/>
    <col min="6918" max="6918" width="11.21875" style="70" customWidth="1"/>
    <col min="6919" max="6919" width="13.33203125" style="70" customWidth="1"/>
    <col min="6920" max="6921" width="14" style="70" customWidth="1"/>
    <col min="6922" max="6922" width="13.33203125" style="70" customWidth="1"/>
    <col min="6923" max="6923" width="12.33203125" style="70" customWidth="1"/>
    <col min="6924" max="6924" width="14.33203125" style="70" customWidth="1"/>
    <col min="6925" max="6925" width="15.21875" style="70" customWidth="1"/>
    <col min="6926" max="7168" width="9.33203125" style="70"/>
    <col min="7169" max="7169" width="5.77734375" style="70" customWidth="1"/>
    <col min="7170" max="7170" width="22.33203125" style="70" customWidth="1"/>
    <col min="7171" max="7171" width="13" style="70" customWidth="1"/>
    <col min="7172" max="7172" width="11" style="70" customWidth="1"/>
    <col min="7173" max="7173" width="15.44140625" style="70" customWidth="1"/>
    <col min="7174" max="7174" width="11.21875" style="70" customWidth="1"/>
    <col min="7175" max="7175" width="13.33203125" style="70" customWidth="1"/>
    <col min="7176" max="7177" width="14" style="70" customWidth="1"/>
    <col min="7178" max="7178" width="13.33203125" style="70" customWidth="1"/>
    <col min="7179" max="7179" width="12.33203125" style="70" customWidth="1"/>
    <col min="7180" max="7180" width="14.33203125" style="70" customWidth="1"/>
    <col min="7181" max="7181" width="15.21875" style="70" customWidth="1"/>
    <col min="7182" max="7424" width="9.33203125" style="70"/>
    <col min="7425" max="7425" width="5.77734375" style="70" customWidth="1"/>
    <col min="7426" max="7426" width="22.33203125" style="70" customWidth="1"/>
    <col min="7427" max="7427" width="13" style="70" customWidth="1"/>
    <col min="7428" max="7428" width="11" style="70" customWidth="1"/>
    <col min="7429" max="7429" width="15.44140625" style="70" customWidth="1"/>
    <col min="7430" max="7430" width="11.21875" style="70" customWidth="1"/>
    <col min="7431" max="7431" width="13.33203125" style="70" customWidth="1"/>
    <col min="7432" max="7433" width="14" style="70" customWidth="1"/>
    <col min="7434" max="7434" width="13.33203125" style="70" customWidth="1"/>
    <col min="7435" max="7435" width="12.33203125" style="70" customWidth="1"/>
    <col min="7436" max="7436" width="14.33203125" style="70" customWidth="1"/>
    <col min="7437" max="7437" width="15.21875" style="70" customWidth="1"/>
    <col min="7438" max="7680" width="9.33203125" style="70"/>
    <col min="7681" max="7681" width="5.77734375" style="70" customWidth="1"/>
    <col min="7682" max="7682" width="22.33203125" style="70" customWidth="1"/>
    <col min="7683" max="7683" width="13" style="70" customWidth="1"/>
    <col min="7684" max="7684" width="11" style="70" customWidth="1"/>
    <col min="7685" max="7685" width="15.44140625" style="70" customWidth="1"/>
    <col min="7686" max="7686" width="11.21875" style="70" customWidth="1"/>
    <col min="7687" max="7687" width="13.33203125" style="70" customWidth="1"/>
    <col min="7688" max="7689" width="14" style="70" customWidth="1"/>
    <col min="7690" max="7690" width="13.33203125" style="70" customWidth="1"/>
    <col min="7691" max="7691" width="12.33203125" style="70" customWidth="1"/>
    <col min="7692" max="7692" width="14.33203125" style="70" customWidth="1"/>
    <col min="7693" max="7693" width="15.21875" style="70" customWidth="1"/>
    <col min="7694" max="7936" width="9.33203125" style="70"/>
    <col min="7937" max="7937" width="5.77734375" style="70" customWidth="1"/>
    <col min="7938" max="7938" width="22.33203125" style="70" customWidth="1"/>
    <col min="7939" max="7939" width="13" style="70" customWidth="1"/>
    <col min="7940" max="7940" width="11" style="70" customWidth="1"/>
    <col min="7941" max="7941" width="15.44140625" style="70" customWidth="1"/>
    <col min="7942" max="7942" width="11.21875" style="70" customWidth="1"/>
    <col min="7943" max="7943" width="13.33203125" style="70" customWidth="1"/>
    <col min="7944" max="7945" width="14" style="70" customWidth="1"/>
    <col min="7946" max="7946" width="13.33203125" style="70" customWidth="1"/>
    <col min="7947" max="7947" width="12.33203125" style="70" customWidth="1"/>
    <col min="7948" max="7948" width="14.33203125" style="70" customWidth="1"/>
    <col min="7949" max="7949" width="15.21875" style="70" customWidth="1"/>
    <col min="7950" max="8192" width="9.33203125" style="70"/>
    <col min="8193" max="8193" width="5.77734375" style="70" customWidth="1"/>
    <col min="8194" max="8194" width="22.33203125" style="70" customWidth="1"/>
    <col min="8195" max="8195" width="13" style="70" customWidth="1"/>
    <col min="8196" max="8196" width="11" style="70" customWidth="1"/>
    <col min="8197" max="8197" width="15.44140625" style="70" customWidth="1"/>
    <col min="8198" max="8198" width="11.21875" style="70" customWidth="1"/>
    <col min="8199" max="8199" width="13.33203125" style="70" customWidth="1"/>
    <col min="8200" max="8201" width="14" style="70" customWidth="1"/>
    <col min="8202" max="8202" width="13.33203125" style="70" customWidth="1"/>
    <col min="8203" max="8203" width="12.33203125" style="70" customWidth="1"/>
    <col min="8204" max="8204" width="14.33203125" style="70" customWidth="1"/>
    <col min="8205" max="8205" width="15.21875" style="70" customWidth="1"/>
    <col min="8206" max="8448" width="9.33203125" style="70"/>
    <col min="8449" max="8449" width="5.77734375" style="70" customWidth="1"/>
    <col min="8450" max="8450" width="22.33203125" style="70" customWidth="1"/>
    <col min="8451" max="8451" width="13" style="70" customWidth="1"/>
    <col min="8452" max="8452" width="11" style="70" customWidth="1"/>
    <col min="8453" max="8453" width="15.44140625" style="70" customWidth="1"/>
    <col min="8454" max="8454" width="11.21875" style="70" customWidth="1"/>
    <col min="8455" max="8455" width="13.33203125" style="70" customWidth="1"/>
    <col min="8456" max="8457" width="14" style="70" customWidth="1"/>
    <col min="8458" max="8458" width="13.33203125" style="70" customWidth="1"/>
    <col min="8459" max="8459" width="12.33203125" style="70" customWidth="1"/>
    <col min="8460" max="8460" width="14.33203125" style="70" customWidth="1"/>
    <col min="8461" max="8461" width="15.21875" style="70" customWidth="1"/>
    <col min="8462" max="8704" width="9.33203125" style="70"/>
    <col min="8705" max="8705" width="5.77734375" style="70" customWidth="1"/>
    <col min="8706" max="8706" width="22.33203125" style="70" customWidth="1"/>
    <col min="8707" max="8707" width="13" style="70" customWidth="1"/>
    <col min="8708" max="8708" width="11" style="70" customWidth="1"/>
    <col min="8709" max="8709" width="15.44140625" style="70" customWidth="1"/>
    <col min="8710" max="8710" width="11.21875" style="70" customWidth="1"/>
    <col min="8711" max="8711" width="13.33203125" style="70" customWidth="1"/>
    <col min="8712" max="8713" width="14" style="70" customWidth="1"/>
    <col min="8714" max="8714" width="13.33203125" style="70" customWidth="1"/>
    <col min="8715" max="8715" width="12.33203125" style="70" customWidth="1"/>
    <col min="8716" max="8716" width="14.33203125" style="70" customWidth="1"/>
    <col min="8717" max="8717" width="15.21875" style="70" customWidth="1"/>
    <col min="8718" max="8960" width="9.33203125" style="70"/>
    <col min="8961" max="8961" width="5.77734375" style="70" customWidth="1"/>
    <col min="8962" max="8962" width="22.33203125" style="70" customWidth="1"/>
    <col min="8963" max="8963" width="13" style="70" customWidth="1"/>
    <col min="8964" max="8964" width="11" style="70" customWidth="1"/>
    <col min="8965" max="8965" width="15.44140625" style="70" customWidth="1"/>
    <col min="8966" max="8966" width="11.21875" style="70" customWidth="1"/>
    <col min="8967" max="8967" width="13.33203125" style="70" customWidth="1"/>
    <col min="8968" max="8969" width="14" style="70" customWidth="1"/>
    <col min="8970" max="8970" width="13.33203125" style="70" customWidth="1"/>
    <col min="8971" max="8971" width="12.33203125" style="70" customWidth="1"/>
    <col min="8972" max="8972" width="14.33203125" style="70" customWidth="1"/>
    <col min="8973" max="8973" width="15.21875" style="70" customWidth="1"/>
    <col min="8974" max="9216" width="9.33203125" style="70"/>
    <col min="9217" max="9217" width="5.77734375" style="70" customWidth="1"/>
    <col min="9218" max="9218" width="22.33203125" style="70" customWidth="1"/>
    <col min="9219" max="9219" width="13" style="70" customWidth="1"/>
    <col min="9220" max="9220" width="11" style="70" customWidth="1"/>
    <col min="9221" max="9221" width="15.44140625" style="70" customWidth="1"/>
    <col min="9222" max="9222" width="11.21875" style="70" customWidth="1"/>
    <col min="9223" max="9223" width="13.33203125" style="70" customWidth="1"/>
    <col min="9224" max="9225" width="14" style="70" customWidth="1"/>
    <col min="9226" max="9226" width="13.33203125" style="70" customWidth="1"/>
    <col min="9227" max="9227" width="12.33203125" style="70" customWidth="1"/>
    <col min="9228" max="9228" width="14.33203125" style="70" customWidth="1"/>
    <col min="9229" max="9229" width="15.21875" style="70" customWidth="1"/>
    <col min="9230" max="9472" width="9.33203125" style="70"/>
    <col min="9473" max="9473" width="5.77734375" style="70" customWidth="1"/>
    <col min="9474" max="9474" width="22.33203125" style="70" customWidth="1"/>
    <col min="9475" max="9475" width="13" style="70" customWidth="1"/>
    <col min="9476" max="9476" width="11" style="70" customWidth="1"/>
    <col min="9477" max="9477" width="15.44140625" style="70" customWidth="1"/>
    <col min="9478" max="9478" width="11.21875" style="70" customWidth="1"/>
    <col min="9479" max="9479" width="13.33203125" style="70" customWidth="1"/>
    <col min="9480" max="9481" width="14" style="70" customWidth="1"/>
    <col min="9482" max="9482" width="13.33203125" style="70" customWidth="1"/>
    <col min="9483" max="9483" width="12.33203125" style="70" customWidth="1"/>
    <col min="9484" max="9484" width="14.33203125" style="70" customWidth="1"/>
    <col min="9485" max="9485" width="15.21875" style="70" customWidth="1"/>
    <col min="9486" max="9728" width="9.33203125" style="70"/>
    <col min="9729" max="9729" width="5.77734375" style="70" customWidth="1"/>
    <col min="9730" max="9730" width="22.33203125" style="70" customWidth="1"/>
    <col min="9731" max="9731" width="13" style="70" customWidth="1"/>
    <col min="9732" max="9732" width="11" style="70" customWidth="1"/>
    <col min="9733" max="9733" width="15.44140625" style="70" customWidth="1"/>
    <col min="9734" max="9734" width="11.21875" style="70" customWidth="1"/>
    <col min="9735" max="9735" width="13.33203125" style="70" customWidth="1"/>
    <col min="9736" max="9737" width="14" style="70" customWidth="1"/>
    <col min="9738" max="9738" width="13.33203125" style="70" customWidth="1"/>
    <col min="9739" max="9739" width="12.33203125" style="70" customWidth="1"/>
    <col min="9740" max="9740" width="14.33203125" style="70" customWidth="1"/>
    <col min="9741" max="9741" width="15.21875" style="70" customWidth="1"/>
    <col min="9742" max="9984" width="9.33203125" style="70"/>
    <col min="9985" max="9985" width="5.77734375" style="70" customWidth="1"/>
    <col min="9986" max="9986" width="22.33203125" style="70" customWidth="1"/>
    <col min="9987" max="9987" width="13" style="70" customWidth="1"/>
    <col min="9988" max="9988" width="11" style="70" customWidth="1"/>
    <col min="9989" max="9989" width="15.44140625" style="70" customWidth="1"/>
    <col min="9990" max="9990" width="11.21875" style="70" customWidth="1"/>
    <col min="9991" max="9991" width="13.33203125" style="70" customWidth="1"/>
    <col min="9992" max="9993" width="14" style="70" customWidth="1"/>
    <col min="9994" max="9994" width="13.33203125" style="70" customWidth="1"/>
    <col min="9995" max="9995" width="12.33203125" style="70" customWidth="1"/>
    <col min="9996" max="9996" width="14.33203125" style="70" customWidth="1"/>
    <col min="9997" max="9997" width="15.21875" style="70" customWidth="1"/>
    <col min="9998" max="10240" width="9.33203125" style="70"/>
    <col min="10241" max="10241" width="5.77734375" style="70" customWidth="1"/>
    <col min="10242" max="10242" width="22.33203125" style="70" customWidth="1"/>
    <col min="10243" max="10243" width="13" style="70" customWidth="1"/>
    <col min="10244" max="10244" width="11" style="70" customWidth="1"/>
    <col min="10245" max="10245" width="15.44140625" style="70" customWidth="1"/>
    <col min="10246" max="10246" width="11.21875" style="70" customWidth="1"/>
    <col min="10247" max="10247" width="13.33203125" style="70" customWidth="1"/>
    <col min="10248" max="10249" width="14" style="70" customWidth="1"/>
    <col min="10250" max="10250" width="13.33203125" style="70" customWidth="1"/>
    <col min="10251" max="10251" width="12.33203125" style="70" customWidth="1"/>
    <col min="10252" max="10252" width="14.33203125" style="70" customWidth="1"/>
    <col min="10253" max="10253" width="15.21875" style="70" customWidth="1"/>
    <col min="10254" max="10496" width="9.33203125" style="70"/>
    <col min="10497" max="10497" width="5.77734375" style="70" customWidth="1"/>
    <col min="10498" max="10498" width="22.33203125" style="70" customWidth="1"/>
    <col min="10499" max="10499" width="13" style="70" customWidth="1"/>
    <col min="10500" max="10500" width="11" style="70" customWidth="1"/>
    <col min="10501" max="10501" width="15.44140625" style="70" customWidth="1"/>
    <col min="10502" max="10502" width="11.21875" style="70" customWidth="1"/>
    <col min="10503" max="10503" width="13.33203125" style="70" customWidth="1"/>
    <col min="10504" max="10505" width="14" style="70" customWidth="1"/>
    <col min="10506" max="10506" width="13.33203125" style="70" customWidth="1"/>
    <col min="10507" max="10507" width="12.33203125" style="70" customWidth="1"/>
    <col min="10508" max="10508" width="14.33203125" style="70" customWidth="1"/>
    <col min="10509" max="10509" width="15.21875" style="70" customWidth="1"/>
    <col min="10510" max="10752" width="9.33203125" style="70"/>
    <col min="10753" max="10753" width="5.77734375" style="70" customWidth="1"/>
    <col min="10754" max="10754" width="22.33203125" style="70" customWidth="1"/>
    <col min="10755" max="10755" width="13" style="70" customWidth="1"/>
    <col min="10756" max="10756" width="11" style="70" customWidth="1"/>
    <col min="10757" max="10757" width="15.44140625" style="70" customWidth="1"/>
    <col min="10758" max="10758" width="11.21875" style="70" customWidth="1"/>
    <col min="10759" max="10759" width="13.33203125" style="70" customWidth="1"/>
    <col min="10760" max="10761" width="14" style="70" customWidth="1"/>
    <col min="10762" max="10762" width="13.33203125" style="70" customWidth="1"/>
    <col min="10763" max="10763" width="12.33203125" style="70" customWidth="1"/>
    <col min="10764" max="10764" width="14.33203125" style="70" customWidth="1"/>
    <col min="10765" max="10765" width="15.21875" style="70" customWidth="1"/>
    <col min="10766" max="11008" width="9.33203125" style="70"/>
    <col min="11009" max="11009" width="5.77734375" style="70" customWidth="1"/>
    <col min="11010" max="11010" width="22.33203125" style="70" customWidth="1"/>
    <col min="11011" max="11011" width="13" style="70" customWidth="1"/>
    <col min="11012" max="11012" width="11" style="70" customWidth="1"/>
    <col min="11013" max="11013" width="15.44140625" style="70" customWidth="1"/>
    <col min="11014" max="11014" width="11.21875" style="70" customWidth="1"/>
    <col min="11015" max="11015" width="13.33203125" style="70" customWidth="1"/>
    <col min="11016" max="11017" width="14" style="70" customWidth="1"/>
    <col min="11018" max="11018" width="13.33203125" style="70" customWidth="1"/>
    <col min="11019" max="11019" width="12.33203125" style="70" customWidth="1"/>
    <col min="11020" max="11020" width="14.33203125" style="70" customWidth="1"/>
    <col min="11021" max="11021" width="15.21875" style="70" customWidth="1"/>
    <col min="11022" max="11264" width="9.33203125" style="70"/>
    <col min="11265" max="11265" width="5.77734375" style="70" customWidth="1"/>
    <col min="11266" max="11266" width="22.33203125" style="70" customWidth="1"/>
    <col min="11267" max="11267" width="13" style="70" customWidth="1"/>
    <col min="11268" max="11268" width="11" style="70" customWidth="1"/>
    <col min="11269" max="11269" width="15.44140625" style="70" customWidth="1"/>
    <col min="11270" max="11270" width="11.21875" style="70" customWidth="1"/>
    <col min="11271" max="11271" width="13.33203125" style="70" customWidth="1"/>
    <col min="11272" max="11273" width="14" style="70" customWidth="1"/>
    <col min="11274" max="11274" width="13.33203125" style="70" customWidth="1"/>
    <col min="11275" max="11275" width="12.33203125" style="70" customWidth="1"/>
    <col min="11276" max="11276" width="14.33203125" style="70" customWidth="1"/>
    <col min="11277" max="11277" width="15.21875" style="70" customWidth="1"/>
    <col min="11278" max="11520" width="9.33203125" style="70"/>
    <col min="11521" max="11521" width="5.77734375" style="70" customWidth="1"/>
    <col min="11522" max="11522" width="22.33203125" style="70" customWidth="1"/>
    <col min="11523" max="11523" width="13" style="70" customWidth="1"/>
    <col min="11524" max="11524" width="11" style="70" customWidth="1"/>
    <col min="11525" max="11525" width="15.44140625" style="70" customWidth="1"/>
    <col min="11526" max="11526" width="11.21875" style="70" customWidth="1"/>
    <col min="11527" max="11527" width="13.33203125" style="70" customWidth="1"/>
    <col min="11528" max="11529" width="14" style="70" customWidth="1"/>
    <col min="11530" max="11530" width="13.33203125" style="70" customWidth="1"/>
    <col min="11531" max="11531" width="12.33203125" style="70" customWidth="1"/>
    <col min="11532" max="11532" width="14.33203125" style="70" customWidth="1"/>
    <col min="11533" max="11533" width="15.21875" style="70" customWidth="1"/>
    <col min="11534" max="11776" width="9.33203125" style="70"/>
    <col min="11777" max="11777" width="5.77734375" style="70" customWidth="1"/>
    <col min="11778" max="11778" width="22.33203125" style="70" customWidth="1"/>
    <col min="11779" max="11779" width="13" style="70" customWidth="1"/>
    <col min="11780" max="11780" width="11" style="70" customWidth="1"/>
    <col min="11781" max="11781" width="15.44140625" style="70" customWidth="1"/>
    <col min="11782" max="11782" width="11.21875" style="70" customWidth="1"/>
    <col min="11783" max="11783" width="13.33203125" style="70" customWidth="1"/>
    <col min="11784" max="11785" width="14" style="70" customWidth="1"/>
    <col min="11786" max="11786" width="13.33203125" style="70" customWidth="1"/>
    <col min="11787" max="11787" width="12.33203125" style="70" customWidth="1"/>
    <col min="11788" max="11788" width="14.33203125" style="70" customWidth="1"/>
    <col min="11789" max="11789" width="15.21875" style="70" customWidth="1"/>
    <col min="11790" max="12032" width="9.33203125" style="70"/>
    <col min="12033" max="12033" width="5.77734375" style="70" customWidth="1"/>
    <col min="12034" max="12034" width="22.33203125" style="70" customWidth="1"/>
    <col min="12035" max="12035" width="13" style="70" customWidth="1"/>
    <col min="12036" max="12036" width="11" style="70" customWidth="1"/>
    <col min="12037" max="12037" width="15.44140625" style="70" customWidth="1"/>
    <col min="12038" max="12038" width="11.21875" style="70" customWidth="1"/>
    <col min="12039" max="12039" width="13.33203125" style="70" customWidth="1"/>
    <col min="12040" max="12041" width="14" style="70" customWidth="1"/>
    <col min="12042" max="12042" width="13.33203125" style="70" customWidth="1"/>
    <col min="12043" max="12043" width="12.33203125" style="70" customWidth="1"/>
    <col min="12044" max="12044" width="14.33203125" style="70" customWidth="1"/>
    <col min="12045" max="12045" width="15.21875" style="70" customWidth="1"/>
    <col min="12046" max="12288" width="9.33203125" style="70"/>
    <col min="12289" max="12289" width="5.77734375" style="70" customWidth="1"/>
    <col min="12290" max="12290" width="22.33203125" style="70" customWidth="1"/>
    <col min="12291" max="12291" width="13" style="70" customWidth="1"/>
    <col min="12292" max="12292" width="11" style="70" customWidth="1"/>
    <col min="12293" max="12293" width="15.44140625" style="70" customWidth="1"/>
    <col min="12294" max="12294" width="11.21875" style="70" customWidth="1"/>
    <col min="12295" max="12295" width="13.33203125" style="70" customWidth="1"/>
    <col min="12296" max="12297" width="14" style="70" customWidth="1"/>
    <col min="12298" max="12298" width="13.33203125" style="70" customWidth="1"/>
    <col min="12299" max="12299" width="12.33203125" style="70" customWidth="1"/>
    <col min="12300" max="12300" width="14.33203125" style="70" customWidth="1"/>
    <col min="12301" max="12301" width="15.21875" style="70" customWidth="1"/>
    <col min="12302" max="12544" width="9.33203125" style="70"/>
    <col min="12545" max="12545" width="5.77734375" style="70" customWidth="1"/>
    <col min="12546" max="12546" width="22.33203125" style="70" customWidth="1"/>
    <col min="12547" max="12547" width="13" style="70" customWidth="1"/>
    <col min="12548" max="12548" width="11" style="70" customWidth="1"/>
    <col min="12549" max="12549" width="15.44140625" style="70" customWidth="1"/>
    <col min="12550" max="12550" width="11.21875" style="70" customWidth="1"/>
    <col min="12551" max="12551" width="13.33203125" style="70" customWidth="1"/>
    <col min="12552" max="12553" width="14" style="70" customWidth="1"/>
    <col min="12554" max="12554" width="13.33203125" style="70" customWidth="1"/>
    <col min="12555" max="12555" width="12.33203125" style="70" customWidth="1"/>
    <col min="12556" max="12556" width="14.33203125" style="70" customWidth="1"/>
    <col min="12557" max="12557" width="15.21875" style="70" customWidth="1"/>
    <col min="12558" max="12800" width="9.33203125" style="70"/>
    <col min="12801" max="12801" width="5.77734375" style="70" customWidth="1"/>
    <col min="12802" max="12802" width="22.33203125" style="70" customWidth="1"/>
    <col min="12803" max="12803" width="13" style="70" customWidth="1"/>
    <col min="12804" max="12804" width="11" style="70" customWidth="1"/>
    <col min="12805" max="12805" width="15.44140625" style="70" customWidth="1"/>
    <col min="12806" max="12806" width="11.21875" style="70" customWidth="1"/>
    <col min="12807" max="12807" width="13.33203125" style="70" customWidth="1"/>
    <col min="12808" max="12809" width="14" style="70" customWidth="1"/>
    <col min="12810" max="12810" width="13.33203125" style="70" customWidth="1"/>
    <col min="12811" max="12811" width="12.33203125" style="70" customWidth="1"/>
    <col min="12812" max="12812" width="14.33203125" style="70" customWidth="1"/>
    <col min="12813" max="12813" width="15.21875" style="70" customWidth="1"/>
    <col min="12814" max="13056" width="9.33203125" style="70"/>
    <col min="13057" max="13057" width="5.77734375" style="70" customWidth="1"/>
    <col min="13058" max="13058" width="22.33203125" style="70" customWidth="1"/>
    <col min="13059" max="13059" width="13" style="70" customWidth="1"/>
    <col min="13060" max="13060" width="11" style="70" customWidth="1"/>
    <col min="13061" max="13061" width="15.44140625" style="70" customWidth="1"/>
    <col min="13062" max="13062" width="11.21875" style="70" customWidth="1"/>
    <col min="13063" max="13063" width="13.33203125" style="70" customWidth="1"/>
    <col min="13064" max="13065" width="14" style="70" customWidth="1"/>
    <col min="13066" max="13066" width="13.33203125" style="70" customWidth="1"/>
    <col min="13067" max="13067" width="12.33203125" style="70" customWidth="1"/>
    <col min="13068" max="13068" width="14.33203125" style="70" customWidth="1"/>
    <col min="13069" max="13069" width="15.21875" style="70" customWidth="1"/>
    <col min="13070" max="13312" width="9.33203125" style="70"/>
    <col min="13313" max="13313" width="5.77734375" style="70" customWidth="1"/>
    <col min="13314" max="13314" width="22.33203125" style="70" customWidth="1"/>
    <col min="13315" max="13315" width="13" style="70" customWidth="1"/>
    <col min="13316" max="13316" width="11" style="70" customWidth="1"/>
    <col min="13317" max="13317" width="15.44140625" style="70" customWidth="1"/>
    <col min="13318" max="13318" width="11.21875" style="70" customWidth="1"/>
    <col min="13319" max="13319" width="13.33203125" style="70" customWidth="1"/>
    <col min="13320" max="13321" width="14" style="70" customWidth="1"/>
    <col min="13322" max="13322" width="13.33203125" style="70" customWidth="1"/>
    <col min="13323" max="13323" width="12.33203125" style="70" customWidth="1"/>
    <col min="13324" max="13324" width="14.33203125" style="70" customWidth="1"/>
    <col min="13325" max="13325" width="15.21875" style="70" customWidth="1"/>
    <col min="13326" max="13568" width="9.33203125" style="70"/>
    <col min="13569" max="13569" width="5.77734375" style="70" customWidth="1"/>
    <col min="13570" max="13570" width="22.33203125" style="70" customWidth="1"/>
    <col min="13571" max="13571" width="13" style="70" customWidth="1"/>
    <col min="13572" max="13572" width="11" style="70" customWidth="1"/>
    <col min="13573" max="13573" width="15.44140625" style="70" customWidth="1"/>
    <col min="13574" max="13574" width="11.21875" style="70" customWidth="1"/>
    <col min="13575" max="13575" width="13.33203125" style="70" customWidth="1"/>
    <col min="13576" max="13577" width="14" style="70" customWidth="1"/>
    <col min="13578" max="13578" width="13.33203125" style="70" customWidth="1"/>
    <col min="13579" max="13579" width="12.33203125" style="70" customWidth="1"/>
    <col min="13580" max="13580" width="14.33203125" style="70" customWidth="1"/>
    <col min="13581" max="13581" width="15.21875" style="70" customWidth="1"/>
    <col min="13582" max="13824" width="9.33203125" style="70"/>
    <col min="13825" max="13825" width="5.77734375" style="70" customWidth="1"/>
    <col min="13826" max="13826" width="22.33203125" style="70" customWidth="1"/>
    <col min="13827" max="13827" width="13" style="70" customWidth="1"/>
    <col min="13828" max="13828" width="11" style="70" customWidth="1"/>
    <col min="13829" max="13829" width="15.44140625" style="70" customWidth="1"/>
    <col min="13830" max="13830" width="11.21875" style="70" customWidth="1"/>
    <col min="13831" max="13831" width="13.33203125" style="70" customWidth="1"/>
    <col min="13832" max="13833" width="14" style="70" customWidth="1"/>
    <col min="13834" max="13834" width="13.33203125" style="70" customWidth="1"/>
    <col min="13835" max="13835" width="12.33203125" style="70" customWidth="1"/>
    <col min="13836" max="13836" width="14.33203125" style="70" customWidth="1"/>
    <col min="13837" max="13837" width="15.21875" style="70" customWidth="1"/>
    <col min="13838" max="14080" width="9.33203125" style="70"/>
    <col min="14081" max="14081" width="5.77734375" style="70" customWidth="1"/>
    <col min="14082" max="14082" width="22.33203125" style="70" customWidth="1"/>
    <col min="14083" max="14083" width="13" style="70" customWidth="1"/>
    <col min="14084" max="14084" width="11" style="70" customWidth="1"/>
    <col min="14085" max="14085" width="15.44140625" style="70" customWidth="1"/>
    <col min="14086" max="14086" width="11.21875" style="70" customWidth="1"/>
    <col min="14087" max="14087" width="13.33203125" style="70" customWidth="1"/>
    <col min="14088" max="14089" width="14" style="70" customWidth="1"/>
    <col min="14090" max="14090" width="13.33203125" style="70" customWidth="1"/>
    <col min="14091" max="14091" width="12.33203125" style="70" customWidth="1"/>
    <col min="14092" max="14092" width="14.33203125" style="70" customWidth="1"/>
    <col min="14093" max="14093" width="15.21875" style="70" customWidth="1"/>
    <col min="14094" max="14336" width="9.33203125" style="70"/>
    <col min="14337" max="14337" width="5.77734375" style="70" customWidth="1"/>
    <col min="14338" max="14338" width="22.33203125" style="70" customWidth="1"/>
    <col min="14339" max="14339" width="13" style="70" customWidth="1"/>
    <col min="14340" max="14340" width="11" style="70" customWidth="1"/>
    <col min="14341" max="14341" width="15.44140625" style="70" customWidth="1"/>
    <col min="14342" max="14342" width="11.21875" style="70" customWidth="1"/>
    <col min="14343" max="14343" width="13.33203125" style="70" customWidth="1"/>
    <col min="14344" max="14345" width="14" style="70" customWidth="1"/>
    <col min="14346" max="14346" width="13.33203125" style="70" customWidth="1"/>
    <col min="14347" max="14347" width="12.33203125" style="70" customWidth="1"/>
    <col min="14348" max="14348" width="14.33203125" style="70" customWidth="1"/>
    <col min="14349" max="14349" width="15.21875" style="70" customWidth="1"/>
    <col min="14350" max="14592" width="9.33203125" style="70"/>
    <col min="14593" max="14593" width="5.77734375" style="70" customWidth="1"/>
    <col min="14594" max="14594" width="22.33203125" style="70" customWidth="1"/>
    <col min="14595" max="14595" width="13" style="70" customWidth="1"/>
    <col min="14596" max="14596" width="11" style="70" customWidth="1"/>
    <col min="14597" max="14597" width="15.44140625" style="70" customWidth="1"/>
    <col min="14598" max="14598" width="11.21875" style="70" customWidth="1"/>
    <col min="14599" max="14599" width="13.33203125" style="70" customWidth="1"/>
    <col min="14600" max="14601" width="14" style="70" customWidth="1"/>
    <col min="14602" max="14602" width="13.33203125" style="70" customWidth="1"/>
    <col min="14603" max="14603" width="12.33203125" style="70" customWidth="1"/>
    <col min="14604" max="14604" width="14.33203125" style="70" customWidth="1"/>
    <col min="14605" max="14605" width="15.21875" style="70" customWidth="1"/>
    <col min="14606" max="14848" width="9.33203125" style="70"/>
    <col min="14849" max="14849" width="5.77734375" style="70" customWidth="1"/>
    <col min="14850" max="14850" width="22.33203125" style="70" customWidth="1"/>
    <col min="14851" max="14851" width="13" style="70" customWidth="1"/>
    <col min="14852" max="14852" width="11" style="70" customWidth="1"/>
    <col min="14853" max="14853" width="15.44140625" style="70" customWidth="1"/>
    <col min="14854" max="14854" width="11.21875" style="70" customWidth="1"/>
    <col min="14855" max="14855" width="13.33203125" style="70" customWidth="1"/>
    <col min="14856" max="14857" width="14" style="70" customWidth="1"/>
    <col min="14858" max="14858" width="13.33203125" style="70" customWidth="1"/>
    <col min="14859" max="14859" width="12.33203125" style="70" customWidth="1"/>
    <col min="14860" max="14860" width="14.33203125" style="70" customWidth="1"/>
    <col min="14861" max="14861" width="15.21875" style="70" customWidth="1"/>
    <col min="14862" max="15104" width="9.33203125" style="70"/>
    <col min="15105" max="15105" width="5.77734375" style="70" customWidth="1"/>
    <col min="15106" max="15106" width="22.33203125" style="70" customWidth="1"/>
    <col min="15107" max="15107" width="13" style="70" customWidth="1"/>
    <col min="15108" max="15108" width="11" style="70" customWidth="1"/>
    <col min="15109" max="15109" width="15.44140625" style="70" customWidth="1"/>
    <col min="15110" max="15110" width="11.21875" style="70" customWidth="1"/>
    <col min="15111" max="15111" width="13.33203125" style="70" customWidth="1"/>
    <col min="15112" max="15113" width="14" style="70" customWidth="1"/>
    <col min="15114" max="15114" width="13.33203125" style="70" customWidth="1"/>
    <col min="15115" max="15115" width="12.33203125" style="70" customWidth="1"/>
    <col min="15116" max="15116" width="14.33203125" style="70" customWidth="1"/>
    <col min="15117" max="15117" width="15.21875" style="70" customWidth="1"/>
    <col min="15118" max="15360" width="9.33203125" style="70"/>
    <col min="15361" max="15361" width="5.77734375" style="70" customWidth="1"/>
    <col min="15362" max="15362" width="22.33203125" style="70" customWidth="1"/>
    <col min="15363" max="15363" width="13" style="70" customWidth="1"/>
    <col min="15364" max="15364" width="11" style="70" customWidth="1"/>
    <col min="15365" max="15365" width="15.44140625" style="70" customWidth="1"/>
    <col min="15366" max="15366" width="11.21875" style="70" customWidth="1"/>
    <col min="15367" max="15367" width="13.33203125" style="70" customWidth="1"/>
    <col min="15368" max="15369" width="14" style="70" customWidth="1"/>
    <col min="15370" max="15370" width="13.33203125" style="70" customWidth="1"/>
    <col min="15371" max="15371" width="12.33203125" style="70" customWidth="1"/>
    <col min="15372" max="15372" width="14.33203125" style="70" customWidth="1"/>
    <col min="15373" max="15373" width="15.21875" style="70" customWidth="1"/>
    <col min="15374" max="15616" width="9.33203125" style="70"/>
    <col min="15617" max="15617" width="5.77734375" style="70" customWidth="1"/>
    <col min="15618" max="15618" width="22.33203125" style="70" customWidth="1"/>
    <col min="15619" max="15619" width="13" style="70" customWidth="1"/>
    <col min="15620" max="15620" width="11" style="70" customWidth="1"/>
    <col min="15621" max="15621" width="15.44140625" style="70" customWidth="1"/>
    <col min="15622" max="15622" width="11.21875" style="70" customWidth="1"/>
    <col min="15623" max="15623" width="13.33203125" style="70" customWidth="1"/>
    <col min="15624" max="15625" width="14" style="70" customWidth="1"/>
    <col min="15626" max="15626" width="13.33203125" style="70" customWidth="1"/>
    <col min="15627" max="15627" width="12.33203125" style="70" customWidth="1"/>
    <col min="15628" max="15628" width="14.33203125" style="70" customWidth="1"/>
    <col min="15629" max="15629" width="15.21875" style="70" customWidth="1"/>
    <col min="15630" max="15872" width="9.33203125" style="70"/>
    <col min="15873" max="15873" width="5.77734375" style="70" customWidth="1"/>
    <col min="15874" max="15874" width="22.33203125" style="70" customWidth="1"/>
    <col min="15875" max="15875" width="13" style="70" customWidth="1"/>
    <col min="15876" max="15876" width="11" style="70" customWidth="1"/>
    <col min="15877" max="15877" width="15.44140625" style="70" customWidth="1"/>
    <col min="15878" max="15878" width="11.21875" style="70" customWidth="1"/>
    <col min="15879" max="15879" width="13.33203125" style="70" customWidth="1"/>
    <col min="15880" max="15881" width="14" style="70" customWidth="1"/>
    <col min="15882" max="15882" width="13.33203125" style="70" customWidth="1"/>
    <col min="15883" max="15883" width="12.33203125" style="70" customWidth="1"/>
    <col min="15884" max="15884" width="14.33203125" style="70" customWidth="1"/>
    <col min="15885" max="15885" width="15.21875" style="70" customWidth="1"/>
    <col min="15886" max="16128" width="9.33203125" style="70"/>
    <col min="16129" max="16129" width="5.77734375" style="70" customWidth="1"/>
    <col min="16130" max="16130" width="22.33203125" style="70" customWidth="1"/>
    <col min="16131" max="16131" width="13" style="70" customWidth="1"/>
    <col min="16132" max="16132" width="11" style="70" customWidth="1"/>
    <col min="16133" max="16133" width="15.44140625" style="70" customWidth="1"/>
    <col min="16134" max="16134" width="11.21875" style="70" customWidth="1"/>
    <col min="16135" max="16135" width="13.33203125" style="70" customWidth="1"/>
    <col min="16136" max="16137" width="14" style="70" customWidth="1"/>
    <col min="16138" max="16138" width="13.33203125" style="70" customWidth="1"/>
    <col min="16139" max="16139" width="12.33203125" style="70" customWidth="1"/>
    <col min="16140" max="16140" width="14.33203125" style="70" customWidth="1"/>
    <col min="16141" max="16141" width="15.21875" style="70" customWidth="1"/>
    <col min="16142" max="16384" width="9.33203125" style="70"/>
  </cols>
  <sheetData>
    <row r="1" spans="1:13" ht="33" customHeight="1">
      <c r="A1" s="910" t="s">
        <v>527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</row>
    <row r="2" spans="1:13" ht="13.8">
      <c r="A2" s="71"/>
      <c r="B2" s="72"/>
      <c r="C2" s="72"/>
      <c r="D2" s="73"/>
      <c r="E2" s="74"/>
      <c r="F2" s="74"/>
      <c r="G2" s="75"/>
      <c r="H2" s="75"/>
      <c r="I2" s="74"/>
    </row>
    <row r="3" spans="1:13" ht="13.8">
      <c r="A3" s="71"/>
      <c r="B3" s="76"/>
      <c r="C3" s="76"/>
      <c r="D3" s="77"/>
      <c r="E3" s="73"/>
      <c r="F3" s="73"/>
      <c r="G3" s="73"/>
      <c r="H3" s="73"/>
      <c r="I3" s="73"/>
      <c r="K3" s="918" t="s">
        <v>1</v>
      </c>
      <c r="L3" s="918"/>
      <c r="M3" s="918"/>
    </row>
    <row r="4" spans="1:13" s="79" customFormat="1" ht="75.75" customHeight="1">
      <c r="A4" s="455" t="s">
        <v>407</v>
      </c>
      <c r="B4" s="455" t="s">
        <v>454</v>
      </c>
      <c r="C4" s="455" t="s">
        <v>455</v>
      </c>
      <c r="D4" s="455" t="s">
        <v>465</v>
      </c>
      <c r="E4" s="455" t="s">
        <v>206</v>
      </c>
      <c r="F4" s="455" t="s">
        <v>466</v>
      </c>
      <c r="G4" s="456" t="s">
        <v>210</v>
      </c>
      <c r="H4" s="456" t="s">
        <v>467</v>
      </c>
      <c r="I4" s="456" t="s">
        <v>231</v>
      </c>
      <c r="J4" s="457" t="s">
        <v>233</v>
      </c>
      <c r="K4" s="247" t="s">
        <v>235</v>
      </c>
      <c r="L4" s="457" t="s">
        <v>468</v>
      </c>
      <c r="M4" s="247" t="s">
        <v>469</v>
      </c>
    </row>
    <row r="5" spans="1:13" ht="46.5" customHeight="1">
      <c r="A5" s="458" t="s">
        <v>10</v>
      </c>
      <c r="B5" s="459" t="s">
        <v>745</v>
      </c>
      <c r="C5" s="525" t="s">
        <v>744</v>
      </c>
      <c r="D5" s="478">
        <v>716638</v>
      </c>
      <c r="E5" s="479">
        <v>83346</v>
      </c>
      <c r="F5" s="479"/>
      <c r="G5" s="480"/>
      <c r="H5" s="480"/>
      <c r="I5" s="479"/>
      <c r="J5" s="508"/>
      <c r="K5" s="508"/>
      <c r="L5" s="508"/>
      <c r="M5" s="509">
        <f t="shared" ref="M5:M13" si="0">SUM(D5:L5)</f>
        <v>799984</v>
      </c>
    </row>
    <row r="6" spans="1:13" ht="46.5" customHeight="1">
      <c r="A6" s="458" t="s">
        <v>13</v>
      </c>
      <c r="B6" s="465" t="s">
        <v>857</v>
      </c>
      <c r="C6" s="525"/>
      <c r="D6" s="478">
        <v>6780934</v>
      </c>
      <c r="E6" s="478">
        <v>759761</v>
      </c>
      <c r="F6" s="478">
        <v>0</v>
      </c>
      <c r="G6" s="478">
        <f t="shared" ref="G6:L6" si="1">G7-G5</f>
        <v>0</v>
      </c>
      <c r="H6" s="478">
        <f t="shared" si="1"/>
        <v>0</v>
      </c>
      <c r="I6" s="478">
        <f t="shared" si="1"/>
        <v>0</v>
      </c>
      <c r="J6" s="478">
        <f t="shared" si="1"/>
        <v>0</v>
      </c>
      <c r="K6" s="478">
        <f t="shared" si="1"/>
        <v>0</v>
      </c>
      <c r="L6" s="478">
        <f t="shared" si="1"/>
        <v>0</v>
      </c>
      <c r="M6" s="509">
        <f t="shared" si="0"/>
        <v>7540695</v>
      </c>
    </row>
    <row r="7" spans="1:13" s="80" customFormat="1" ht="46.5" customHeight="1">
      <c r="A7" s="458" t="s">
        <v>16</v>
      </c>
      <c r="B7" s="465" t="s">
        <v>1004</v>
      </c>
      <c r="C7" s="526"/>
      <c r="D7" s="481">
        <v>2291601</v>
      </c>
      <c r="E7" s="482">
        <v>268441</v>
      </c>
      <c r="F7" s="482">
        <v>0</v>
      </c>
      <c r="G7" s="483"/>
      <c r="H7" s="483"/>
      <c r="I7" s="482"/>
      <c r="J7" s="510"/>
      <c r="K7" s="510"/>
      <c r="L7" s="510"/>
      <c r="M7" s="511">
        <f t="shared" si="0"/>
        <v>2560042</v>
      </c>
    </row>
    <row r="8" spans="1:13" ht="46.5" customHeight="1">
      <c r="A8" s="458" t="s">
        <v>19</v>
      </c>
      <c r="B8" s="459" t="s">
        <v>749</v>
      </c>
      <c r="C8" s="525" t="s">
        <v>748</v>
      </c>
      <c r="D8" s="478"/>
      <c r="E8" s="479"/>
      <c r="F8" s="479">
        <v>4665650</v>
      </c>
      <c r="G8" s="480"/>
      <c r="H8" s="480"/>
      <c r="I8" s="479"/>
      <c r="J8" s="508"/>
      <c r="K8" s="508"/>
      <c r="L8" s="508"/>
      <c r="M8" s="509">
        <f t="shared" si="0"/>
        <v>4665650</v>
      </c>
    </row>
    <row r="9" spans="1:13" ht="46.5" customHeight="1">
      <c r="A9" s="458" t="s">
        <v>22</v>
      </c>
      <c r="B9" s="465" t="s">
        <v>857</v>
      </c>
      <c r="C9" s="525"/>
      <c r="D9" s="478"/>
      <c r="E9" s="479"/>
      <c r="F9" s="479">
        <v>6679973</v>
      </c>
      <c r="G9" s="480"/>
      <c r="H9" s="480"/>
      <c r="I9" s="479">
        <v>76200</v>
      </c>
      <c r="J9" s="508"/>
      <c r="K9" s="508"/>
      <c r="L9" s="508"/>
      <c r="M9" s="509">
        <f t="shared" si="0"/>
        <v>6756173</v>
      </c>
    </row>
    <row r="10" spans="1:13" s="80" customFormat="1" ht="46.5" customHeight="1">
      <c r="A10" s="458" t="s">
        <v>25</v>
      </c>
      <c r="B10" s="465" t="s">
        <v>1004</v>
      </c>
      <c r="C10" s="526"/>
      <c r="D10" s="481"/>
      <c r="E10" s="482"/>
      <c r="F10" s="482">
        <v>2458129</v>
      </c>
      <c r="G10" s="483"/>
      <c r="H10" s="483"/>
      <c r="I10" s="482">
        <v>38100</v>
      </c>
      <c r="J10" s="510"/>
      <c r="K10" s="510"/>
      <c r="L10" s="510"/>
      <c r="M10" s="511">
        <f t="shared" si="0"/>
        <v>2496229</v>
      </c>
    </row>
    <row r="11" spans="1:13" ht="46.5" customHeight="1">
      <c r="A11" s="458" t="s">
        <v>28</v>
      </c>
      <c r="B11" s="459" t="s">
        <v>747</v>
      </c>
      <c r="C11" s="525" t="s">
        <v>746</v>
      </c>
      <c r="D11" s="478">
        <v>17247982</v>
      </c>
      <c r="E11" s="479">
        <v>3822077</v>
      </c>
      <c r="F11" s="479">
        <v>2000000</v>
      </c>
      <c r="G11" s="480"/>
      <c r="H11" s="480"/>
      <c r="I11" s="479"/>
      <c r="J11" s="508"/>
      <c r="K11" s="508"/>
      <c r="L11" s="464"/>
      <c r="M11" s="509">
        <f t="shared" si="0"/>
        <v>23070059</v>
      </c>
    </row>
    <row r="12" spans="1:13" s="80" customFormat="1" ht="46.5" customHeight="1">
      <c r="A12" s="455" t="s">
        <v>31</v>
      </c>
      <c r="B12" s="465" t="s">
        <v>857</v>
      </c>
      <c r="C12" s="526"/>
      <c r="D12" s="481">
        <v>18458977</v>
      </c>
      <c r="E12" s="481">
        <v>4089557</v>
      </c>
      <c r="F12" s="481">
        <v>2170660</v>
      </c>
      <c r="G12" s="481">
        <f t="shared" ref="G12:L12" si="2">G13-G11</f>
        <v>0</v>
      </c>
      <c r="H12" s="481">
        <f t="shared" si="2"/>
        <v>0</v>
      </c>
      <c r="I12" s="481">
        <v>37180</v>
      </c>
      <c r="J12" s="481">
        <f t="shared" si="2"/>
        <v>0</v>
      </c>
      <c r="K12" s="481">
        <f t="shared" si="2"/>
        <v>0</v>
      </c>
      <c r="L12" s="481">
        <f t="shared" si="2"/>
        <v>0</v>
      </c>
      <c r="M12" s="511">
        <f t="shared" si="0"/>
        <v>24756374</v>
      </c>
    </row>
    <row r="13" spans="1:13" s="80" customFormat="1" ht="46.5" customHeight="1">
      <c r="A13" s="458" t="s">
        <v>34</v>
      </c>
      <c r="B13" s="465" t="s">
        <v>1004</v>
      </c>
      <c r="C13" s="526"/>
      <c r="D13" s="481">
        <v>13297049</v>
      </c>
      <c r="E13" s="482">
        <v>3062851</v>
      </c>
      <c r="F13" s="482">
        <v>1105417</v>
      </c>
      <c r="G13" s="483"/>
      <c r="H13" s="483"/>
      <c r="I13" s="482">
        <v>37180</v>
      </c>
      <c r="J13" s="510"/>
      <c r="K13" s="510"/>
      <c r="L13" s="470"/>
      <c r="M13" s="511">
        <f t="shared" si="0"/>
        <v>17502497</v>
      </c>
    </row>
    <row r="14" spans="1:13" s="80" customFormat="1" ht="33" customHeight="1">
      <c r="A14" s="458" t="s">
        <v>37</v>
      </c>
      <c r="B14" s="472" t="s">
        <v>1015</v>
      </c>
      <c r="C14" s="473"/>
      <c r="D14" s="481">
        <f>D13+D10+D7</f>
        <v>15588650</v>
      </c>
      <c r="E14" s="481">
        <f t="shared" ref="E14:M14" si="3">E13+E10+E7</f>
        <v>3331292</v>
      </c>
      <c r="F14" s="481">
        <f t="shared" si="3"/>
        <v>3563546</v>
      </c>
      <c r="G14" s="481">
        <f t="shared" si="3"/>
        <v>0</v>
      </c>
      <c r="H14" s="481">
        <f t="shared" si="3"/>
        <v>0</v>
      </c>
      <c r="I14" s="481">
        <f t="shared" si="3"/>
        <v>75280</v>
      </c>
      <c r="J14" s="481">
        <f t="shared" si="3"/>
        <v>0</v>
      </c>
      <c r="K14" s="481">
        <f t="shared" si="3"/>
        <v>0</v>
      </c>
      <c r="L14" s="481">
        <f t="shared" si="3"/>
        <v>0</v>
      </c>
      <c r="M14" s="481">
        <f t="shared" si="3"/>
        <v>22558768</v>
      </c>
    </row>
    <row r="15" spans="1:13" s="669" customFormat="1" ht="21" customHeight="1">
      <c r="A15" s="455" t="s">
        <v>39</v>
      </c>
      <c r="B15" s="670" t="s">
        <v>1016</v>
      </c>
      <c r="C15" s="670"/>
      <c r="D15" s="671">
        <f>D6+D9+D12</f>
        <v>25239911</v>
      </c>
      <c r="E15" s="671">
        <f t="shared" ref="E15:M15" si="4">E6+E9+E12</f>
        <v>4849318</v>
      </c>
      <c r="F15" s="671">
        <f t="shared" si="4"/>
        <v>8850633</v>
      </c>
      <c r="G15" s="671">
        <f t="shared" si="4"/>
        <v>0</v>
      </c>
      <c r="H15" s="671">
        <f t="shared" si="4"/>
        <v>0</v>
      </c>
      <c r="I15" s="671">
        <f t="shared" si="4"/>
        <v>113380</v>
      </c>
      <c r="J15" s="671">
        <f t="shared" si="4"/>
        <v>0</v>
      </c>
      <c r="K15" s="671">
        <f t="shared" si="4"/>
        <v>0</v>
      </c>
      <c r="L15" s="671">
        <f t="shared" si="4"/>
        <v>0</v>
      </c>
      <c r="M15" s="671">
        <f t="shared" si="4"/>
        <v>39053242</v>
      </c>
    </row>
    <row r="16" spans="1:13" ht="42" customHeight="1">
      <c r="A16" s="81"/>
      <c r="B16" s="84"/>
      <c r="C16" s="85"/>
      <c r="D16" s="86"/>
      <c r="E16" s="83"/>
      <c r="F16" s="83"/>
      <c r="G16" s="82"/>
      <c r="H16" s="82"/>
      <c r="I16" s="82"/>
    </row>
    <row r="17" spans="1:9" ht="42" customHeight="1">
      <c r="A17" s="87"/>
      <c r="B17" s="88"/>
      <c r="C17" s="89"/>
      <c r="D17" s="90"/>
      <c r="E17" s="74"/>
      <c r="F17" s="74"/>
      <c r="G17" s="75"/>
      <c r="H17" s="75"/>
      <c r="I17" s="75"/>
    </row>
    <row r="18" spans="1:9" ht="13.8">
      <c r="A18" s="71"/>
      <c r="B18" s="72"/>
      <c r="C18" s="72"/>
      <c r="D18" s="73"/>
      <c r="E18" s="73"/>
      <c r="F18" s="73"/>
      <c r="G18" s="73"/>
      <c r="H18" s="73"/>
      <c r="I18" s="73"/>
    </row>
    <row r="19" spans="1:9" s="92" customFormat="1" ht="13.8">
      <c r="A19" s="71"/>
      <c r="B19" s="72"/>
      <c r="C19" s="72"/>
      <c r="D19" s="73"/>
      <c r="E19" s="74"/>
      <c r="F19" s="91"/>
      <c r="G19" s="91"/>
      <c r="H19" s="91"/>
      <c r="I19" s="91"/>
    </row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 &amp;"Times New Roman CE,Félkövér dőlt"&amp;11 11.2.  melléklet a 222017. (XII.04.)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"/>
  <sheetViews>
    <sheetView tabSelected="1" view="pageLayout" topLeftCell="C1" zoomScaleSheetLayoutView="100" workbookViewId="0">
      <selection activeCell="E4" sqref="E4:I4"/>
    </sheetView>
  </sheetViews>
  <sheetFormatPr defaultColWidth="9.33203125" defaultRowHeight="15.6"/>
  <cols>
    <col min="1" max="1" width="6.33203125" style="8" customWidth="1"/>
    <col min="2" max="2" width="78.6640625" style="8" customWidth="1"/>
    <col min="3" max="3" width="11.21875" style="8" customWidth="1"/>
    <col min="4" max="4" width="20.77734375" style="9" customWidth="1"/>
    <col min="5" max="5" width="15" style="263" bestFit="1" customWidth="1"/>
    <col min="6" max="6" width="15" style="263" customWidth="1"/>
    <col min="7" max="7" width="14.6640625" style="263" bestFit="1" customWidth="1"/>
    <col min="8" max="8" width="14.44140625" style="721" customWidth="1"/>
    <col min="9" max="9" width="13" style="712" bestFit="1" customWidth="1"/>
    <col min="10" max="16384" width="9.33203125" style="1"/>
  </cols>
  <sheetData>
    <row r="1" spans="1:9" ht="60" customHeight="1">
      <c r="A1" s="859" t="s">
        <v>646</v>
      </c>
      <c r="B1" s="859"/>
      <c r="C1" s="859"/>
      <c r="D1" s="859"/>
      <c r="E1" s="859"/>
      <c r="F1" s="859"/>
      <c r="G1" s="859"/>
      <c r="H1" s="859"/>
      <c r="I1" s="859"/>
    </row>
    <row r="2" spans="1:9" ht="16.05" customHeight="1">
      <c r="A2" s="860" t="s">
        <v>0</v>
      </c>
      <c r="B2" s="860"/>
      <c r="C2" s="860"/>
      <c r="D2" s="860"/>
      <c r="E2" s="860"/>
      <c r="F2" s="860"/>
      <c r="G2" s="860"/>
    </row>
    <row r="3" spans="1:9" ht="16.05" customHeight="1">
      <c r="A3" s="862"/>
      <c r="B3" s="862"/>
      <c r="C3" s="2"/>
      <c r="I3" s="713" t="s">
        <v>1</v>
      </c>
    </row>
    <row r="4" spans="1:9" s="7" customFormat="1" ht="38.1" customHeight="1">
      <c r="A4" s="639" t="s">
        <v>2</v>
      </c>
      <c r="B4" s="640" t="s">
        <v>3</v>
      </c>
      <c r="C4" s="640" t="s">
        <v>4</v>
      </c>
      <c r="D4" s="641" t="s">
        <v>5</v>
      </c>
      <c r="E4" s="264" t="s">
        <v>1002</v>
      </c>
      <c r="F4" s="264" t="s">
        <v>1003</v>
      </c>
      <c r="G4" s="265" t="s">
        <v>857</v>
      </c>
      <c r="H4" s="264" t="s">
        <v>1004</v>
      </c>
      <c r="I4" s="714" t="s">
        <v>1005</v>
      </c>
    </row>
    <row r="5" spans="1:9" s="643" customFormat="1" ht="12" customHeight="1">
      <c r="A5" s="636" t="s">
        <v>6</v>
      </c>
      <c r="B5" s="637" t="s">
        <v>7</v>
      </c>
      <c r="C5" s="637" t="s">
        <v>8</v>
      </c>
      <c r="D5" s="638" t="s">
        <v>9</v>
      </c>
      <c r="E5" s="642" t="s">
        <v>269</v>
      </c>
      <c r="F5" s="642" t="s">
        <v>479</v>
      </c>
      <c r="G5" s="642" t="s">
        <v>855</v>
      </c>
      <c r="H5" s="300" t="s">
        <v>859</v>
      </c>
      <c r="I5" s="715" t="s">
        <v>860</v>
      </c>
    </row>
    <row r="6" spans="1:9" s="5" customFormat="1" ht="15.75" customHeight="1">
      <c r="A6" s="323" t="s">
        <v>10</v>
      </c>
      <c r="B6" s="324" t="s">
        <v>11</v>
      </c>
      <c r="C6" s="325" t="s">
        <v>12</v>
      </c>
      <c r="D6" s="326">
        <f>'9.sz.mell.'!D6</f>
        <v>250951560</v>
      </c>
      <c r="E6" s="266">
        <v>0</v>
      </c>
      <c r="F6" s="266">
        <f>G6-E6-D6</f>
        <v>0</v>
      </c>
      <c r="G6" s="266">
        <v>250951560</v>
      </c>
      <c r="H6" s="269">
        <v>190950930</v>
      </c>
      <c r="I6" s="716">
        <f>H6/G6</f>
        <v>0.76090752334833067</v>
      </c>
    </row>
    <row r="7" spans="1:9" s="5" customFormat="1" ht="15.75" customHeight="1">
      <c r="A7" s="323" t="s">
        <v>13</v>
      </c>
      <c r="B7" s="324" t="s">
        <v>14</v>
      </c>
      <c r="C7" s="325" t="s">
        <v>15</v>
      </c>
      <c r="D7" s="326">
        <f>'9.sz.mell.'!D7</f>
        <v>242687617</v>
      </c>
      <c r="E7" s="266">
        <v>2932300</v>
      </c>
      <c r="F7" s="266">
        <f t="shared" ref="F7:F11" si="0">G7-E7-D7</f>
        <v>7173182</v>
      </c>
      <c r="G7" s="266">
        <v>252793099</v>
      </c>
      <c r="H7" s="269">
        <v>192446853</v>
      </c>
      <c r="I7" s="716">
        <f t="shared" ref="I7:I70" si="1">H7/G7</f>
        <v>0.76128206727668624</v>
      </c>
    </row>
    <row r="8" spans="1:9" s="5" customFormat="1" ht="24" customHeight="1">
      <c r="A8" s="323" t="s">
        <v>16</v>
      </c>
      <c r="B8" s="324" t="s">
        <v>17</v>
      </c>
      <c r="C8" s="325" t="s">
        <v>18</v>
      </c>
      <c r="D8" s="326">
        <f>'9.sz.mell.'!D8</f>
        <v>326754354</v>
      </c>
      <c r="E8" s="266">
        <v>11255769</v>
      </c>
      <c r="F8" s="266">
        <f t="shared" si="0"/>
        <v>14703973</v>
      </c>
      <c r="G8" s="266">
        <v>352714096</v>
      </c>
      <c r="H8" s="269">
        <v>283981500</v>
      </c>
      <c r="I8" s="716">
        <f t="shared" si="1"/>
        <v>0.80513226780706826</v>
      </c>
    </row>
    <row r="9" spans="1:9" s="5" customFormat="1" ht="15.75" customHeight="1">
      <c r="A9" s="323" t="s">
        <v>19</v>
      </c>
      <c r="B9" s="324" t="s">
        <v>20</v>
      </c>
      <c r="C9" s="325" t="s">
        <v>21</v>
      </c>
      <c r="D9" s="326">
        <f>'9.sz.mell.'!D9</f>
        <v>26773920</v>
      </c>
      <c r="E9" s="266">
        <v>1656063</v>
      </c>
      <c r="F9" s="266">
        <f t="shared" si="0"/>
        <v>794558</v>
      </c>
      <c r="G9" s="266">
        <v>29224541</v>
      </c>
      <c r="H9" s="269">
        <v>24456244</v>
      </c>
      <c r="I9" s="716">
        <f t="shared" si="1"/>
        <v>0.83683928517474404</v>
      </c>
    </row>
    <row r="10" spans="1:9" s="5" customFormat="1" ht="15.75" customHeight="1">
      <c r="A10" s="323" t="s">
        <v>22</v>
      </c>
      <c r="B10" s="324" t="s">
        <v>23</v>
      </c>
      <c r="C10" s="325" t="s">
        <v>24</v>
      </c>
      <c r="D10" s="326">
        <f>'9.sz.mell.'!D10</f>
        <v>0</v>
      </c>
      <c r="E10" s="266">
        <v>15168511</v>
      </c>
      <c r="F10" s="266">
        <f t="shared" si="0"/>
        <v>2372868</v>
      </c>
      <c r="G10" s="266">
        <v>17541379</v>
      </c>
      <c r="H10" s="269">
        <v>15304791</v>
      </c>
      <c r="I10" s="716">
        <f t="shared" si="1"/>
        <v>0.87249645538130149</v>
      </c>
    </row>
    <row r="11" spans="1:9" s="5" customFormat="1" ht="15.75" customHeight="1">
      <c r="A11" s="323" t="s">
        <v>25</v>
      </c>
      <c r="B11" s="324" t="s">
        <v>26</v>
      </c>
      <c r="C11" s="325" t="s">
        <v>27</v>
      </c>
      <c r="D11" s="326">
        <f>'9.sz.mell.'!D11</f>
        <v>0</v>
      </c>
      <c r="E11" s="266">
        <f t="shared" ref="E11" si="2">G11-D11</f>
        <v>0</v>
      </c>
      <c r="F11" s="266">
        <f t="shared" si="0"/>
        <v>0</v>
      </c>
      <c r="G11" s="266"/>
      <c r="H11" s="269"/>
      <c r="I11" s="716" t="s">
        <v>861</v>
      </c>
    </row>
    <row r="12" spans="1:9" s="5" customFormat="1" ht="15.75" customHeight="1">
      <c r="A12" s="119" t="s">
        <v>28</v>
      </c>
      <c r="B12" s="109" t="s">
        <v>29</v>
      </c>
      <c r="C12" s="113" t="s">
        <v>30</v>
      </c>
      <c r="D12" s="121">
        <f>+D6+D7+D8+D9+D10+D11</f>
        <v>847167451</v>
      </c>
      <c r="E12" s="121">
        <f t="shared" ref="E12:H12" si="3">+E6+E7+E8+E9+E10+E11</f>
        <v>31012643</v>
      </c>
      <c r="F12" s="121">
        <f t="shared" si="3"/>
        <v>25044581</v>
      </c>
      <c r="G12" s="121">
        <f t="shared" si="3"/>
        <v>903224675</v>
      </c>
      <c r="H12" s="722">
        <f t="shared" si="3"/>
        <v>707140318</v>
      </c>
      <c r="I12" s="716">
        <f t="shared" si="1"/>
        <v>0.78290633280141508</v>
      </c>
    </row>
    <row r="13" spans="1:9" s="5" customFormat="1" ht="15.75" customHeight="1">
      <c r="A13" s="323" t="s">
        <v>31</v>
      </c>
      <c r="B13" s="324" t="s">
        <v>32</v>
      </c>
      <c r="C13" s="325" t="s">
        <v>33</v>
      </c>
      <c r="D13" s="326">
        <f>'9.sz.mell.'!D13</f>
        <v>0</v>
      </c>
      <c r="E13" s="266"/>
      <c r="F13" s="266"/>
      <c r="G13" s="266"/>
      <c r="H13" s="269"/>
      <c r="I13" s="716" t="s">
        <v>861</v>
      </c>
    </row>
    <row r="14" spans="1:9" s="5" customFormat="1" ht="15.75" customHeight="1">
      <c r="A14" s="323" t="s">
        <v>34</v>
      </c>
      <c r="B14" s="324" t="s">
        <v>35</v>
      </c>
      <c r="C14" s="325" t="s">
        <v>36</v>
      </c>
      <c r="D14" s="326">
        <f>SUM(D15:D21)</f>
        <v>110724067</v>
      </c>
      <c r="E14" s="266">
        <v>279338329</v>
      </c>
      <c r="F14" s="266">
        <f>G14-E14-D14</f>
        <v>14486590</v>
      </c>
      <c r="G14" s="266">
        <v>404548986</v>
      </c>
      <c r="H14" s="269">
        <v>283733774</v>
      </c>
      <c r="I14" s="716">
        <f t="shared" si="1"/>
        <v>0.7013582627049274</v>
      </c>
    </row>
    <row r="15" spans="1:9" s="5" customFormat="1" ht="24" customHeight="1">
      <c r="A15" s="323" t="s">
        <v>37</v>
      </c>
      <c r="B15" s="327" t="s">
        <v>38</v>
      </c>
      <c r="C15" s="325" t="s">
        <v>36</v>
      </c>
      <c r="D15" s="328">
        <f>'9.sz.mell.'!D15+'10.sz.mell'!G6+'11.sz.mell'!F6</f>
        <v>0</v>
      </c>
      <c r="E15" s="266">
        <f t="shared" ref="E15:E19" si="4">G15-D15</f>
        <v>0</v>
      </c>
      <c r="F15" s="266">
        <f t="shared" ref="F15:F21" si="5">G15-E15-D15</f>
        <v>0</v>
      </c>
      <c r="G15" s="266"/>
      <c r="H15" s="269"/>
      <c r="I15" s="716" t="s">
        <v>861</v>
      </c>
    </row>
    <row r="16" spans="1:9" s="5" customFormat="1" ht="18.75" customHeight="1">
      <c r="A16" s="323" t="s">
        <v>39</v>
      </c>
      <c r="B16" s="329" t="s">
        <v>40</v>
      </c>
      <c r="C16" s="325" t="s">
        <v>36</v>
      </c>
      <c r="D16" s="328">
        <v>55826180</v>
      </c>
      <c r="E16" s="266">
        <v>9000000</v>
      </c>
      <c r="F16" s="266">
        <f t="shared" si="5"/>
        <v>0</v>
      </c>
      <c r="G16" s="266">
        <v>64826180</v>
      </c>
      <c r="H16" s="269">
        <v>64826180</v>
      </c>
      <c r="I16" s="716">
        <f t="shared" si="1"/>
        <v>1</v>
      </c>
    </row>
    <row r="17" spans="1:9" s="5" customFormat="1" ht="15.75" customHeight="1">
      <c r="A17" s="323" t="s">
        <v>41</v>
      </c>
      <c r="B17" s="329" t="s">
        <v>42</v>
      </c>
      <c r="C17" s="325" t="s">
        <v>36</v>
      </c>
      <c r="D17" s="328">
        <f>'9.sz.mell.'!D17</f>
        <v>0</v>
      </c>
      <c r="E17" s="266">
        <f t="shared" si="4"/>
        <v>0</v>
      </c>
      <c r="F17" s="266">
        <f t="shared" si="5"/>
        <v>0</v>
      </c>
      <c r="G17" s="266"/>
      <c r="H17" s="269"/>
      <c r="I17" s="716" t="s">
        <v>861</v>
      </c>
    </row>
    <row r="18" spans="1:9" s="5" customFormat="1" ht="19.5" customHeight="1">
      <c r="A18" s="323" t="s">
        <v>43</v>
      </c>
      <c r="B18" s="329" t="s">
        <v>44</v>
      </c>
      <c r="C18" s="325" t="s">
        <v>36</v>
      </c>
      <c r="D18" s="328">
        <v>15049000</v>
      </c>
      <c r="E18" s="266">
        <v>338580</v>
      </c>
      <c r="F18" s="266">
        <f t="shared" si="5"/>
        <v>6646990</v>
      </c>
      <c r="G18" s="266">
        <v>22034570</v>
      </c>
      <c r="H18" s="269">
        <v>7449050</v>
      </c>
      <c r="I18" s="716">
        <f t="shared" si="1"/>
        <v>0.33806196354183449</v>
      </c>
    </row>
    <row r="19" spans="1:9" s="5" customFormat="1" ht="19.5" customHeight="1">
      <c r="A19" s="323" t="s">
        <v>45</v>
      </c>
      <c r="B19" s="329" t="s">
        <v>46</v>
      </c>
      <c r="C19" s="325" t="s">
        <v>36</v>
      </c>
      <c r="D19" s="328">
        <f>'9.sz.mell.'!D19</f>
        <v>8348400</v>
      </c>
      <c r="E19" s="266">
        <f t="shared" si="4"/>
        <v>7839600</v>
      </c>
      <c r="F19" s="266">
        <f t="shared" si="5"/>
        <v>0</v>
      </c>
      <c r="G19" s="266">
        <v>16188000</v>
      </c>
      <c r="H19" s="269">
        <v>9413200</v>
      </c>
      <c r="I19" s="716">
        <f t="shared" si="1"/>
        <v>0.58149246355324935</v>
      </c>
    </row>
    <row r="20" spans="1:9" s="5" customFormat="1" ht="24" customHeight="1">
      <c r="A20" s="323" t="s">
        <v>47</v>
      </c>
      <c r="B20" s="329" t="s">
        <v>48</v>
      </c>
      <c r="C20" s="325" t="s">
        <v>36</v>
      </c>
      <c r="D20" s="328">
        <f>'9.sz.mell.'!D20+'11.sz.mell'!F8</f>
        <v>31500487</v>
      </c>
      <c r="E20" s="266">
        <v>265391188</v>
      </c>
      <c r="F20" s="266">
        <f t="shared" si="5"/>
        <v>0</v>
      </c>
      <c r="G20" s="266">
        <v>296891675</v>
      </c>
      <c r="H20" s="269">
        <v>197436783</v>
      </c>
      <c r="I20" s="716">
        <f t="shared" si="1"/>
        <v>0.66501286369851897</v>
      </c>
    </row>
    <row r="21" spans="1:9" s="5" customFormat="1" ht="24.75" customHeight="1">
      <c r="A21" s="323" t="s">
        <v>49</v>
      </c>
      <c r="B21" s="329" t="s">
        <v>50</v>
      </c>
      <c r="C21" s="325" t="s">
        <v>36</v>
      </c>
      <c r="D21" s="328">
        <f>'9.sz.mell.'!D21</f>
        <v>0</v>
      </c>
      <c r="E21" s="266">
        <v>4608561</v>
      </c>
      <c r="F21" s="266">
        <f t="shared" si="5"/>
        <v>0</v>
      </c>
      <c r="G21" s="266">
        <v>4608561</v>
      </c>
      <c r="H21" s="269">
        <v>4608561</v>
      </c>
      <c r="I21" s="716">
        <f t="shared" si="1"/>
        <v>1</v>
      </c>
    </row>
    <row r="22" spans="1:9" s="5" customFormat="1" ht="18" customHeight="1">
      <c r="A22" s="330" t="s">
        <v>51</v>
      </c>
      <c r="B22" s="331" t="s">
        <v>52</v>
      </c>
      <c r="C22" s="332" t="s">
        <v>53</v>
      </c>
      <c r="D22" s="333">
        <f>SUM(D12+D13+D14)</f>
        <v>957891518</v>
      </c>
      <c r="E22" s="333">
        <f t="shared" ref="E22:H22" si="6">SUM(E12+E13+E14)</f>
        <v>310350972</v>
      </c>
      <c r="F22" s="333">
        <f t="shared" si="6"/>
        <v>39531171</v>
      </c>
      <c r="G22" s="333">
        <f t="shared" si="6"/>
        <v>1307773661</v>
      </c>
      <c r="H22" s="723">
        <f t="shared" si="6"/>
        <v>990874092</v>
      </c>
      <c r="I22" s="716">
        <f t="shared" si="1"/>
        <v>0.75768011051875739</v>
      </c>
    </row>
    <row r="23" spans="1:9" s="5" customFormat="1" ht="15.75" customHeight="1">
      <c r="A23" s="323" t="s">
        <v>54</v>
      </c>
      <c r="B23" s="334" t="s">
        <v>55</v>
      </c>
      <c r="C23" s="325" t="s">
        <v>56</v>
      </c>
      <c r="D23" s="326"/>
      <c r="E23" s="266"/>
      <c r="F23" s="266"/>
      <c r="G23" s="266"/>
      <c r="H23" s="269"/>
      <c r="I23" s="716" t="s">
        <v>861</v>
      </c>
    </row>
    <row r="24" spans="1:9" s="5" customFormat="1" ht="15.75" customHeight="1">
      <c r="A24" s="323" t="s">
        <v>57</v>
      </c>
      <c r="B24" s="334" t="s">
        <v>58</v>
      </c>
      <c r="C24" s="325" t="s">
        <v>59</v>
      </c>
      <c r="D24" s="326">
        <f>SUM(D25:D30)</f>
        <v>50000000</v>
      </c>
      <c r="E24" s="266">
        <v>1157803187</v>
      </c>
      <c r="F24" s="266">
        <f>G24-E24-D24</f>
        <v>594482000</v>
      </c>
      <c r="G24" s="266">
        <v>1802285187</v>
      </c>
      <c r="H24" s="269">
        <v>1802279187</v>
      </c>
      <c r="I24" s="716">
        <f t="shared" si="1"/>
        <v>0.99999667089312871</v>
      </c>
    </row>
    <row r="25" spans="1:9" s="5" customFormat="1" ht="15.75" customHeight="1">
      <c r="A25" s="323" t="s">
        <v>60</v>
      </c>
      <c r="B25" s="327" t="s">
        <v>61</v>
      </c>
      <c r="C25" s="325" t="s">
        <v>59</v>
      </c>
      <c r="D25" s="326">
        <f>'9.sz.mell.'!D25</f>
        <v>50000000</v>
      </c>
      <c r="E25" s="266"/>
      <c r="F25" s="266">
        <f t="shared" ref="F25:F30" si="7">G25-E25-D25</f>
        <v>0</v>
      </c>
      <c r="G25" s="266">
        <v>50000000</v>
      </c>
      <c r="H25" s="269">
        <v>50000000</v>
      </c>
      <c r="I25" s="716">
        <f t="shared" si="1"/>
        <v>1</v>
      </c>
    </row>
    <row r="26" spans="1:9" s="5" customFormat="1" ht="18.75" customHeight="1">
      <c r="A26" s="323" t="s">
        <v>62</v>
      </c>
      <c r="B26" s="335" t="s">
        <v>63</v>
      </c>
      <c r="C26" s="325" t="s">
        <v>59</v>
      </c>
      <c r="D26" s="326"/>
      <c r="E26" s="266">
        <v>1157803187</v>
      </c>
      <c r="F26" s="266">
        <f t="shared" si="7"/>
        <v>594482000</v>
      </c>
      <c r="G26" s="266">
        <v>1752285187</v>
      </c>
      <c r="H26" s="269">
        <v>1752279187</v>
      </c>
      <c r="I26" s="716">
        <f t="shared" si="1"/>
        <v>0.99999657589983382</v>
      </c>
    </row>
    <row r="27" spans="1:9" s="5" customFormat="1" ht="15.75" customHeight="1">
      <c r="A27" s="323" t="s">
        <v>64</v>
      </c>
      <c r="B27" s="335" t="s">
        <v>65</v>
      </c>
      <c r="C27" s="325" t="s">
        <v>59</v>
      </c>
      <c r="D27" s="326"/>
      <c r="E27" s="266">
        <f t="shared" ref="E27:E30" si="8">G27-D27</f>
        <v>0</v>
      </c>
      <c r="F27" s="266">
        <f t="shared" si="7"/>
        <v>0</v>
      </c>
      <c r="G27" s="266"/>
      <c r="H27" s="269"/>
      <c r="I27" s="716"/>
    </row>
    <row r="28" spans="1:9" s="5" customFormat="1" ht="15.75" customHeight="1">
      <c r="A28" s="323" t="s">
        <v>66</v>
      </c>
      <c r="B28" s="335" t="s">
        <v>67</v>
      </c>
      <c r="C28" s="325" t="s">
        <v>59</v>
      </c>
      <c r="D28" s="326"/>
      <c r="E28" s="266">
        <f t="shared" si="8"/>
        <v>0</v>
      </c>
      <c r="F28" s="266">
        <f t="shared" si="7"/>
        <v>0</v>
      </c>
      <c r="G28" s="266"/>
      <c r="H28" s="269"/>
      <c r="I28" s="716"/>
    </row>
    <row r="29" spans="1:9" s="5" customFormat="1" ht="24.75" customHeight="1">
      <c r="A29" s="323" t="s">
        <v>68</v>
      </c>
      <c r="B29" s="335" t="s">
        <v>69</v>
      </c>
      <c r="C29" s="325" t="s">
        <v>59</v>
      </c>
      <c r="D29" s="326"/>
      <c r="E29" s="266">
        <f t="shared" si="8"/>
        <v>0</v>
      </c>
      <c r="F29" s="266">
        <f t="shared" si="7"/>
        <v>0</v>
      </c>
      <c r="G29" s="266"/>
      <c r="H29" s="269"/>
      <c r="I29" s="716"/>
    </row>
    <row r="30" spans="1:9" s="5" customFormat="1" ht="24" customHeight="1">
      <c r="A30" s="323" t="s">
        <v>70</v>
      </c>
      <c r="B30" s="335" t="s">
        <v>71</v>
      </c>
      <c r="C30" s="325" t="s">
        <v>59</v>
      </c>
      <c r="D30" s="326"/>
      <c r="E30" s="266">
        <f t="shared" si="8"/>
        <v>0</v>
      </c>
      <c r="F30" s="266">
        <f t="shared" si="7"/>
        <v>0</v>
      </c>
      <c r="G30" s="266"/>
      <c r="H30" s="269"/>
      <c r="I30" s="716"/>
    </row>
    <row r="31" spans="1:9" s="5" customFormat="1" ht="22.5" customHeight="1">
      <c r="A31" s="119" t="s">
        <v>72</v>
      </c>
      <c r="B31" s="109" t="s">
        <v>73</v>
      </c>
      <c r="C31" s="113" t="s">
        <v>74</v>
      </c>
      <c r="D31" s="121">
        <f>SUM(D23+D24)</f>
        <v>50000000</v>
      </c>
      <c r="E31" s="121">
        <f t="shared" ref="E31:H31" si="9">SUM(E23+E24)</f>
        <v>1157803187</v>
      </c>
      <c r="F31" s="121">
        <f t="shared" si="9"/>
        <v>594482000</v>
      </c>
      <c r="G31" s="121">
        <f t="shared" si="9"/>
        <v>1802285187</v>
      </c>
      <c r="H31" s="722">
        <f t="shared" si="9"/>
        <v>1802279187</v>
      </c>
      <c r="I31" s="716">
        <f t="shared" si="1"/>
        <v>0.99999667089312871</v>
      </c>
    </row>
    <row r="32" spans="1:9" s="5" customFormat="1" ht="14.25" customHeight="1">
      <c r="A32" s="323" t="s">
        <v>75</v>
      </c>
      <c r="B32" s="336" t="s">
        <v>76</v>
      </c>
      <c r="C32" s="337" t="s">
        <v>77</v>
      </c>
      <c r="D32" s="338">
        <f>'9.sz.mell.'!D32</f>
        <v>0</v>
      </c>
      <c r="E32" s="266"/>
      <c r="F32" s="266"/>
      <c r="G32" s="266"/>
      <c r="H32" s="269"/>
      <c r="I32" s="716" t="s">
        <v>861</v>
      </c>
    </row>
    <row r="33" spans="1:9" s="5" customFormat="1" ht="14.25" customHeight="1">
      <c r="A33" s="323" t="s">
        <v>78</v>
      </c>
      <c r="B33" s="324" t="s">
        <v>79</v>
      </c>
      <c r="C33" s="325" t="s">
        <v>80</v>
      </c>
      <c r="D33" s="326">
        <f>SUM(D34:D36)</f>
        <v>131000000</v>
      </c>
      <c r="E33" s="266">
        <f>G33-D33</f>
        <v>-1608935</v>
      </c>
      <c r="F33" s="266">
        <f>G33-E33-D33</f>
        <v>0</v>
      </c>
      <c r="G33" s="266">
        <v>129391065</v>
      </c>
      <c r="H33" s="269">
        <v>125445522</v>
      </c>
      <c r="I33" s="716">
        <f t="shared" si="1"/>
        <v>0.96950683573089069</v>
      </c>
    </row>
    <row r="34" spans="1:9" s="5" customFormat="1" ht="14.25" customHeight="1">
      <c r="A34" s="323" t="s">
        <v>81</v>
      </c>
      <c r="B34" s="339" t="s">
        <v>82</v>
      </c>
      <c r="C34" s="340" t="s">
        <v>80</v>
      </c>
      <c r="D34" s="341">
        <f>'9.sz.mell.'!D34</f>
        <v>75000000</v>
      </c>
      <c r="E34" s="266">
        <f t="shared" ref="E34:E43" si="10">G34-D34</f>
        <v>-1954161</v>
      </c>
      <c r="F34" s="266">
        <f t="shared" ref="F34:F44" si="11">G34-E34-D34</f>
        <v>0</v>
      </c>
      <c r="G34" s="266">
        <v>73045839</v>
      </c>
      <c r="H34" s="269">
        <v>70819575</v>
      </c>
      <c r="I34" s="716">
        <f t="shared" si="1"/>
        <v>0.9695223707403785</v>
      </c>
    </row>
    <row r="35" spans="1:9" s="5" customFormat="1" ht="14.25" customHeight="1">
      <c r="A35" s="323" t="s">
        <v>83</v>
      </c>
      <c r="B35" s="342" t="s">
        <v>84</v>
      </c>
      <c r="C35" s="340" t="s">
        <v>80</v>
      </c>
      <c r="D35" s="341">
        <f>'9.sz.mell.'!D35</f>
        <v>8000000</v>
      </c>
      <c r="E35" s="266">
        <f t="shared" si="10"/>
        <v>0</v>
      </c>
      <c r="F35" s="266">
        <f t="shared" si="11"/>
        <v>0</v>
      </c>
      <c r="G35" s="266">
        <v>8000000</v>
      </c>
      <c r="H35" s="269">
        <v>6280721</v>
      </c>
      <c r="I35" s="716">
        <f t="shared" si="1"/>
        <v>0.78509012499999997</v>
      </c>
    </row>
    <row r="36" spans="1:9" s="5" customFormat="1" ht="14.25" customHeight="1">
      <c r="A36" s="323" t="s">
        <v>85</v>
      </c>
      <c r="B36" s="342" t="s">
        <v>86</v>
      </c>
      <c r="C36" s="340" t="s">
        <v>80</v>
      </c>
      <c r="D36" s="341">
        <f>'9.sz.mell.'!D36</f>
        <v>48000000</v>
      </c>
      <c r="E36" s="266">
        <f t="shared" si="10"/>
        <v>345226</v>
      </c>
      <c r="F36" s="266">
        <f t="shared" si="11"/>
        <v>0</v>
      </c>
      <c r="G36" s="266">
        <v>48345226</v>
      </c>
      <c r="H36" s="269">
        <v>48345226</v>
      </c>
      <c r="I36" s="716">
        <f t="shared" si="1"/>
        <v>1</v>
      </c>
    </row>
    <row r="37" spans="1:9" s="5" customFormat="1" ht="14.25" customHeight="1">
      <c r="A37" s="323" t="s">
        <v>87</v>
      </c>
      <c r="B37" s="343" t="s">
        <v>88</v>
      </c>
      <c r="C37" s="325" t="s">
        <v>89</v>
      </c>
      <c r="D37" s="326">
        <f>SUM(D38:D39)</f>
        <v>580000000</v>
      </c>
      <c r="E37" s="266">
        <f t="shared" si="10"/>
        <v>0</v>
      </c>
      <c r="F37" s="266">
        <f t="shared" si="11"/>
        <v>0</v>
      </c>
      <c r="G37" s="266">
        <v>580000000</v>
      </c>
      <c r="H37" s="269">
        <v>518009466</v>
      </c>
      <c r="I37" s="716">
        <f t="shared" si="1"/>
        <v>0.89311976896551726</v>
      </c>
    </row>
    <row r="38" spans="1:9" s="5" customFormat="1" ht="14.25" customHeight="1">
      <c r="A38" s="323" t="s">
        <v>90</v>
      </c>
      <c r="B38" s="344" t="s">
        <v>91</v>
      </c>
      <c r="C38" s="340" t="s">
        <v>89</v>
      </c>
      <c r="D38" s="341">
        <f>'9.sz.mell.'!D38</f>
        <v>580000000</v>
      </c>
      <c r="E38" s="266">
        <f t="shared" si="10"/>
        <v>0</v>
      </c>
      <c r="F38" s="266">
        <f t="shared" si="11"/>
        <v>0</v>
      </c>
      <c r="G38" s="266">
        <v>580000000</v>
      </c>
      <c r="H38" s="269">
        <v>518009466</v>
      </c>
      <c r="I38" s="716">
        <f t="shared" si="1"/>
        <v>0.89311976896551726</v>
      </c>
    </row>
    <row r="39" spans="1:9" s="5" customFormat="1" ht="14.25" customHeight="1">
      <c r="A39" s="323" t="s">
        <v>92</v>
      </c>
      <c r="B39" s="344" t="s">
        <v>93</v>
      </c>
      <c r="C39" s="340" t="s">
        <v>89</v>
      </c>
      <c r="D39" s="341">
        <f>'9.sz.mell.'!D39</f>
        <v>0</v>
      </c>
      <c r="E39" s="266">
        <f t="shared" si="10"/>
        <v>0</v>
      </c>
      <c r="F39" s="266">
        <f t="shared" si="11"/>
        <v>0</v>
      </c>
      <c r="G39" s="266"/>
      <c r="H39" s="269"/>
      <c r="I39" s="716" t="s">
        <v>861</v>
      </c>
    </row>
    <row r="40" spans="1:9" s="5" customFormat="1" ht="17.25" customHeight="1">
      <c r="A40" s="323" t="s">
        <v>94</v>
      </c>
      <c r="B40" s="345" t="s">
        <v>95</v>
      </c>
      <c r="C40" s="325" t="s">
        <v>96</v>
      </c>
      <c r="D40" s="326">
        <f>'9.sz.mell.'!D40</f>
        <v>38000000</v>
      </c>
      <c r="E40" s="266">
        <f t="shared" si="10"/>
        <v>0</v>
      </c>
      <c r="F40" s="266">
        <f t="shared" si="11"/>
        <v>0</v>
      </c>
      <c r="G40" s="266">
        <v>38000000</v>
      </c>
      <c r="H40" s="269">
        <v>19313288</v>
      </c>
      <c r="I40" s="716">
        <f t="shared" si="1"/>
        <v>0.50824442105263157</v>
      </c>
    </row>
    <row r="41" spans="1:9" s="5" customFormat="1" ht="17.25" customHeight="1">
      <c r="A41" s="323" t="s">
        <v>97</v>
      </c>
      <c r="B41" s="343" t="s">
        <v>98</v>
      </c>
      <c r="C41" s="325" t="s">
        <v>99</v>
      </c>
      <c r="D41" s="326">
        <f>SUM(D42:D43)</f>
        <v>0</v>
      </c>
      <c r="E41" s="266">
        <v>669400</v>
      </c>
      <c r="F41" s="266">
        <f t="shared" si="11"/>
        <v>891000</v>
      </c>
      <c r="G41" s="266">
        <v>1560400</v>
      </c>
      <c r="H41" s="269">
        <v>1560400</v>
      </c>
      <c r="I41" s="716">
        <f t="shared" si="1"/>
        <v>1</v>
      </c>
    </row>
    <row r="42" spans="1:9" s="5" customFormat="1" ht="14.25" customHeight="1">
      <c r="A42" s="323" t="s">
        <v>100</v>
      </c>
      <c r="B42" s="344" t="s">
        <v>101</v>
      </c>
      <c r="C42" s="340" t="s">
        <v>99</v>
      </c>
      <c r="D42" s="326">
        <f>'9.sz.mell.'!D42</f>
        <v>0</v>
      </c>
      <c r="E42" s="266">
        <v>669400</v>
      </c>
      <c r="F42" s="266">
        <f t="shared" si="11"/>
        <v>891000</v>
      </c>
      <c r="G42" s="266">
        <v>1560400</v>
      </c>
      <c r="H42" s="269">
        <v>1560400</v>
      </c>
      <c r="I42" s="716">
        <f t="shared" si="1"/>
        <v>1</v>
      </c>
    </row>
    <row r="43" spans="1:9" s="5" customFormat="1" ht="14.25" customHeight="1">
      <c r="A43" s="323" t="s">
        <v>102</v>
      </c>
      <c r="B43" s="344" t="s">
        <v>103</v>
      </c>
      <c r="C43" s="340" t="s">
        <v>99</v>
      </c>
      <c r="D43" s="326">
        <f>'9.sz.mell.'!D43</f>
        <v>0</v>
      </c>
      <c r="E43" s="266">
        <f t="shared" si="10"/>
        <v>0</v>
      </c>
      <c r="F43" s="266">
        <f t="shared" si="11"/>
        <v>0</v>
      </c>
      <c r="G43" s="266"/>
      <c r="H43" s="269"/>
      <c r="I43" s="716" t="s">
        <v>861</v>
      </c>
    </row>
    <row r="44" spans="1:9" s="5" customFormat="1" ht="14.25" customHeight="1">
      <c r="A44" s="323" t="s">
        <v>104</v>
      </c>
      <c r="B44" s="334" t="s">
        <v>105</v>
      </c>
      <c r="C44" s="346" t="s">
        <v>106</v>
      </c>
      <c r="D44" s="326">
        <f>'9.sz.mell.'!D44</f>
        <v>2000000</v>
      </c>
      <c r="E44" s="266">
        <v>593953</v>
      </c>
      <c r="F44" s="266">
        <f t="shared" si="11"/>
        <v>1246862</v>
      </c>
      <c r="G44" s="266">
        <v>3840815</v>
      </c>
      <c r="H44" s="269">
        <v>3564923</v>
      </c>
      <c r="I44" s="716">
        <f t="shared" si="1"/>
        <v>0.92816837051511203</v>
      </c>
    </row>
    <row r="45" spans="1:9" s="5" customFormat="1" ht="17.25" customHeight="1">
      <c r="A45" s="119" t="s">
        <v>107</v>
      </c>
      <c r="B45" s="109" t="s">
        <v>108</v>
      </c>
      <c r="C45" s="113" t="s">
        <v>109</v>
      </c>
      <c r="D45" s="121">
        <f>SUM(D32+D33+D37+D40+D41+D44)</f>
        <v>751000000</v>
      </c>
      <c r="E45" s="121">
        <f t="shared" ref="E45:H45" si="12">SUM(E32+E33+E37+E40+E41+E44)</f>
        <v>-345582</v>
      </c>
      <c r="F45" s="121">
        <f t="shared" si="12"/>
        <v>2137862</v>
      </c>
      <c r="G45" s="121">
        <f t="shared" si="12"/>
        <v>752792280</v>
      </c>
      <c r="H45" s="722">
        <f t="shared" si="12"/>
        <v>667893599</v>
      </c>
      <c r="I45" s="716">
        <f t="shared" si="1"/>
        <v>0.88722163702316392</v>
      </c>
    </row>
    <row r="46" spans="1:9" s="5" customFormat="1" ht="14.25" customHeight="1">
      <c r="A46" s="323" t="s">
        <v>110</v>
      </c>
      <c r="B46" s="334" t="s">
        <v>111</v>
      </c>
      <c r="C46" s="346" t="s">
        <v>112</v>
      </c>
      <c r="D46" s="326">
        <v>50457314</v>
      </c>
      <c r="E46" s="266">
        <v>-304090</v>
      </c>
      <c r="F46" s="266">
        <f>G46-E46-D46</f>
        <v>1143053</v>
      </c>
      <c r="G46" s="266">
        <v>51296277</v>
      </c>
      <c r="H46" s="269">
        <v>4750371</v>
      </c>
      <c r="I46" s="716">
        <f t="shared" si="1"/>
        <v>9.2606545305422464E-2</v>
      </c>
    </row>
    <row r="47" spans="1:9" s="5" customFormat="1" ht="14.25" customHeight="1">
      <c r="A47" s="323" t="s">
        <v>113</v>
      </c>
      <c r="B47" s="334" t="s">
        <v>114</v>
      </c>
      <c r="C47" s="346" t="s">
        <v>115</v>
      </c>
      <c r="D47" s="326">
        <f>'9.sz.mell.'!D47+'10.sz.mell'!G17+'11.sz.mell'!F17</f>
        <v>24500000</v>
      </c>
      <c r="E47" s="266">
        <v>487768</v>
      </c>
      <c r="F47" s="266">
        <f t="shared" ref="F47:F56" si="13">G47-E47-D47</f>
        <v>3112484</v>
      </c>
      <c r="G47" s="266">
        <v>28100252</v>
      </c>
      <c r="H47" s="269">
        <v>25705849</v>
      </c>
      <c r="I47" s="716">
        <f t="shared" si="1"/>
        <v>0.91479069298026228</v>
      </c>
    </row>
    <row r="48" spans="1:9" s="5" customFormat="1" ht="14.25" customHeight="1">
      <c r="A48" s="323" t="s">
        <v>116</v>
      </c>
      <c r="B48" s="334" t="s">
        <v>117</v>
      </c>
      <c r="C48" s="346" t="s">
        <v>118</v>
      </c>
      <c r="D48" s="326">
        <f>'9.sz.mell.'!D48+'10.sz.mell'!G18+'11.sz.mell'!F18</f>
        <v>29604344</v>
      </c>
      <c r="E48" s="266">
        <v>1348440</v>
      </c>
      <c r="F48" s="266">
        <f t="shared" si="13"/>
        <v>595242</v>
      </c>
      <c r="G48" s="266">
        <v>31548026</v>
      </c>
      <c r="H48" s="269">
        <v>14373077</v>
      </c>
      <c r="I48" s="716">
        <f t="shared" si="1"/>
        <v>0.45559354490198534</v>
      </c>
    </row>
    <row r="49" spans="1:9" s="5" customFormat="1" ht="14.25" customHeight="1">
      <c r="A49" s="323" t="s">
        <v>119</v>
      </c>
      <c r="B49" s="334" t="s">
        <v>120</v>
      </c>
      <c r="C49" s="346" t="s">
        <v>121</v>
      </c>
      <c r="D49" s="326">
        <f>'9.sz.mell.'!D49+'10.sz.mell'!G21+'11.sz.mell'!F21</f>
        <v>23275230</v>
      </c>
      <c r="E49" s="266">
        <f t="shared" ref="E49:E52" si="14">G49-D49</f>
        <v>0</v>
      </c>
      <c r="F49" s="266">
        <f t="shared" si="13"/>
        <v>0</v>
      </c>
      <c r="G49" s="266">
        <v>23275230</v>
      </c>
      <c r="H49" s="269"/>
      <c r="I49" s="716">
        <f t="shared" si="1"/>
        <v>0</v>
      </c>
    </row>
    <row r="50" spans="1:9" s="5" customFormat="1" ht="14.25" customHeight="1">
      <c r="A50" s="323" t="s">
        <v>122</v>
      </c>
      <c r="B50" s="334" t="s">
        <v>123</v>
      </c>
      <c r="C50" s="346" t="s">
        <v>124</v>
      </c>
      <c r="D50" s="326">
        <f>'9.sz.mell.'!D50</f>
        <v>24000000</v>
      </c>
      <c r="E50" s="266">
        <f t="shared" si="14"/>
        <v>8259</v>
      </c>
      <c r="F50" s="266">
        <f t="shared" si="13"/>
        <v>0</v>
      </c>
      <c r="G50" s="266">
        <v>24008259</v>
      </c>
      <c r="H50" s="269">
        <v>16060917</v>
      </c>
      <c r="I50" s="716">
        <f t="shared" si="1"/>
        <v>0.66897466409371875</v>
      </c>
    </row>
    <row r="51" spans="1:9" s="5" customFormat="1" ht="14.25" customHeight="1">
      <c r="A51" s="323" t="s">
        <v>125</v>
      </c>
      <c r="B51" s="334" t="s">
        <v>126</v>
      </c>
      <c r="C51" s="346" t="s">
        <v>127</v>
      </c>
      <c r="D51" s="326">
        <v>29550028</v>
      </c>
      <c r="E51" s="266">
        <v>552836</v>
      </c>
      <c r="F51" s="266">
        <f t="shared" si="13"/>
        <v>1005424</v>
      </c>
      <c r="G51" s="266">
        <v>31108288</v>
      </c>
      <c r="H51" s="269">
        <v>15686182</v>
      </c>
      <c r="I51" s="716">
        <f t="shared" si="1"/>
        <v>0.50424446372619414</v>
      </c>
    </row>
    <row r="52" spans="1:9" s="5" customFormat="1" ht="14.25" customHeight="1">
      <c r="A52" s="323" t="s">
        <v>128</v>
      </c>
      <c r="B52" s="334" t="s">
        <v>129</v>
      </c>
      <c r="C52" s="346" t="s">
        <v>130</v>
      </c>
      <c r="D52" s="326">
        <f>'9.sz.mell.'!D52+'10.sz.mell'!G24+'11.sz.mell'!F24</f>
        <v>0</v>
      </c>
      <c r="E52" s="266">
        <f t="shared" si="14"/>
        <v>0</v>
      </c>
      <c r="F52" s="266">
        <f t="shared" si="13"/>
        <v>0</v>
      </c>
      <c r="G52" s="266"/>
      <c r="H52" s="269"/>
      <c r="I52" s="716" t="s">
        <v>861</v>
      </c>
    </row>
    <row r="53" spans="1:9" s="5" customFormat="1" ht="14.25" customHeight="1">
      <c r="A53" s="323" t="s">
        <v>131</v>
      </c>
      <c r="B53" s="334" t="s">
        <v>132</v>
      </c>
      <c r="C53" s="346" t="s">
        <v>133</v>
      </c>
      <c r="D53" s="326">
        <f>'9.sz.mell.'!D53</f>
        <v>500000</v>
      </c>
      <c r="E53" s="266">
        <v>485305</v>
      </c>
      <c r="F53" s="266">
        <f t="shared" si="13"/>
        <v>452302</v>
      </c>
      <c r="G53" s="266">
        <v>1437607</v>
      </c>
      <c r="H53" s="269">
        <v>1303044</v>
      </c>
      <c r="I53" s="716">
        <f t="shared" si="1"/>
        <v>0.90639792377193484</v>
      </c>
    </row>
    <row r="54" spans="1:9" s="5" customFormat="1" ht="14.25" customHeight="1">
      <c r="A54" s="323" t="s">
        <v>134</v>
      </c>
      <c r="B54" s="334" t="s">
        <v>135</v>
      </c>
      <c r="C54" s="346" t="s">
        <v>136</v>
      </c>
      <c r="D54" s="326">
        <f>'9.sz.mell.'!D54</f>
        <v>0</v>
      </c>
      <c r="E54" s="266">
        <v>1172</v>
      </c>
      <c r="F54" s="266">
        <f t="shared" si="13"/>
        <v>316</v>
      </c>
      <c r="G54" s="266">
        <v>1488</v>
      </c>
      <c r="H54" s="269">
        <v>1488</v>
      </c>
      <c r="I54" s="716">
        <f t="shared" si="1"/>
        <v>1</v>
      </c>
    </row>
    <row r="55" spans="1:9" s="5" customFormat="1" ht="14.25" customHeight="1">
      <c r="A55" s="323" t="s">
        <v>137</v>
      </c>
      <c r="B55" s="334" t="s">
        <v>138</v>
      </c>
      <c r="C55" s="346" t="s">
        <v>139</v>
      </c>
      <c r="D55" s="326">
        <f>'9.sz.mell.'!D55</f>
        <v>500000</v>
      </c>
      <c r="E55" s="266">
        <v>2028359</v>
      </c>
      <c r="F55" s="266">
        <f t="shared" si="13"/>
        <v>944491</v>
      </c>
      <c r="G55" s="266">
        <v>3472850</v>
      </c>
      <c r="H55" s="269">
        <v>2837050</v>
      </c>
      <c r="I55" s="716">
        <f t="shared" si="1"/>
        <v>0.81692270037577208</v>
      </c>
    </row>
    <row r="56" spans="1:9" s="5" customFormat="1" ht="14.25" customHeight="1">
      <c r="A56" s="323" t="s">
        <v>140</v>
      </c>
      <c r="B56" s="324" t="s">
        <v>141</v>
      </c>
      <c r="C56" s="346" t="s">
        <v>142</v>
      </c>
      <c r="D56" s="326">
        <f>'9.sz.mell.'!D56</f>
        <v>2250000</v>
      </c>
      <c r="E56" s="266">
        <v>448905</v>
      </c>
      <c r="F56" s="266">
        <f t="shared" si="13"/>
        <v>3173</v>
      </c>
      <c r="G56" s="266">
        <v>2702078</v>
      </c>
      <c r="H56" s="269">
        <v>975439</v>
      </c>
      <c r="I56" s="716">
        <f t="shared" si="1"/>
        <v>0.36099587058552712</v>
      </c>
    </row>
    <row r="57" spans="1:9" s="5" customFormat="1" ht="15.75" customHeight="1">
      <c r="A57" s="330" t="s">
        <v>143</v>
      </c>
      <c r="B57" s="347" t="s">
        <v>144</v>
      </c>
      <c r="C57" s="332" t="s">
        <v>145</v>
      </c>
      <c r="D57" s="256">
        <f>SUM(D46:D56)</f>
        <v>184636916</v>
      </c>
      <c r="E57" s="256">
        <f t="shared" ref="E57:H57" si="15">SUM(E46:E56)</f>
        <v>5056954</v>
      </c>
      <c r="F57" s="256">
        <f t="shared" si="15"/>
        <v>7256485</v>
      </c>
      <c r="G57" s="256">
        <f t="shared" si="15"/>
        <v>196950355</v>
      </c>
      <c r="H57" s="724">
        <f t="shared" si="15"/>
        <v>81693417</v>
      </c>
      <c r="I57" s="716">
        <f t="shared" si="1"/>
        <v>0.41479192560988276</v>
      </c>
    </row>
    <row r="58" spans="1:9" s="5" customFormat="1" ht="14.25" customHeight="1">
      <c r="A58" s="348" t="s">
        <v>146</v>
      </c>
      <c r="B58" s="334" t="s">
        <v>147</v>
      </c>
      <c r="C58" s="346" t="s">
        <v>148</v>
      </c>
      <c r="D58" s="349">
        <f>'9.sz.mell.'!D58</f>
        <v>0</v>
      </c>
      <c r="E58" s="266"/>
      <c r="F58" s="266"/>
      <c r="G58" s="266"/>
      <c r="H58" s="269"/>
      <c r="I58" s="716" t="s">
        <v>861</v>
      </c>
    </row>
    <row r="59" spans="1:9" s="5" customFormat="1" ht="14.25" customHeight="1">
      <c r="A59" s="348" t="s">
        <v>149</v>
      </c>
      <c r="B59" s="334" t="s">
        <v>150</v>
      </c>
      <c r="C59" s="346" t="s">
        <v>151</v>
      </c>
      <c r="D59" s="349">
        <f>'9.sz.mell.'!D59</f>
        <v>0</v>
      </c>
      <c r="E59" s="266">
        <v>3962074</v>
      </c>
      <c r="F59" s="266">
        <f>G59-E59-D59</f>
        <v>510000</v>
      </c>
      <c r="G59" s="266">
        <v>4472074</v>
      </c>
      <c r="H59" s="269">
        <v>4472074</v>
      </c>
      <c r="I59" s="716">
        <f t="shared" si="1"/>
        <v>1</v>
      </c>
    </row>
    <row r="60" spans="1:9" s="5" customFormat="1" ht="14.25" customHeight="1">
      <c r="A60" s="348" t="s">
        <v>152</v>
      </c>
      <c r="B60" s="334" t="s">
        <v>153</v>
      </c>
      <c r="C60" s="346" t="s">
        <v>154</v>
      </c>
      <c r="D60" s="349">
        <f>'9.sz.mell.'!D60</f>
        <v>2160072</v>
      </c>
      <c r="E60" s="266">
        <v>101065</v>
      </c>
      <c r="F60" s="266">
        <f t="shared" ref="F60:F62" si="16">G60-E60-D60</f>
        <v>417000</v>
      </c>
      <c r="G60" s="266">
        <v>2678137</v>
      </c>
      <c r="H60" s="269">
        <v>2677363</v>
      </c>
      <c r="I60" s="716">
        <f t="shared" si="1"/>
        <v>0.99971099312693856</v>
      </c>
    </row>
    <row r="61" spans="1:9" s="5" customFormat="1" ht="14.25" customHeight="1">
      <c r="A61" s="348" t="s">
        <v>155</v>
      </c>
      <c r="B61" s="334" t="s">
        <v>156</v>
      </c>
      <c r="C61" s="346" t="s">
        <v>157</v>
      </c>
      <c r="D61" s="349">
        <f>'9.sz.mell.'!D61</f>
        <v>0</v>
      </c>
      <c r="E61" s="266">
        <f t="shared" ref="E61:E62" si="17">G61-D61</f>
        <v>0</v>
      </c>
      <c r="F61" s="266">
        <f t="shared" si="16"/>
        <v>0</v>
      </c>
      <c r="G61" s="266">
        <v>0</v>
      </c>
      <c r="H61" s="269"/>
      <c r="I61" s="716" t="s">
        <v>891</v>
      </c>
    </row>
    <row r="62" spans="1:9" s="5" customFormat="1" ht="14.25" customHeight="1">
      <c r="A62" s="348" t="s">
        <v>158</v>
      </c>
      <c r="B62" s="324" t="s">
        <v>159</v>
      </c>
      <c r="C62" s="346" t="s">
        <v>160</v>
      </c>
      <c r="D62" s="349">
        <f>'9.sz.mell.'!D62</f>
        <v>0</v>
      </c>
      <c r="E62" s="266">
        <f t="shared" si="17"/>
        <v>0</v>
      </c>
      <c r="F62" s="266">
        <f t="shared" si="16"/>
        <v>0</v>
      </c>
      <c r="G62" s="266">
        <v>0</v>
      </c>
      <c r="H62" s="269"/>
      <c r="I62" s="716" t="s">
        <v>861</v>
      </c>
    </row>
    <row r="63" spans="1:9" s="5" customFormat="1" ht="14.25" customHeight="1">
      <c r="A63" s="119" t="s">
        <v>161</v>
      </c>
      <c r="B63" s="347" t="s">
        <v>162</v>
      </c>
      <c r="C63" s="346" t="s">
        <v>163</v>
      </c>
      <c r="D63" s="333">
        <f>SUM(D58:D62)</f>
        <v>2160072</v>
      </c>
      <c r="E63" s="333">
        <f t="shared" ref="E63:H63" si="18">SUM(E58:E62)</f>
        <v>4063139</v>
      </c>
      <c r="F63" s="333">
        <f t="shared" si="18"/>
        <v>927000</v>
      </c>
      <c r="G63" s="333">
        <f t="shared" si="18"/>
        <v>7150211</v>
      </c>
      <c r="H63" s="723">
        <f t="shared" si="18"/>
        <v>7149437</v>
      </c>
      <c r="I63" s="716">
        <f t="shared" si="1"/>
        <v>0.99989175144621611</v>
      </c>
    </row>
    <row r="64" spans="1:9" s="5" customFormat="1" ht="16.5" customHeight="1">
      <c r="A64" s="323" t="s">
        <v>164</v>
      </c>
      <c r="B64" s="324" t="s">
        <v>165</v>
      </c>
      <c r="C64" s="325" t="s">
        <v>166</v>
      </c>
      <c r="D64" s="326"/>
      <c r="E64" s="266">
        <v>45000</v>
      </c>
      <c r="F64" s="266">
        <f>G64-E64-D64</f>
        <v>-45000</v>
      </c>
      <c r="G64" s="266">
        <v>0</v>
      </c>
      <c r="H64" s="269"/>
      <c r="I64" s="716" t="s">
        <v>861</v>
      </c>
    </row>
    <row r="65" spans="1:9" s="5" customFormat="1" ht="17.25" customHeight="1">
      <c r="A65" s="323" t="s">
        <v>167</v>
      </c>
      <c r="B65" s="324" t="s">
        <v>168</v>
      </c>
      <c r="C65" s="325" t="s">
        <v>169</v>
      </c>
      <c r="D65" s="326"/>
      <c r="E65" s="266">
        <v>2313497</v>
      </c>
      <c r="F65" s="266">
        <f>G65-E65-D65</f>
        <v>45000</v>
      </c>
      <c r="G65" s="266">
        <v>2358497</v>
      </c>
      <c r="H65" s="269">
        <v>2355997</v>
      </c>
      <c r="I65" s="716">
        <f t="shared" si="1"/>
        <v>0.99894000289167206</v>
      </c>
    </row>
    <row r="66" spans="1:9" s="5" customFormat="1" ht="17.25" customHeight="1">
      <c r="A66" s="119" t="s">
        <v>170</v>
      </c>
      <c r="B66" s="331" t="s">
        <v>171</v>
      </c>
      <c r="C66" s="332" t="s">
        <v>172</v>
      </c>
      <c r="D66" s="333">
        <f>SUM(D64:D65)</f>
        <v>0</v>
      </c>
      <c r="E66" s="333">
        <f t="shared" ref="E66:H66" si="19">SUM(E64:E65)</f>
        <v>2358497</v>
      </c>
      <c r="F66" s="333">
        <f t="shared" si="19"/>
        <v>0</v>
      </c>
      <c r="G66" s="333">
        <f t="shared" si="19"/>
        <v>2358497</v>
      </c>
      <c r="H66" s="723">
        <f t="shared" si="19"/>
        <v>2355997</v>
      </c>
      <c r="I66" s="716">
        <f t="shared" si="1"/>
        <v>0.99894000289167206</v>
      </c>
    </row>
    <row r="67" spans="1:9" s="5" customFormat="1" ht="16.5" customHeight="1">
      <c r="A67" s="323" t="s">
        <v>173</v>
      </c>
      <c r="B67" s="324" t="s">
        <v>174</v>
      </c>
      <c r="C67" s="325" t="s">
        <v>175</v>
      </c>
      <c r="D67" s="349"/>
      <c r="E67" s="266">
        <v>926787</v>
      </c>
      <c r="F67" s="266">
        <f>G67-E67-D67</f>
        <v>644000</v>
      </c>
      <c r="G67" s="266">
        <v>1570787</v>
      </c>
      <c r="H67" s="269">
        <v>1155284</v>
      </c>
      <c r="I67" s="716">
        <f t="shared" si="1"/>
        <v>0.73548100410813178</v>
      </c>
    </row>
    <row r="68" spans="1:9" s="5" customFormat="1" ht="14.25" customHeight="1">
      <c r="A68" s="323" t="s">
        <v>176</v>
      </c>
      <c r="B68" s="324" t="s">
        <v>177</v>
      </c>
      <c r="C68" s="325" t="s">
        <v>178</v>
      </c>
      <c r="D68" s="349"/>
      <c r="E68" s="266"/>
      <c r="F68" s="266">
        <f>G68-E68-D68</f>
        <v>0</v>
      </c>
      <c r="G68" s="266"/>
      <c r="H68" s="269"/>
      <c r="I68" s="716" t="s">
        <v>861</v>
      </c>
    </row>
    <row r="69" spans="1:9" s="5" customFormat="1" ht="15.75" customHeight="1">
      <c r="A69" s="323" t="s">
        <v>179</v>
      </c>
      <c r="B69" s="331" t="s">
        <v>180</v>
      </c>
      <c r="C69" s="332" t="s">
        <v>181</v>
      </c>
      <c r="D69" s="256">
        <f>SUM(D67:D68)</f>
        <v>0</v>
      </c>
      <c r="E69" s="256">
        <f t="shared" ref="E69:H69" si="20">SUM(E67:E68)</f>
        <v>926787</v>
      </c>
      <c r="F69" s="256">
        <f t="shared" si="20"/>
        <v>644000</v>
      </c>
      <c r="G69" s="256">
        <f t="shared" si="20"/>
        <v>1570787</v>
      </c>
      <c r="H69" s="724">
        <f t="shared" si="20"/>
        <v>1155284</v>
      </c>
      <c r="I69" s="716">
        <f t="shared" si="1"/>
        <v>0.73548100410813178</v>
      </c>
    </row>
    <row r="70" spans="1:9" s="5" customFormat="1" ht="21" customHeight="1">
      <c r="A70" s="119" t="s">
        <v>182</v>
      </c>
      <c r="B70" s="347" t="s">
        <v>183</v>
      </c>
      <c r="C70" s="255" t="s">
        <v>184</v>
      </c>
      <c r="D70" s="121">
        <f>SUM(D22+D31+D45+D57+D63+D66+D69)</f>
        <v>1945688506</v>
      </c>
      <c r="E70" s="121">
        <f t="shared" ref="E70:H70" si="21">SUM(E22+E31+E45+E57+E63+E66+E69)</f>
        <v>1480213954</v>
      </c>
      <c r="F70" s="121">
        <f t="shared" si="21"/>
        <v>644978518</v>
      </c>
      <c r="G70" s="121">
        <f t="shared" si="21"/>
        <v>4070880978</v>
      </c>
      <c r="H70" s="722">
        <f t="shared" si="21"/>
        <v>3553401013</v>
      </c>
      <c r="I70" s="716">
        <f t="shared" si="1"/>
        <v>0.87288256085191784</v>
      </c>
    </row>
    <row r="71" spans="1:9" s="5" customFormat="1" ht="14.25" customHeight="1">
      <c r="A71" s="323" t="s">
        <v>185</v>
      </c>
      <c r="B71" s="324" t="s">
        <v>186</v>
      </c>
      <c r="C71" s="325" t="s">
        <v>187</v>
      </c>
      <c r="D71" s="350"/>
      <c r="E71" s="266"/>
      <c r="F71" s="266"/>
      <c r="G71" s="266"/>
      <c r="H71" s="269"/>
      <c r="I71" s="716" t="s">
        <v>861</v>
      </c>
    </row>
    <row r="72" spans="1:9" s="5" customFormat="1" ht="14.25" customHeight="1">
      <c r="A72" s="323" t="s">
        <v>188</v>
      </c>
      <c r="B72" s="324" t="s">
        <v>189</v>
      </c>
      <c r="C72" s="325" t="s">
        <v>190</v>
      </c>
      <c r="D72" s="350">
        <f>SUM(D73:D74)</f>
        <v>304494626</v>
      </c>
      <c r="E72" s="266">
        <v>107029296</v>
      </c>
      <c r="F72" s="266">
        <f>G72-E72-D72</f>
        <v>0</v>
      </c>
      <c r="G72" s="266">
        <v>411523922</v>
      </c>
      <c r="H72" s="269">
        <v>411523922</v>
      </c>
      <c r="I72" s="716">
        <f t="shared" ref="I72:I74" si="22">H72/G72</f>
        <v>1</v>
      </c>
    </row>
    <row r="73" spans="1:9" s="5" customFormat="1" ht="14.25" customHeight="1">
      <c r="A73" s="323" t="s">
        <v>191</v>
      </c>
      <c r="B73" s="351" t="s">
        <v>192</v>
      </c>
      <c r="C73" s="325" t="s">
        <v>193</v>
      </c>
      <c r="D73" s="349">
        <v>274494626</v>
      </c>
      <c r="E73" s="266">
        <v>100911786</v>
      </c>
      <c r="F73" s="266">
        <f t="shared" ref="F73:F75" si="23">G73-E73-D73</f>
        <v>43200</v>
      </c>
      <c r="G73" s="266">
        <v>375449612</v>
      </c>
      <c r="H73" s="269">
        <v>375449612</v>
      </c>
      <c r="I73" s="716">
        <f t="shared" si="22"/>
        <v>1</v>
      </c>
    </row>
    <row r="74" spans="1:9" s="5" customFormat="1" ht="14.25" customHeight="1">
      <c r="A74" s="323" t="s">
        <v>194</v>
      </c>
      <c r="B74" s="352" t="s">
        <v>195</v>
      </c>
      <c r="C74" s="325" t="s">
        <v>196</v>
      </c>
      <c r="D74" s="349">
        <v>30000000</v>
      </c>
      <c r="E74" s="266">
        <v>6117510</v>
      </c>
      <c r="F74" s="266">
        <f t="shared" si="23"/>
        <v>-43200</v>
      </c>
      <c r="G74" s="266">
        <v>36074310</v>
      </c>
      <c r="H74" s="269">
        <v>36074310</v>
      </c>
      <c r="I74" s="716">
        <f t="shared" si="22"/>
        <v>1</v>
      </c>
    </row>
    <row r="75" spans="1:9" s="5" customFormat="1" ht="14.25" customHeight="1">
      <c r="A75" s="323" t="s">
        <v>197</v>
      </c>
      <c r="B75" s="353" t="s">
        <v>731</v>
      </c>
      <c r="C75" s="325" t="s">
        <v>733</v>
      </c>
      <c r="D75" s="349"/>
      <c r="E75" s="266">
        <f t="shared" ref="E75" si="24">G75-D75</f>
        <v>0</v>
      </c>
      <c r="F75" s="266">
        <f t="shared" si="23"/>
        <v>0</v>
      </c>
      <c r="G75" s="266"/>
      <c r="H75" s="269"/>
      <c r="I75" s="716" t="s">
        <v>861</v>
      </c>
    </row>
    <row r="76" spans="1:9" s="5" customFormat="1" ht="14.25" customHeight="1">
      <c r="A76" s="119" t="s">
        <v>200</v>
      </c>
      <c r="B76" s="354" t="s">
        <v>734</v>
      </c>
      <c r="C76" s="355" t="s">
        <v>199</v>
      </c>
      <c r="D76" s="121">
        <f>SUM(D71+D72+D75)</f>
        <v>304494626</v>
      </c>
      <c r="E76" s="121">
        <f t="shared" ref="E76:H76" si="25">SUM(E71+E72+E75)</f>
        <v>107029296</v>
      </c>
      <c r="F76" s="121">
        <f t="shared" si="25"/>
        <v>0</v>
      </c>
      <c r="G76" s="121">
        <f t="shared" si="25"/>
        <v>411523922</v>
      </c>
      <c r="H76" s="121">
        <f t="shared" si="25"/>
        <v>411523922</v>
      </c>
      <c r="I76" s="716">
        <f t="shared" ref="I76:I77" si="26">H76/G76</f>
        <v>1</v>
      </c>
    </row>
    <row r="77" spans="1:9" s="5" customFormat="1" ht="18.75" customHeight="1">
      <c r="A77" s="119" t="s">
        <v>732</v>
      </c>
      <c r="B77" s="354" t="s">
        <v>735</v>
      </c>
      <c r="C77" s="355" t="s">
        <v>736</v>
      </c>
      <c r="D77" s="121">
        <f>SUM(D76,D70)</f>
        <v>2250183132</v>
      </c>
      <c r="E77" s="121">
        <f>SUM(E76,E70)</f>
        <v>1587243250</v>
      </c>
      <c r="F77" s="121">
        <f t="shared" ref="F77:H77" si="27">SUM(F76,F70)</f>
        <v>644978518</v>
      </c>
      <c r="G77" s="121">
        <f t="shared" si="27"/>
        <v>4482404900</v>
      </c>
      <c r="H77" s="121">
        <f t="shared" si="27"/>
        <v>3964924935</v>
      </c>
      <c r="I77" s="716">
        <f t="shared" si="26"/>
        <v>0.88455305209040802</v>
      </c>
    </row>
    <row r="78" spans="1:9" ht="17.25" customHeight="1">
      <c r="A78" s="860"/>
      <c r="B78" s="860"/>
      <c r="C78" s="860"/>
      <c r="D78" s="860"/>
    </row>
    <row r="79" spans="1:9" s="6" customFormat="1" ht="16.5" customHeight="1">
      <c r="A79" s="860" t="s">
        <v>202</v>
      </c>
      <c r="B79" s="860"/>
      <c r="C79" s="860"/>
      <c r="D79" s="860"/>
      <c r="E79" s="267"/>
      <c r="F79" s="267"/>
      <c r="G79" s="267"/>
      <c r="H79" s="725"/>
      <c r="I79" s="717"/>
    </row>
    <row r="80" spans="1:9" ht="38.1" customHeight="1">
      <c r="A80" s="101" t="s">
        <v>2</v>
      </c>
      <c r="B80" s="101" t="s">
        <v>203</v>
      </c>
      <c r="C80" s="101" t="s">
        <v>4</v>
      </c>
      <c r="D80" s="113" t="str">
        <f>+D4</f>
        <v>2017. évi eredeti előirányzat</v>
      </c>
      <c r="E80" s="264" t="s">
        <v>1002</v>
      </c>
      <c r="F80" s="264" t="s">
        <v>1006</v>
      </c>
      <c r="G80" s="265" t="s">
        <v>857</v>
      </c>
      <c r="H80" s="726" t="s">
        <v>1007</v>
      </c>
      <c r="I80" s="718" t="s">
        <v>1005</v>
      </c>
    </row>
    <row r="81" spans="1:9" s="4" customFormat="1" ht="12" customHeight="1">
      <c r="A81" s="101" t="s">
        <v>6</v>
      </c>
      <c r="B81" s="101" t="s">
        <v>7</v>
      </c>
      <c r="C81" s="101" t="s">
        <v>8</v>
      </c>
      <c r="D81" s="101" t="s">
        <v>9</v>
      </c>
      <c r="E81" s="268" t="s">
        <v>269</v>
      </c>
      <c r="F81" s="268" t="s">
        <v>479</v>
      </c>
      <c r="G81" s="268" t="s">
        <v>855</v>
      </c>
      <c r="H81" s="727" t="s">
        <v>859</v>
      </c>
      <c r="I81" s="719" t="s">
        <v>860</v>
      </c>
    </row>
    <row r="82" spans="1:9" ht="15.75" customHeight="1">
      <c r="A82" s="348" t="s">
        <v>10</v>
      </c>
      <c r="B82" s="336" t="s">
        <v>204</v>
      </c>
      <c r="C82" s="337" t="s">
        <v>205</v>
      </c>
      <c r="D82" s="326">
        <f>'9.sz.mell.'!D81+'10.sz.mell'!G47+'11.sz.mell'!F47</f>
        <v>323812114</v>
      </c>
      <c r="E82" s="269">
        <v>179565122</v>
      </c>
      <c r="F82" s="269">
        <f>G82-E82-D82</f>
        <v>2656731</v>
      </c>
      <c r="G82" s="269">
        <v>506033967</v>
      </c>
      <c r="H82" s="269">
        <v>343362035</v>
      </c>
      <c r="I82" s="716">
        <f>H82/G82</f>
        <v>0.67853554779258518</v>
      </c>
    </row>
    <row r="83" spans="1:9" ht="15.75" customHeight="1">
      <c r="A83" s="348" t="s">
        <v>13</v>
      </c>
      <c r="B83" s="336" t="s">
        <v>206</v>
      </c>
      <c r="C83" s="337" t="s">
        <v>207</v>
      </c>
      <c r="D83" s="326">
        <f>'9.sz.mell.'!D82+'10.sz.mell'!G48+'11.sz.mell'!F48</f>
        <v>73417889</v>
      </c>
      <c r="E83" s="269">
        <v>20323809</v>
      </c>
      <c r="F83" s="269">
        <f t="shared" ref="F83:F95" si="28">G83-E83-D83</f>
        <v>390415</v>
      </c>
      <c r="G83" s="269">
        <v>94132113</v>
      </c>
      <c r="H83" s="269">
        <v>63020963</v>
      </c>
      <c r="I83" s="716">
        <f t="shared" ref="I83:I113" si="29">H83/G83</f>
        <v>0.66949483010117916</v>
      </c>
    </row>
    <row r="84" spans="1:9" ht="15.75" customHeight="1">
      <c r="A84" s="348" t="s">
        <v>16</v>
      </c>
      <c r="B84" s="336" t="s">
        <v>208</v>
      </c>
      <c r="C84" s="337" t="s">
        <v>209</v>
      </c>
      <c r="D84" s="326">
        <v>574940083</v>
      </c>
      <c r="E84" s="269">
        <v>1231814034</v>
      </c>
      <c r="F84" s="269">
        <f t="shared" si="28"/>
        <v>7040473</v>
      </c>
      <c r="G84" s="269">
        <v>1813794590</v>
      </c>
      <c r="H84" s="269">
        <v>405281734</v>
      </c>
      <c r="I84" s="716">
        <f t="shared" si="29"/>
        <v>0.22344411888448734</v>
      </c>
    </row>
    <row r="85" spans="1:9" ht="15.75" customHeight="1">
      <c r="A85" s="348" t="s">
        <v>19</v>
      </c>
      <c r="B85" s="336" t="s">
        <v>210</v>
      </c>
      <c r="C85" s="337" t="s">
        <v>211</v>
      </c>
      <c r="D85" s="326">
        <f>'9.sz.mell.'!D84+'10.sz.mell'!G50+'11.sz.mell'!F50</f>
        <v>66820160</v>
      </c>
      <c r="E85" s="269">
        <v>-6650969</v>
      </c>
      <c r="F85" s="269">
        <f t="shared" si="28"/>
        <v>5164840</v>
      </c>
      <c r="G85" s="269">
        <v>65334031</v>
      </c>
      <c r="H85" s="269">
        <v>48388943</v>
      </c>
      <c r="I85" s="716">
        <f t="shared" si="29"/>
        <v>0.74063917776633126</v>
      </c>
    </row>
    <row r="86" spans="1:9" ht="15.75" customHeight="1">
      <c r="A86" s="348" t="s">
        <v>22</v>
      </c>
      <c r="B86" s="336" t="s">
        <v>212</v>
      </c>
      <c r="C86" s="337" t="s">
        <v>213</v>
      </c>
      <c r="D86" s="326">
        <f>SUM(D87:D93)</f>
        <v>965514977</v>
      </c>
      <c r="E86" s="675">
        <v>105862049</v>
      </c>
      <c r="F86" s="269">
        <f t="shared" si="28"/>
        <v>12286187</v>
      </c>
      <c r="G86" s="269">
        <v>1083663213</v>
      </c>
      <c r="H86" s="269">
        <v>704923416</v>
      </c>
      <c r="I86" s="716">
        <f t="shared" si="29"/>
        <v>0.65050045765464215</v>
      </c>
    </row>
    <row r="87" spans="1:9" ht="15.75" customHeight="1">
      <c r="A87" s="348" t="s">
        <v>25</v>
      </c>
      <c r="B87" s="281" t="s">
        <v>214</v>
      </c>
      <c r="C87" s="356" t="s">
        <v>215</v>
      </c>
      <c r="D87" s="341">
        <f>'9.sz.mell.'!D86</f>
        <v>11554719</v>
      </c>
      <c r="E87" s="269">
        <v>2887042</v>
      </c>
      <c r="F87" s="269">
        <f t="shared" si="28"/>
        <v>0</v>
      </c>
      <c r="G87" s="269">
        <v>14441761</v>
      </c>
      <c r="H87" s="269">
        <v>14441761</v>
      </c>
      <c r="I87" s="716">
        <f t="shared" si="29"/>
        <v>1</v>
      </c>
    </row>
    <row r="88" spans="1:9" ht="15.75" customHeight="1">
      <c r="A88" s="348" t="s">
        <v>28</v>
      </c>
      <c r="B88" s="357" t="s">
        <v>216</v>
      </c>
      <c r="C88" s="358" t="s">
        <v>217</v>
      </c>
      <c r="D88" s="341">
        <f>'9.sz.mell.'!D87</f>
        <v>0</v>
      </c>
      <c r="E88" s="269">
        <f t="shared" ref="E88:E95" si="30">G88-D88</f>
        <v>0</v>
      </c>
      <c r="F88" s="269">
        <f t="shared" si="28"/>
        <v>0</v>
      </c>
      <c r="G88" s="269"/>
      <c r="H88" s="269"/>
      <c r="I88" s="716"/>
    </row>
    <row r="89" spans="1:9" ht="15.75" customHeight="1">
      <c r="A89" s="348" t="s">
        <v>31</v>
      </c>
      <c r="B89" s="357" t="s">
        <v>218</v>
      </c>
      <c r="C89" s="358" t="s">
        <v>219</v>
      </c>
      <c r="D89" s="341">
        <f>'9.sz.mell.'!D88</f>
        <v>0</v>
      </c>
      <c r="E89" s="269">
        <f t="shared" si="30"/>
        <v>0</v>
      </c>
      <c r="F89" s="269">
        <f t="shared" si="28"/>
        <v>0</v>
      </c>
      <c r="G89" s="269"/>
      <c r="H89" s="269"/>
      <c r="I89" s="716"/>
    </row>
    <row r="90" spans="1:9" ht="15.75" customHeight="1">
      <c r="A90" s="348" t="s">
        <v>34</v>
      </c>
      <c r="B90" s="359" t="s">
        <v>220</v>
      </c>
      <c r="C90" s="358" t="s">
        <v>221</v>
      </c>
      <c r="D90" s="341">
        <f>'9.sz.mell.'!D89</f>
        <v>435516731</v>
      </c>
      <c r="E90" s="269">
        <v>25844448</v>
      </c>
      <c r="F90" s="269">
        <f t="shared" si="28"/>
        <v>23266125</v>
      </c>
      <c r="G90" s="269">
        <v>484627304</v>
      </c>
      <c r="H90" s="269">
        <v>357422546</v>
      </c>
      <c r="I90" s="716">
        <f t="shared" si="29"/>
        <v>0.73752044725899302</v>
      </c>
    </row>
    <row r="91" spans="1:9" ht="15.75" customHeight="1">
      <c r="A91" s="348" t="s">
        <v>37</v>
      </c>
      <c r="B91" s="357" t="s">
        <v>222</v>
      </c>
      <c r="C91" s="358" t="s">
        <v>223</v>
      </c>
      <c r="D91" s="341">
        <f>'9.sz.mell.'!D90</f>
        <v>0</v>
      </c>
      <c r="E91" s="269">
        <f t="shared" si="30"/>
        <v>0</v>
      </c>
      <c r="F91" s="269">
        <f t="shared" si="28"/>
        <v>0</v>
      </c>
      <c r="G91" s="269"/>
      <c r="H91" s="269"/>
      <c r="I91" s="716"/>
    </row>
    <row r="92" spans="1:9" ht="15.75" customHeight="1">
      <c r="A92" s="348" t="s">
        <v>39</v>
      </c>
      <c r="B92" s="357" t="s">
        <v>224</v>
      </c>
      <c r="C92" s="358" t="s">
        <v>225</v>
      </c>
      <c r="D92" s="341">
        <v>431297184</v>
      </c>
      <c r="E92" s="269">
        <v>25700000</v>
      </c>
      <c r="F92" s="269">
        <f t="shared" si="28"/>
        <v>12399780</v>
      </c>
      <c r="G92" s="269">
        <v>469396964</v>
      </c>
      <c r="H92" s="269">
        <v>332981939</v>
      </c>
      <c r="I92" s="716">
        <f t="shared" si="29"/>
        <v>0.70938238748386961</v>
      </c>
    </row>
    <row r="93" spans="1:9" ht="15.75" customHeight="1">
      <c r="A93" s="348" t="s">
        <v>41</v>
      </c>
      <c r="B93" s="357" t="s">
        <v>226</v>
      </c>
      <c r="C93" s="358" t="s">
        <v>227</v>
      </c>
      <c r="D93" s="341">
        <v>87146343</v>
      </c>
      <c r="E93" s="269">
        <v>51430559</v>
      </c>
      <c r="F93" s="269">
        <f t="shared" si="28"/>
        <v>-23456888</v>
      </c>
      <c r="G93" s="269">
        <v>115120014</v>
      </c>
      <c r="H93" s="269"/>
      <c r="I93" s="716">
        <f t="shared" si="29"/>
        <v>0</v>
      </c>
    </row>
    <row r="94" spans="1:9" ht="15.75" customHeight="1">
      <c r="A94" s="348" t="s">
        <v>43</v>
      </c>
      <c r="B94" s="357" t="s">
        <v>228</v>
      </c>
      <c r="C94" s="356" t="s">
        <v>227</v>
      </c>
      <c r="D94" s="341">
        <f>'9.sz.mell.'!D93</f>
        <v>70000000</v>
      </c>
      <c r="E94" s="269">
        <v>51430559</v>
      </c>
      <c r="F94" s="269">
        <f t="shared" si="28"/>
        <v>-23456888</v>
      </c>
      <c r="G94" s="269">
        <v>97973671</v>
      </c>
      <c r="H94" s="269"/>
      <c r="I94" s="716">
        <f t="shared" si="29"/>
        <v>0</v>
      </c>
    </row>
    <row r="95" spans="1:9" ht="15.75" customHeight="1">
      <c r="A95" s="348" t="s">
        <v>45</v>
      </c>
      <c r="B95" s="360" t="s">
        <v>229</v>
      </c>
      <c r="C95" s="356" t="s">
        <v>227</v>
      </c>
      <c r="D95" s="341">
        <v>17146343</v>
      </c>
      <c r="E95" s="269">
        <f t="shared" si="30"/>
        <v>0</v>
      </c>
      <c r="F95" s="269">
        <f t="shared" si="28"/>
        <v>0</v>
      </c>
      <c r="G95" s="269">
        <v>17146343</v>
      </c>
      <c r="H95" s="269"/>
      <c r="I95" s="716">
        <f t="shared" si="29"/>
        <v>0</v>
      </c>
    </row>
    <row r="96" spans="1:9" ht="15.75" customHeight="1">
      <c r="A96" s="361" t="s">
        <v>47</v>
      </c>
      <c r="B96" s="362" t="s">
        <v>471</v>
      </c>
      <c r="C96" s="113" t="s">
        <v>230</v>
      </c>
      <c r="D96" s="256">
        <f>SUM(D82:D86)</f>
        <v>2004505223</v>
      </c>
      <c r="E96" s="256">
        <f t="shared" ref="E96:H96" si="31">SUM(E82:E86)</f>
        <v>1530914045</v>
      </c>
      <c r="F96" s="256">
        <f t="shared" si="31"/>
        <v>27538646</v>
      </c>
      <c r="G96" s="256">
        <f t="shared" si="31"/>
        <v>3562957914</v>
      </c>
      <c r="H96" s="256">
        <f t="shared" si="31"/>
        <v>1564977091</v>
      </c>
      <c r="I96" s="716">
        <f t="shared" si="29"/>
        <v>0.43923535690688487</v>
      </c>
    </row>
    <row r="97" spans="1:9" ht="16.5" customHeight="1">
      <c r="A97" s="348" t="s">
        <v>49</v>
      </c>
      <c r="B97" s="336" t="s">
        <v>231</v>
      </c>
      <c r="C97" s="337" t="s">
        <v>232</v>
      </c>
      <c r="D97" s="326">
        <v>62504500</v>
      </c>
      <c r="E97" s="269">
        <v>27593139</v>
      </c>
      <c r="F97" s="269">
        <f>G97-E97-D97</f>
        <v>594367153</v>
      </c>
      <c r="G97" s="269">
        <v>684464792</v>
      </c>
      <c r="H97" s="269">
        <v>63643333</v>
      </c>
      <c r="I97" s="716">
        <f t="shared" si="29"/>
        <v>9.2982624882771175E-2</v>
      </c>
    </row>
    <row r="98" spans="1:9" ht="16.5" customHeight="1">
      <c r="A98" s="348" t="s">
        <v>51</v>
      </c>
      <c r="B98" s="336" t="s">
        <v>233</v>
      </c>
      <c r="C98" s="337" t="s">
        <v>234</v>
      </c>
      <c r="D98" s="326">
        <v>123810571</v>
      </c>
      <c r="E98" s="269">
        <v>29261542</v>
      </c>
      <c r="F98" s="269">
        <f t="shared" ref="F98:F105" si="32">G98-E98-D98</f>
        <v>4940595</v>
      </c>
      <c r="G98" s="269">
        <v>158012708</v>
      </c>
      <c r="H98" s="269">
        <v>32504475</v>
      </c>
      <c r="I98" s="716">
        <f t="shared" si="29"/>
        <v>0.20570798014549563</v>
      </c>
    </row>
    <row r="99" spans="1:9" ht="16.5" customHeight="1">
      <c r="A99" s="348" t="s">
        <v>54</v>
      </c>
      <c r="B99" s="324" t="s">
        <v>235</v>
      </c>
      <c r="C99" s="325" t="s">
        <v>236</v>
      </c>
      <c r="D99" s="326">
        <f>SUM(D100:D105)</f>
        <v>5000000</v>
      </c>
      <c r="E99" s="269">
        <v>1075000</v>
      </c>
      <c r="F99" s="269">
        <f t="shared" si="32"/>
        <v>16531648</v>
      </c>
      <c r="G99" s="269">
        <v>22606648</v>
      </c>
      <c r="H99" s="269">
        <v>22006648</v>
      </c>
      <c r="I99" s="716">
        <f t="shared" si="29"/>
        <v>0.97345913467578205</v>
      </c>
    </row>
    <row r="100" spans="1:9" ht="16.5" customHeight="1">
      <c r="A100" s="348" t="s">
        <v>57</v>
      </c>
      <c r="B100" s="363" t="s">
        <v>237</v>
      </c>
      <c r="C100" s="340" t="s">
        <v>238</v>
      </c>
      <c r="D100" s="328">
        <f>'9.sz.mell.'!D99</f>
        <v>0</v>
      </c>
      <c r="E100" s="269">
        <f t="shared" ref="E100:E103" si="33">G100-D100</f>
        <v>0</v>
      </c>
      <c r="F100" s="269">
        <f t="shared" si="32"/>
        <v>0</v>
      </c>
      <c r="G100" s="269"/>
      <c r="H100" s="269"/>
      <c r="I100" s="716"/>
    </row>
    <row r="101" spans="1:9" ht="16.5" customHeight="1">
      <c r="A101" s="348" t="s">
        <v>60</v>
      </c>
      <c r="B101" s="364" t="s">
        <v>218</v>
      </c>
      <c r="C101" s="340" t="s">
        <v>239</v>
      </c>
      <c r="D101" s="328">
        <f>'9.sz.mell.'!D100</f>
        <v>0</v>
      </c>
      <c r="E101" s="269">
        <f t="shared" si="33"/>
        <v>0</v>
      </c>
      <c r="F101" s="269">
        <f t="shared" si="32"/>
        <v>0</v>
      </c>
      <c r="G101" s="269"/>
      <c r="H101" s="269"/>
      <c r="I101" s="716"/>
    </row>
    <row r="102" spans="1:9" ht="16.5" customHeight="1">
      <c r="A102" s="348" t="s">
        <v>62</v>
      </c>
      <c r="B102" s="364" t="s">
        <v>240</v>
      </c>
      <c r="C102" s="340" t="s">
        <v>241</v>
      </c>
      <c r="D102" s="328">
        <f>'9.sz.mell.'!D101</f>
        <v>0</v>
      </c>
      <c r="E102" s="269">
        <f t="shared" si="33"/>
        <v>0</v>
      </c>
      <c r="F102" s="269">
        <f t="shared" si="32"/>
        <v>0</v>
      </c>
      <c r="G102" s="269"/>
      <c r="H102" s="269"/>
      <c r="I102" s="716"/>
    </row>
    <row r="103" spans="1:9" ht="16.5" customHeight="1">
      <c r="A103" s="348" t="s">
        <v>64</v>
      </c>
      <c r="B103" s="364" t="s">
        <v>242</v>
      </c>
      <c r="C103" s="340" t="s">
        <v>243</v>
      </c>
      <c r="D103" s="328">
        <f>'9.sz.mell.'!D102</f>
        <v>0</v>
      </c>
      <c r="E103" s="269">
        <f t="shared" si="33"/>
        <v>0</v>
      </c>
      <c r="F103" s="269">
        <f t="shared" si="32"/>
        <v>0</v>
      </c>
      <c r="G103" s="269"/>
      <c r="H103" s="269"/>
      <c r="I103" s="716"/>
    </row>
    <row r="104" spans="1:9" ht="16.5" customHeight="1">
      <c r="A104" s="348" t="s">
        <v>66</v>
      </c>
      <c r="B104" s="364" t="s">
        <v>244</v>
      </c>
      <c r="C104" s="340" t="s">
        <v>245</v>
      </c>
      <c r="D104" s="328">
        <f>'9.sz.mell.'!D103</f>
        <v>5000000</v>
      </c>
      <c r="E104" s="269">
        <v>0</v>
      </c>
      <c r="F104" s="269">
        <f t="shared" si="32"/>
        <v>2415000</v>
      </c>
      <c r="G104" s="269">
        <v>7415000</v>
      </c>
      <c r="H104" s="269">
        <v>6815000</v>
      </c>
      <c r="I104" s="716">
        <f t="shared" si="29"/>
        <v>0.9190829399865138</v>
      </c>
    </row>
    <row r="105" spans="1:9" ht="16.5" customHeight="1">
      <c r="A105" s="348" t="s">
        <v>68</v>
      </c>
      <c r="B105" s="364" t="s">
        <v>246</v>
      </c>
      <c r="C105" s="340" t="s">
        <v>247</v>
      </c>
      <c r="D105" s="328">
        <f>'9.sz.mell.'!D104</f>
        <v>0</v>
      </c>
      <c r="E105" s="269">
        <v>1075000</v>
      </c>
      <c r="F105" s="269">
        <f t="shared" si="32"/>
        <v>14116648</v>
      </c>
      <c r="G105" s="269">
        <v>15191648</v>
      </c>
      <c r="H105" s="269">
        <v>15191648</v>
      </c>
      <c r="I105" s="716">
        <f t="shared" si="29"/>
        <v>1</v>
      </c>
    </row>
    <row r="106" spans="1:9" ht="16.5" customHeight="1">
      <c r="A106" s="361" t="s">
        <v>70</v>
      </c>
      <c r="B106" s="362" t="s">
        <v>470</v>
      </c>
      <c r="C106" s="113" t="s">
        <v>248</v>
      </c>
      <c r="D106" s="121">
        <f>+D97+D98+D99</f>
        <v>191315071</v>
      </c>
      <c r="E106" s="121">
        <f t="shared" ref="E106:H106" si="34">+E97+E98+E99</f>
        <v>57929681</v>
      </c>
      <c r="F106" s="121">
        <f t="shared" si="34"/>
        <v>615839396</v>
      </c>
      <c r="G106" s="121">
        <f t="shared" si="34"/>
        <v>865084148</v>
      </c>
      <c r="H106" s="722">
        <f t="shared" si="34"/>
        <v>118154456</v>
      </c>
      <c r="I106" s="716">
        <f t="shared" si="29"/>
        <v>0.13658146005005747</v>
      </c>
    </row>
    <row r="107" spans="1:9" ht="23.25" customHeight="1">
      <c r="A107" s="119" t="s">
        <v>72</v>
      </c>
      <c r="B107" s="347" t="s">
        <v>249</v>
      </c>
      <c r="C107" s="113" t="s">
        <v>250</v>
      </c>
      <c r="D107" s="333">
        <f>SUM(D96+D106)</f>
        <v>2195820294</v>
      </c>
      <c r="E107" s="333">
        <f t="shared" ref="E107:H107" si="35">SUM(E96+E106)</f>
        <v>1588843726</v>
      </c>
      <c r="F107" s="333">
        <f t="shared" si="35"/>
        <v>643378042</v>
      </c>
      <c r="G107" s="333">
        <f t="shared" si="35"/>
        <v>4428042062</v>
      </c>
      <c r="H107" s="723">
        <f t="shared" si="35"/>
        <v>1683131547</v>
      </c>
      <c r="I107" s="716">
        <f t="shared" si="29"/>
        <v>0.38010739813067296</v>
      </c>
    </row>
    <row r="108" spans="1:9" ht="16.5" customHeight="1">
      <c r="A108" s="348" t="s">
        <v>75</v>
      </c>
      <c r="B108" s="277" t="s">
        <v>251</v>
      </c>
      <c r="C108" s="365" t="s">
        <v>252</v>
      </c>
      <c r="D108" s="350">
        <f>'9.sz.mell.'!D107</f>
        <v>23997938</v>
      </c>
      <c r="E108" s="269">
        <f>G108-D108</f>
        <v>0</v>
      </c>
      <c r="F108" s="269">
        <f>G108-E108-D108</f>
        <v>0</v>
      </c>
      <c r="G108" s="269">
        <v>23997938</v>
      </c>
      <c r="H108" s="269">
        <v>22289499</v>
      </c>
      <c r="I108" s="716">
        <f t="shared" si="29"/>
        <v>0.92880892516682056</v>
      </c>
    </row>
    <row r="109" spans="1:9" ht="16.5" customHeight="1">
      <c r="A109" s="348" t="s">
        <v>78</v>
      </c>
      <c r="B109" s="278" t="s">
        <v>253</v>
      </c>
      <c r="C109" s="337" t="s">
        <v>254</v>
      </c>
      <c r="D109" s="350">
        <f>'9.sz.mell.'!D108</f>
        <v>0</v>
      </c>
      <c r="E109" s="269">
        <f t="shared" ref="E109:E111" si="36">G109-D109</f>
        <v>0</v>
      </c>
      <c r="F109" s="269">
        <f t="shared" ref="F109:F111" si="37">G109-E109-D109</f>
        <v>0</v>
      </c>
      <c r="G109" s="269"/>
      <c r="H109" s="269"/>
      <c r="I109" s="716" t="s">
        <v>861</v>
      </c>
    </row>
    <row r="110" spans="1:9" ht="16.5" customHeight="1">
      <c r="A110" s="366" t="s">
        <v>81</v>
      </c>
      <c r="B110" s="278" t="s">
        <v>255</v>
      </c>
      <c r="C110" s="337" t="s">
        <v>256</v>
      </c>
      <c r="D110" s="350">
        <f>'9.sz.mell.'!D109</f>
        <v>30364900</v>
      </c>
      <c r="E110" s="269">
        <f t="shared" si="36"/>
        <v>0</v>
      </c>
      <c r="F110" s="269">
        <f t="shared" si="37"/>
        <v>0</v>
      </c>
      <c r="G110" s="269">
        <v>30364900</v>
      </c>
      <c r="H110" s="269">
        <v>30364900</v>
      </c>
      <c r="I110" s="716">
        <f t="shared" si="29"/>
        <v>1</v>
      </c>
    </row>
    <row r="111" spans="1:9" ht="16.5" customHeight="1">
      <c r="A111" s="348" t="s">
        <v>83</v>
      </c>
      <c r="B111" s="278" t="s">
        <v>257</v>
      </c>
      <c r="C111" s="337" t="s">
        <v>258</v>
      </c>
      <c r="D111" s="326"/>
      <c r="E111" s="269">
        <f t="shared" si="36"/>
        <v>0</v>
      </c>
      <c r="F111" s="269">
        <f t="shared" si="37"/>
        <v>0</v>
      </c>
      <c r="G111" s="269"/>
      <c r="H111" s="269"/>
      <c r="I111" s="716" t="s">
        <v>861</v>
      </c>
    </row>
    <row r="112" spans="1:9" ht="24.75" customHeight="1">
      <c r="A112" s="367" t="s">
        <v>85</v>
      </c>
      <c r="B112" s="109" t="s">
        <v>259</v>
      </c>
      <c r="C112" s="113" t="s">
        <v>260</v>
      </c>
      <c r="D112" s="368">
        <f>SUM(D108:D111)</f>
        <v>54362838</v>
      </c>
      <c r="E112" s="368">
        <f t="shared" ref="E112:H112" si="38">SUM(E108:E111)</f>
        <v>0</v>
      </c>
      <c r="F112" s="368">
        <f t="shared" si="38"/>
        <v>0</v>
      </c>
      <c r="G112" s="368">
        <f t="shared" si="38"/>
        <v>54362838</v>
      </c>
      <c r="H112" s="368">
        <f t="shared" si="38"/>
        <v>52654399</v>
      </c>
      <c r="I112" s="716">
        <f t="shared" si="29"/>
        <v>0.96857340302947392</v>
      </c>
    </row>
    <row r="113" spans="1:9" s="5" customFormat="1" ht="27.75" customHeight="1">
      <c r="A113" s="255">
        <v>32</v>
      </c>
      <c r="B113" s="331" t="s">
        <v>261</v>
      </c>
      <c r="C113" s="369" t="s">
        <v>262</v>
      </c>
      <c r="D113" s="368">
        <f>D107+D112</f>
        <v>2250183132</v>
      </c>
      <c r="E113" s="368">
        <f t="shared" ref="E113:H113" si="39">E107+E112</f>
        <v>1588843726</v>
      </c>
      <c r="F113" s="368">
        <f t="shared" si="39"/>
        <v>643378042</v>
      </c>
      <c r="G113" s="368">
        <f t="shared" si="39"/>
        <v>4482404900</v>
      </c>
      <c r="H113" s="368">
        <f t="shared" si="39"/>
        <v>1735785946</v>
      </c>
      <c r="I113" s="716">
        <f t="shared" si="29"/>
        <v>0.38724434421352699</v>
      </c>
    </row>
    <row r="114" spans="1:9" ht="16.5" customHeight="1">
      <c r="I114" s="786" t="s">
        <v>861</v>
      </c>
    </row>
    <row r="115" spans="1:9" ht="30.75" customHeight="1">
      <c r="A115" s="863" t="s">
        <v>263</v>
      </c>
      <c r="B115" s="863"/>
      <c r="C115" s="863"/>
      <c r="D115" s="863"/>
    </row>
    <row r="116" spans="1:9" ht="15" customHeight="1">
      <c r="A116" s="862"/>
      <c r="B116" s="862"/>
      <c r="C116" s="2"/>
      <c r="D116" s="10"/>
    </row>
    <row r="117" spans="1:9" ht="29.25" customHeight="1">
      <c r="A117" s="255">
        <v>1</v>
      </c>
      <c r="B117" s="861" t="s">
        <v>264</v>
      </c>
      <c r="C117" s="861"/>
      <c r="D117" s="371">
        <f>D70-D107</f>
        <v>-250131788</v>
      </c>
      <c r="E117" s="371">
        <f t="shared" ref="E117:H117" si="40">E70-E107</f>
        <v>-108629772</v>
      </c>
      <c r="F117" s="371"/>
      <c r="G117" s="371">
        <f t="shared" si="40"/>
        <v>-357161084</v>
      </c>
      <c r="H117" s="728">
        <f t="shared" si="40"/>
        <v>1870269466</v>
      </c>
      <c r="I117" s="720" t="s">
        <v>861</v>
      </c>
    </row>
    <row r="118" spans="1:9" ht="29.25" customHeight="1">
      <c r="A118" s="255" t="s">
        <v>13</v>
      </c>
      <c r="B118" s="861" t="s">
        <v>856</v>
      </c>
      <c r="C118" s="861"/>
      <c r="D118" s="371">
        <f>D76-D112</f>
        <v>250131788</v>
      </c>
      <c r="E118" s="371">
        <f t="shared" ref="E118:H118" si="41">E76-E112</f>
        <v>107029296</v>
      </c>
      <c r="F118" s="371"/>
      <c r="G118" s="371">
        <f t="shared" si="41"/>
        <v>357161084</v>
      </c>
      <c r="H118" s="728">
        <f t="shared" si="41"/>
        <v>358869523</v>
      </c>
      <c r="I118" s="720" t="s">
        <v>861</v>
      </c>
    </row>
  </sheetData>
  <mergeCells count="9">
    <mergeCell ref="A1:I1"/>
    <mergeCell ref="A2:G2"/>
    <mergeCell ref="B117:C117"/>
    <mergeCell ref="B118:C118"/>
    <mergeCell ref="A116:B116"/>
    <mergeCell ref="A79:D79"/>
    <mergeCell ref="A3:B3"/>
    <mergeCell ref="A78:D78"/>
    <mergeCell ref="A115:D1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>
    <oddHeader>&amp;R&amp;"Times New Roman CE,Félkövér dőlt"&amp;11 1. melléklet a 22/2017. (XII.04.) önkormányzati rendelethez</oddHeader>
  </headerFooter>
  <rowBreaks count="1" manualBreakCount="1">
    <brk id="77" max="5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O26"/>
  <sheetViews>
    <sheetView view="pageLayout" topLeftCell="C1" workbookViewId="0">
      <selection sqref="A1:O1"/>
    </sheetView>
  </sheetViews>
  <sheetFormatPr defaultRowHeight="15.6"/>
  <cols>
    <col min="1" max="1" width="5.44140625" style="131" customWidth="1"/>
    <col min="2" max="2" width="28.77734375" style="130" customWidth="1"/>
    <col min="3" max="14" width="11.33203125" style="130" customWidth="1"/>
    <col min="15" max="15" width="11.33203125" style="131" customWidth="1"/>
    <col min="16" max="256" width="9.33203125" style="130"/>
    <col min="257" max="257" width="5.44140625" style="130" customWidth="1"/>
    <col min="258" max="258" width="28.77734375" style="130" customWidth="1"/>
    <col min="259" max="271" width="11.33203125" style="130" customWidth="1"/>
    <col min="272" max="512" width="9.33203125" style="130"/>
    <col min="513" max="513" width="5.44140625" style="130" customWidth="1"/>
    <col min="514" max="514" width="28.77734375" style="130" customWidth="1"/>
    <col min="515" max="527" width="11.33203125" style="130" customWidth="1"/>
    <col min="528" max="768" width="9.33203125" style="130"/>
    <col min="769" max="769" width="5.44140625" style="130" customWidth="1"/>
    <col min="770" max="770" width="28.77734375" style="130" customWidth="1"/>
    <col min="771" max="783" width="11.33203125" style="130" customWidth="1"/>
    <col min="784" max="1024" width="9.33203125" style="130"/>
    <col min="1025" max="1025" width="5.44140625" style="130" customWidth="1"/>
    <col min="1026" max="1026" width="28.77734375" style="130" customWidth="1"/>
    <col min="1027" max="1039" width="11.33203125" style="130" customWidth="1"/>
    <col min="1040" max="1280" width="9.33203125" style="130"/>
    <col min="1281" max="1281" width="5.44140625" style="130" customWidth="1"/>
    <col min="1282" max="1282" width="28.77734375" style="130" customWidth="1"/>
    <col min="1283" max="1295" width="11.33203125" style="130" customWidth="1"/>
    <col min="1296" max="1536" width="9.33203125" style="130"/>
    <col min="1537" max="1537" width="5.44140625" style="130" customWidth="1"/>
    <col min="1538" max="1538" width="28.77734375" style="130" customWidth="1"/>
    <col min="1539" max="1551" width="11.33203125" style="130" customWidth="1"/>
    <col min="1552" max="1792" width="9.33203125" style="130"/>
    <col min="1793" max="1793" width="5.44140625" style="130" customWidth="1"/>
    <col min="1794" max="1794" width="28.77734375" style="130" customWidth="1"/>
    <col min="1795" max="1807" width="11.33203125" style="130" customWidth="1"/>
    <col min="1808" max="2048" width="9.33203125" style="130"/>
    <col min="2049" max="2049" width="5.44140625" style="130" customWidth="1"/>
    <col min="2050" max="2050" width="28.77734375" style="130" customWidth="1"/>
    <col min="2051" max="2063" width="11.33203125" style="130" customWidth="1"/>
    <col min="2064" max="2304" width="9.33203125" style="130"/>
    <col min="2305" max="2305" width="5.44140625" style="130" customWidth="1"/>
    <col min="2306" max="2306" width="28.77734375" style="130" customWidth="1"/>
    <col min="2307" max="2319" width="11.33203125" style="130" customWidth="1"/>
    <col min="2320" max="2560" width="9.33203125" style="130"/>
    <col min="2561" max="2561" width="5.44140625" style="130" customWidth="1"/>
    <col min="2562" max="2562" width="28.77734375" style="130" customWidth="1"/>
    <col min="2563" max="2575" width="11.33203125" style="130" customWidth="1"/>
    <col min="2576" max="2816" width="9.33203125" style="130"/>
    <col min="2817" max="2817" width="5.44140625" style="130" customWidth="1"/>
    <col min="2818" max="2818" width="28.77734375" style="130" customWidth="1"/>
    <col min="2819" max="2831" width="11.33203125" style="130" customWidth="1"/>
    <col min="2832" max="3072" width="9.33203125" style="130"/>
    <col min="3073" max="3073" width="5.44140625" style="130" customWidth="1"/>
    <col min="3074" max="3074" width="28.77734375" style="130" customWidth="1"/>
    <col min="3075" max="3087" width="11.33203125" style="130" customWidth="1"/>
    <col min="3088" max="3328" width="9.33203125" style="130"/>
    <col min="3329" max="3329" width="5.44140625" style="130" customWidth="1"/>
    <col min="3330" max="3330" width="28.77734375" style="130" customWidth="1"/>
    <col min="3331" max="3343" width="11.33203125" style="130" customWidth="1"/>
    <col min="3344" max="3584" width="9.33203125" style="130"/>
    <col min="3585" max="3585" width="5.44140625" style="130" customWidth="1"/>
    <col min="3586" max="3586" width="28.77734375" style="130" customWidth="1"/>
    <col min="3587" max="3599" width="11.33203125" style="130" customWidth="1"/>
    <col min="3600" max="3840" width="9.33203125" style="130"/>
    <col min="3841" max="3841" width="5.44140625" style="130" customWidth="1"/>
    <col min="3842" max="3842" width="28.77734375" style="130" customWidth="1"/>
    <col min="3843" max="3855" width="11.33203125" style="130" customWidth="1"/>
    <col min="3856" max="4096" width="9.33203125" style="130"/>
    <col min="4097" max="4097" width="5.44140625" style="130" customWidth="1"/>
    <col min="4098" max="4098" width="28.77734375" style="130" customWidth="1"/>
    <col min="4099" max="4111" width="11.33203125" style="130" customWidth="1"/>
    <col min="4112" max="4352" width="9.33203125" style="130"/>
    <col min="4353" max="4353" width="5.44140625" style="130" customWidth="1"/>
    <col min="4354" max="4354" width="28.77734375" style="130" customWidth="1"/>
    <col min="4355" max="4367" width="11.33203125" style="130" customWidth="1"/>
    <col min="4368" max="4608" width="9.33203125" style="130"/>
    <col min="4609" max="4609" width="5.44140625" style="130" customWidth="1"/>
    <col min="4610" max="4610" width="28.77734375" style="130" customWidth="1"/>
    <col min="4611" max="4623" width="11.33203125" style="130" customWidth="1"/>
    <col min="4624" max="4864" width="9.33203125" style="130"/>
    <col min="4865" max="4865" width="5.44140625" style="130" customWidth="1"/>
    <col min="4866" max="4866" width="28.77734375" style="130" customWidth="1"/>
    <col min="4867" max="4879" width="11.33203125" style="130" customWidth="1"/>
    <col min="4880" max="5120" width="9.33203125" style="130"/>
    <col min="5121" max="5121" width="5.44140625" style="130" customWidth="1"/>
    <col min="5122" max="5122" width="28.77734375" style="130" customWidth="1"/>
    <col min="5123" max="5135" width="11.33203125" style="130" customWidth="1"/>
    <col min="5136" max="5376" width="9.33203125" style="130"/>
    <col min="5377" max="5377" width="5.44140625" style="130" customWidth="1"/>
    <col min="5378" max="5378" width="28.77734375" style="130" customWidth="1"/>
    <col min="5379" max="5391" width="11.33203125" style="130" customWidth="1"/>
    <col min="5392" max="5632" width="9.33203125" style="130"/>
    <col min="5633" max="5633" width="5.44140625" style="130" customWidth="1"/>
    <col min="5634" max="5634" width="28.77734375" style="130" customWidth="1"/>
    <col min="5635" max="5647" width="11.33203125" style="130" customWidth="1"/>
    <col min="5648" max="5888" width="9.33203125" style="130"/>
    <col min="5889" max="5889" width="5.44140625" style="130" customWidth="1"/>
    <col min="5890" max="5890" width="28.77734375" style="130" customWidth="1"/>
    <col min="5891" max="5903" width="11.33203125" style="130" customWidth="1"/>
    <col min="5904" max="6144" width="9.33203125" style="130"/>
    <col min="6145" max="6145" width="5.44140625" style="130" customWidth="1"/>
    <col min="6146" max="6146" width="28.77734375" style="130" customWidth="1"/>
    <col min="6147" max="6159" width="11.33203125" style="130" customWidth="1"/>
    <col min="6160" max="6400" width="9.33203125" style="130"/>
    <col min="6401" max="6401" width="5.44140625" style="130" customWidth="1"/>
    <col min="6402" max="6402" width="28.77734375" style="130" customWidth="1"/>
    <col min="6403" max="6415" width="11.33203125" style="130" customWidth="1"/>
    <col min="6416" max="6656" width="9.33203125" style="130"/>
    <col min="6657" max="6657" width="5.44140625" style="130" customWidth="1"/>
    <col min="6658" max="6658" width="28.77734375" style="130" customWidth="1"/>
    <col min="6659" max="6671" width="11.33203125" style="130" customWidth="1"/>
    <col min="6672" max="6912" width="9.33203125" style="130"/>
    <col min="6913" max="6913" width="5.44140625" style="130" customWidth="1"/>
    <col min="6914" max="6914" width="28.77734375" style="130" customWidth="1"/>
    <col min="6915" max="6927" width="11.33203125" style="130" customWidth="1"/>
    <col min="6928" max="7168" width="9.33203125" style="130"/>
    <col min="7169" max="7169" width="5.44140625" style="130" customWidth="1"/>
    <col min="7170" max="7170" width="28.77734375" style="130" customWidth="1"/>
    <col min="7171" max="7183" width="11.33203125" style="130" customWidth="1"/>
    <col min="7184" max="7424" width="9.33203125" style="130"/>
    <col min="7425" max="7425" width="5.44140625" style="130" customWidth="1"/>
    <col min="7426" max="7426" width="28.77734375" style="130" customWidth="1"/>
    <col min="7427" max="7439" width="11.33203125" style="130" customWidth="1"/>
    <col min="7440" max="7680" width="9.33203125" style="130"/>
    <col min="7681" max="7681" width="5.44140625" style="130" customWidth="1"/>
    <col min="7682" max="7682" width="28.77734375" style="130" customWidth="1"/>
    <col min="7683" max="7695" width="11.33203125" style="130" customWidth="1"/>
    <col min="7696" max="7936" width="9.33203125" style="130"/>
    <col min="7937" max="7937" width="5.44140625" style="130" customWidth="1"/>
    <col min="7938" max="7938" width="28.77734375" style="130" customWidth="1"/>
    <col min="7939" max="7951" width="11.33203125" style="130" customWidth="1"/>
    <col min="7952" max="8192" width="9.33203125" style="130"/>
    <col min="8193" max="8193" width="5.44140625" style="130" customWidth="1"/>
    <col min="8194" max="8194" width="28.77734375" style="130" customWidth="1"/>
    <col min="8195" max="8207" width="11.33203125" style="130" customWidth="1"/>
    <col min="8208" max="8448" width="9.33203125" style="130"/>
    <col min="8449" max="8449" width="5.44140625" style="130" customWidth="1"/>
    <col min="8450" max="8450" width="28.77734375" style="130" customWidth="1"/>
    <col min="8451" max="8463" width="11.33203125" style="130" customWidth="1"/>
    <col min="8464" max="8704" width="9.33203125" style="130"/>
    <col min="8705" max="8705" width="5.44140625" style="130" customWidth="1"/>
    <col min="8706" max="8706" width="28.77734375" style="130" customWidth="1"/>
    <col min="8707" max="8719" width="11.33203125" style="130" customWidth="1"/>
    <col min="8720" max="8960" width="9.33203125" style="130"/>
    <col min="8961" max="8961" width="5.44140625" style="130" customWidth="1"/>
    <col min="8962" max="8962" width="28.77734375" style="130" customWidth="1"/>
    <col min="8963" max="8975" width="11.33203125" style="130" customWidth="1"/>
    <col min="8976" max="9216" width="9.33203125" style="130"/>
    <col min="9217" max="9217" width="5.44140625" style="130" customWidth="1"/>
    <col min="9218" max="9218" width="28.77734375" style="130" customWidth="1"/>
    <col min="9219" max="9231" width="11.33203125" style="130" customWidth="1"/>
    <col min="9232" max="9472" width="9.33203125" style="130"/>
    <col min="9473" max="9473" width="5.44140625" style="130" customWidth="1"/>
    <col min="9474" max="9474" width="28.77734375" style="130" customWidth="1"/>
    <col min="9475" max="9487" width="11.33203125" style="130" customWidth="1"/>
    <col min="9488" max="9728" width="9.33203125" style="130"/>
    <col min="9729" max="9729" width="5.44140625" style="130" customWidth="1"/>
    <col min="9730" max="9730" width="28.77734375" style="130" customWidth="1"/>
    <col min="9731" max="9743" width="11.33203125" style="130" customWidth="1"/>
    <col min="9744" max="9984" width="9.33203125" style="130"/>
    <col min="9985" max="9985" width="5.44140625" style="130" customWidth="1"/>
    <col min="9986" max="9986" width="28.77734375" style="130" customWidth="1"/>
    <col min="9987" max="9999" width="11.33203125" style="130" customWidth="1"/>
    <col min="10000" max="10240" width="9.33203125" style="130"/>
    <col min="10241" max="10241" width="5.44140625" style="130" customWidth="1"/>
    <col min="10242" max="10242" width="28.77734375" style="130" customWidth="1"/>
    <col min="10243" max="10255" width="11.33203125" style="130" customWidth="1"/>
    <col min="10256" max="10496" width="9.33203125" style="130"/>
    <col min="10497" max="10497" width="5.44140625" style="130" customWidth="1"/>
    <col min="10498" max="10498" width="28.77734375" style="130" customWidth="1"/>
    <col min="10499" max="10511" width="11.33203125" style="130" customWidth="1"/>
    <col min="10512" max="10752" width="9.33203125" style="130"/>
    <col min="10753" max="10753" width="5.44140625" style="130" customWidth="1"/>
    <col min="10754" max="10754" width="28.77734375" style="130" customWidth="1"/>
    <col min="10755" max="10767" width="11.33203125" style="130" customWidth="1"/>
    <col min="10768" max="11008" width="9.33203125" style="130"/>
    <col min="11009" max="11009" width="5.44140625" style="130" customWidth="1"/>
    <col min="11010" max="11010" width="28.77734375" style="130" customWidth="1"/>
    <col min="11011" max="11023" width="11.33203125" style="130" customWidth="1"/>
    <col min="11024" max="11264" width="9.33203125" style="130"/>
    <col min="11265" max="11265" width="5.44140625" style="130" customWidth="1"/>
    <col min="11266" max="11266" width="28.77734375" style="130" customWidth="1"/>
    <col min="11267" max="11279" width="11.33203125" style="130" customWidth="1"/>
    <col min="11280" max="11520" width="9.33203125" style="130"/>
    <col min="11521" max="11521" width="5.44140625" style="130" customWidth="1"/>
    <col min="11522" max="11522" width="28.77734375" style="130" customWidth="1"/>
    <col min="11523" max="11535" width="11.33203125" style="130" customWidth="1"/>
    <col min="11536" max="11776" width="9.33203125" style="130"/>
    <col min="11777" max="11777" width="5.44140625" style="130" customWidth="1"/>
    <col min="11778" max="11778" width="28.77734375" style="130" customWidth="1"/>
    <col min="11779" max="11791" width="11.33203125" style="130" customWidth="1"/>
    <col min="11792" max="12032" width="9.33203125" style="130"/>
    <col min="12033" max="12033" width="5.44140625" style="130" customWidth="1"/>
    <col min="12034" max="12034" width="28.77734375" style="130" customWidth="1"/>
    <col min="12035" max="12047" width="11.33203125" style="130" customWidth="1"/>
    <col min="12048" max="12288" width="9.33203125" style="130"/>
    <col min="12289" max="12289" width="5.44140625" style="130" customWidth="1"/>
    <col min="12290" max="12290" width="28.77734375" style="130" customWidth="1"/>
    <col min="12291" max="12303" width="11.33203125" style="130" customWidth="1"/>
    <col min="12304" max="12544" width="9.33203125" style="130"/>
    <col min="12545" max="12545" width="5.44140625" style="130" customWidth="1"/>
    <col min="12546" max="12546" width="28.77734375" style="130" customWidth="1"/>
    <col min="12547" max="12559" width="11.33203125" style="130" customWidth="1"/>
    <col min="12560" max="12800" width="9.33203125" style="130"/>
    <col min="12801" max="12801" width="5.44140625" style="130" customWidth="1"/>
    <col min="12802" max="12802" width="28.77734375" style="130" customWidth="1"/>
    <col min="12803" max="12815" width="11.33203125" style="130" customWidth="1"/>
    <col min="12816" max="13056" width="9.33203125" style="130"/>
    <col min="13057" max="13057" width="5.44140625" style="130" customWidth="1"/>
    <col min="13058" max="13058" width="28.77734375" style="130" customWidth="1"/>
    <col min="13059" max="13071" width="11.33203125" style="130" customWidth="1"/>
    <col min="13072" max="13312" width="9.33203125" style="130"/>
    <col min="13313" max="13313" width="5.44140625" style="130" customWidth="1"/>
    <col min="13314" max="13314" width="28.77734375" style="130" customWidth="1"/>
    <col min="13315" max="13327" width="11.33203125" style="130" customWidth="1"/>
    <col min="13328" max="13568" width="9.33203125" style="130"/>
    <col min="13569" max="13569" width="5.44140625" style="130" customWidth="1"/>
    <col min="13570" max="13570" width="28.77734375" style="130" customWidth="1"/>
    <col min="13571" max="13583" width="11.33203125" style="130" customWidth="1"/>
    <col min="13584" max="13824" width="9.33203125" style="130"/>
    <col min="13825" max="13825" width="5.44140625" style="130" customWidth="1"/>
    <col min="13826" max="13826" width="28.77734375" style="130" customWidth="1"/>
    <col min="13827" max="13839" width="11.33203125" style="130" customWidth="1"/>
    <col min="13840" max="14080" width="9.33203125" style="130"/>
    <col min="14081" max="14081" width="5.44140625" style="130" customWidth="1"/>
    <col min="14082" max="14082" width="28.77734375" style="130" customWidth="1"/>
    <col min="14083" max="14095" width="11.33203125" style="130" customWidth="1"/>
    <col min="14096" max="14336" width="9.33203125" style="130"/>
    <col min="14337" max="14337" width="5.44140625" style="130" customWidth="1"/>
    <col min="14338" max="14338" width="28.77734375" style="130" customWidth="1"/>
    <col min="14339" max="14351" width="11.33203125" style="130" customWidth="1"/>
    <col min="14352" max="14592" width="9.33203125" style="130"/>
    <col min="14593" max="14593" width="5.44140625" style="130" customWidth="1"/>
    <col min="14594" max="14594" width="28.77734375" style="130" customWidth="1"/>
    <col min="14595" max="14607" width="11.33203125" style="130" customWidth="1"/>
    <col min="14608" max="14848" width="9.33203125" style="130"/>
    <col min="14849" max="14849" width="5.44140625" style="130" customWidth="1"/>
    <col min="14850" max="14850" width="28.77734375" style="130" customWidth="1"/>
    <col min="14851" max="14863" width="11.33203125" style="130" customWidth="1"/>
    <col min="14864" max="15104" width="9.33203125" style="130"/>
    <col min="15105" max="15105" width="5.44140625" style="130" customWidth="1"/>
    <col min="15106" max="15106" width="28.77734375" style="130" customWidth="1"/>
    <col min="15107" max="15119" width="11.33203125" style="130" customWidth="1"/>
    <col min="15120" max="15360" width="9.33203125" style="130"/>
    <col min="15361" max="15361" width="5.44140625" style="130" customWidth="1"/>
    <col min="15362" max="15362" width="28.77734375" style="130" customWidth="1"/>
    <col min="15363" max="15375" width="11.33203125" style="130" customWidth="1"/>
    <col min="15376" max="15616" width="9.33203125" style="130"/>
    <col min="15617" max="15617" width="5.44140625" style="130" customWidth="1"/>
    <col min="15618" max="15618" width="28.77734375" style="130" customWidth="1"/>
    <col min="15619" max="15631" width="11.33203125" style="130" customWidth="1"/>
    <col min="15632" max="15872" width="9.33203125" style="130"/>
    <col min="15873" max="15873" width="5.44140625" style="130" customWidth="1"/>
    <col min="15874" max="15874" width="28.77734375" style="130" customWidth="1"/>
    <col min="15875" max="15887" width="11.33203125" style="130" customWidth="1"/>
    <col min="15888" max="16128" width="9.33203125" style="130"/>
    <col min="16129" max="16129" width="5.44140625" style="130" customWidth="1"/>
    <col min="16130" max="16130" width="28.77734375" style="130" customWidth="1"/>
    <col min="16131" max="16143" width="11.33203125" style="130" customWidth="1"/>
    <col min="16144" max="16384" width="9.33203125" style="130"/>
  </cols>
  <sheetData>
    <row r="1" spans="1:15" ht="45.75" customHeight="1">
      <c r="A1" s="920" t="s">
        <v>569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</row>
    <row r="2" spans="1:15" ht="12" customHeight="1">
      <c r="N2" s="132"/>
      <c r="O2" s="133" t="s">
        <v>423</v>
      </c>
    </row>
    <row r="3" spans="1:15" s="131" customFormat="1" ht="31.5" customHeight="1">
      <c r="A3" s="527" t="s">
        <v>407</v>
      </c>
      <c r="B3" s="528" t="s">
        <v>267</v>
      </c>
      <c r="C3" s="528" t="s">
        <v>530</v>
      </c>
      <c r="D3" s="528" t="s">
        <v>531</v>
      </c>
      <c r="E3" s="528" t="s">
        <v>532</v>
      </c>
      <c r="F3" s="528" t="s">
        <v>533</v>
      </c>
      <c r="G3" s="528" t="s">
        <v>534</v>
      </c>
      <c r="H3" s="528" t="s">
        <v>535</v>
      </c>
      <c r="I3" s="528" t="s">
        <v>536</v>
      </c>
      <c r="J3" s="528" t="s">
        <v>537</v>
      </c>
      <c r="K3" s="528" t="s">
        <v>538</v>
      </c>
      <c r="L3" s="528" t="s">
        <v>539</v>
      </c>
      <c r="M3" s="528" t="s">
        <v>540</v>
      </c>
      <c r="N3" s="528" t="s">
        <v>541</v>
      </c>
      <c r="O3" s="528" t="s">
        <v>542</v>
      </c>
    </row>
    <row r="4" spans="1:15" s="134" customFormat="1" ht="21" customHeight="1">
      <c r="A4" s="529" t="s">
        <v>10</v>
      </c>
      <c r="B4" s="922" t="s">
        <v>265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</row>
    <row r="5" spans="1:15" s="135" customFormat="1" ht="21" customHeight="1">
      <c r="A5" s="529" t="s">
        <v>13</v>
      </c>
      <c r="B5" s="529" t="s">
        <v>543</v>
      </c>
      <c r="C5" s="530">
        <v>81795</v>
      </c>
      <c r="D5" s="530">
        <v>137620</v>
      </c>
      <c r="E5" s="530">
        <v>81795</v>
      </c>
      <c r="F5" s="530">
        <v>71293</v>
      </c>
      <c r="G5" s="530">
        <v>71293</v>
      </c>
      <c r="H5" s="530">
        <v>71293</v>
      </c>
      <c r="I5" s="530">
        <v>187920</v>
      </c>
      <c r="J5" s="530">
        <v>187920</v>
      </c>
      <c r="K5" s="530">
        <v>187922</v>
      </c>
      <c r="L5" s="530">
        <v>71291</v>
      </c>
      <c r="M5" s="530">
        <v>71290</v>
      </c>
      <c r="N5" s="530">
        <v>86342</v>
      </c>
      <c r="O5" s="531">
        <f t="shared" ref="O5:O12" si="0">SUM(C5:N5)</f>
        <v>1307774</v>
      </c>
    </row>
    <row r="6" spans="1:15" s="135" customFormat="1" ht="21" customHeight="1">
      <c r="A6" s="529" t="s">
        <v>16</v>
      </c>
      <c r="B6" s="532" t="s">
        <v>544</v>
      </c>
      <c r="C6" s="530"/>
      <c r="D6" s="530"/>
      <c r="E6" s="530"/>
      <c r="F6" s="530">
        <v>50000</v>
      </c>
      <c r="G6" s="530"/>
      <c r="H6" s="530"/>
      <c r="I6" s="530">
        <v>584095</v>
      </c>
      <c r="J6" s="530">
        <v>584095</v>
      </c>
      <c r="K6" s="530">
        <v>584095</v>
      </c>
      <c r="L6" s="530"/>
      <c r="M6" s="530"/>
      <c r="N6" s="530"/>
      <c r="O6" s="531">
        <f t="shared" si="0"/>
        <v>1802285</v>
      </c>
    </row>
    <row r="7" spans="1:15" s="135" customFormat="1" ht="21" customHeight="1">
      <c r="A7" s="529" t="s">
        <v>19</v>
      </c>
      <c r="B7" s="529" t="s">
        <v>457</v>
      </c>
      <c r="C7" s="530">
        <v>15386</v>
      </c>
      <c r="D7" s="530">
        <v>15386</v>
      </c>
      <c r="E7" s="530">
        <v>292387</v>
      </c>
      <c r="F7" s="530">
        <v>15387</v>
      </c>
      <c r="G7" s="530">
        <v>149380</v>
      </c>
      <c r="H7" s="530">
        <v>16387</v>
      </c>
      <c r="I7" s="530">
        <v>15387</v>
      </c>
      <c r="J7" s="530">
        <v>16091</v>
      </c>
      <c r="K7" s="530">
        <v>306493</v>
      </c>
      <c r="L7" s="530">
        <v>16387</v>
      </c>
      <c r="M7" s="530">
        <v>15386</v>
      </c>
      <c r="N7" s="530">
        <v>75686</v>
      </c>
      <c r="O7" s="531">
        <f t="shared" si="0"/>
        <v>949743</v>
      </c>
    </row>
    <row r="8" spans="1:15" s="135" customFormat="1" ht="21" customHeight="1">
      <c r="A8" s="529" t="s">
        <v>22</v>
      </c>
      <c r="B8" s="529" t="s">
        <v>458</v>
      </c>
      <c r="C8" s="530">
        <v>180</v>
      </c>
      <c r="D8" s="530">
        <v>180</v>
      </c>
      <c r="E8" s="530">
        <v>180</v>
      </c>
      <c r="F8" s="530">
        <v>180</v>
      </c>
      <c r="G8" s="530">
        <v>180</v>
      </c>
      <c r="H8" s="530">
        <v>180</v>
      </c>
      <c r="I8" s="530">
        <v>1843</v>
      </c>
      <c r="J8" s="530">
        <v>1843</v>
      </c>
      <c r="K8" s="530">
        <v>1844</v>
      </c>
      <c r="L8" s="530">
        <v>180</v>
      </c>
      <c r="M8" s="530">
        <v>180</v>
      </c>
      <c r="N8" s="530">
        <v>180</v>
      </c>
      <c r="O8" s="531">
        <f t="shared" si="0"/>
        <v>7150</v>
      </c>
    </row>
    <row r="9" spans="1:15" s="135" customFormat="1" ht="21" customHeight="1">
      <c r="A9" s="529" t="s">
        <v>25</v>
      </c>
      <c r="B9" s="529" t="s">
        <v>545</v>
      </c>
      <c r="C9" s="530"/>
      <c r="D9" s="530"/>
      <c r="E9" s="530"/>
      <c r="F9" s="530"/>
      <c r="G9" s="530"/>
      <c r="H9" s="530"/>
      <c r="I9" s="530"/>
      <c r="J9" s="530"/>
      <c r="K9" s="530">
        <v>2359</v>
      </c>
      <c r="L9" s="530"/>
      <c r="M9" s="530"/>
      <c r="N9" s="530"/>
      <c r="O9" s="531">
        <f t="shared" si="0"/>
        <v>2359</v>
      </c>
    </row>
    <row r="10" spans="1:15" s="135" customFormat="1" ht="21" customHeight="1">
      <c r="A10" s="529" t="s">
        <v>28</v>
      </c>
      <c r="B10" s="529" t="s">
        <v>546</v>
      </c>
      <c r="C10" s="530"/>
      <c r="D10" s="530"/>
      <c r="E10" s="530"/>
      <c r="F10" s="530"/>
      <c r="G10" s="530"/>
      <c r="H10" s="530"/>
      <c r="I10" s="530"/>
      <c r="J10" s="530"/>
      <c r="K10" s="530">
        <v>1570</v>
      </c>
      <c r="L10" s="530"/>
      <c r="M10" s="530"/>
      <c r="N10" s="530"/>
      <c r="O10" s="531">
        <f t="shared" si="0"/>
        <v>1570</v>
      </c>
    </row>
    <row r="11" spans="1:15" s="135" customFormat="1" ht="21" customHeight="1">
      <c r="A11" s="529" t="s">
        <v>31</v>
      </c>
      <c r="B11" s="532" t="s">
        <v>547</v>
      </c>
      <c r="C11" s="530">
        <v>88180</v>
      </c>
      <c r="D11" s="530">
        <v>25495</v>
      </c>
      <c r="E11" s="530">
        <v>19620</v>
      </c>
      <c r="F11" s="530">
        <v>7875</v>
      </c>
      <c r="G11" s="530">
        <v>57874</v>
      </c>
      <c r="H11" s="530">
        <v>15750</v>
      </c>
      <c r="I11" s="530">
        <v>7875</v>
      </c>
      <c r="J11" s="530">
        <v>131855</v>
      </c>
      <c r="K11" s="530">
        <v>33375</v>
      </c>
      <c r="L11" s="530">
        <v>7875</v>
      </c>
      <c r="M11" s="530">
        <v>7875</v>
      </c>
      <c r="N11" s="530">
        <v>7875</v>
      </c>
      <c r="O11" s="531">
        <f t="shared" si="0"/>
        <v>411524</v>
      </c>
    </row>
    <row r="12" spans="1:15" s="134" customFormat="1" ht="21" customHeight="1">
      <c r="A12" s="529" t="s">
        <v>34</v>
      </c>
      <c r="B12" s="533" t="s">
        <v>548</v>
      </c>
      <c r="C12" s="534">
        <f t="shared" ref="C12:N12" si="1">SUM(C5:C11)</f>
        <v>185541</v>
      </c>
      <c r="D12" s="534">
        <f t="shared" si="1"/>
        <v>178681</v>
      </c>
      <c r="E12" s="534">
        <f t="shared" si="1"/>
        <v>393982</v>
      </c>
      <c r="F12" s="534">
        <f t="shared" si="1"/>
        <v>144735</v>
      </c>
      <c r="G12" s="534">
        <f t="shared" si="1"/>
        <v>278727</v>
      </c>
      <c r="H12" s="534">
        <f t="shared" si="1"/>
        <v>103610</v>
      </c>
      <c r="I12" s="534">
        <f t="shared" si="1"/>
        <v>797120</v>
      </c>
      <c r="J12" s="534">
        <f t="shared" si="1"/>
        <v>921804</v>
      </c>
      <c r="K12" s="534">
        <f t="shared" si="1"/>
        <v>1117658</v>
      </c>
      <c r="L12" s="534">
        <f t="shared" si="1"/>
        <v>95733</v>
      </c>
      <c r="M12" s="534">
        <f t="shared" si="1"/>
        <v>94731</v>
      </c>
      <c r="N12" s="534">
        <f t="shared" si="1"/>
        <v>170083</v>
      </c>
      <c r="O12" s="534">
        <f t="shared" si="0"/>
        <v>4482405</v>
      </c>
    </row>
    <row r="13" spans="1:15" s="134" customFormat="1" ht="21" customHeight="1">
      <c r="A13" s="529" t="s">
        <v>37</v>
      </c>
      <c r="B13" s="922" t="s">
        <v>266</v>
      </c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</row>
    <row r="14" spans="1:15" s="135" customFormat="1" ht="21" customHeight="1">
      <c r="A14" s="529" t="s">
        <v>39</v>
      </c>
      <c r="B14" s="529" t="s">
        <v>465</v>
      </c>
      <c r="C14" s="530">
        <v>38284</v>
      </c>
      <c r="D14" s="530">
        <v>38284</v>
      </c>
      <c r="E14" s="530">
        <v>38730</v>
      </c>
      <c r="F14" s="530">
        <v>21946</v>
      </c>
      <c r="G14" s="530">
        <v>22946</v>
      </c>
      <c r="H14" s="530">
        <v>21946</v>
      </c>
      <c r="I14" s="530">
        <v>56318</v>
      </c>
      <c r="J14" s="530">
        <v>52316</v>
      </c>
      <c r="K14" s="530">
        <v>52316</v>
      </c>
      <c r="L14" s="530">
        <v>57316</v>
      </c>
      <c r="M14" s="530">
        <v>52316</v>
      </c>
      <c r="N14" s="530">
        <v>53315</v>
      </c>
      <c r="O14" s="531">
        <f t="shared" ref="O14:O22" si="2">SUM(C14:N14)</f>
        <v>506033</v>
      </c>
    </row>
    <row r="15" spans="1:15" s="135" customFormat="1" ht="24" customHeight="1">
      <c r="A15" s="529" t="s">
        <v>41</v>
      </c>
      <c r="B15" s="532" t="s">
        <v>206</v>
      </c>
      <c r="C15" s="530">
        <v>9273</v>
      </c>
      <c r="D15" s="530">
        <v>9273</v>
      </c>
      <c r="E15" s="530">
        <v>9273</v>
      </c>
      <c r="F15" s="530">
        <v>5066</v>
      </c>
      <c r="G15" s="530">
        <v>5066</v>
      </c>
      <c r="H15" s="530">
        <v>5066</v>
      </c>
      <c r="I15" s="530">
        <v>8518</v>
      </c>
      <c r="J15" s="530">
        <v>8518</v>
      </c>
      <c r="K15" s="530">
        <v>8518</v>
      </c>
      <c r="L15" s="530">
        <v>8518</v>
      </c>
      <c r="M15" s="530">
        <v>8520</v>
      </c>
      <c r="N15" s="530">
        <v>8523</v>
      </c>
      <c r="O15" s="531">
        <f t="shared" si="2"/>
        <v>94132</v>
      </c>
    </row>
    <row r="16" spans="1:15" s="135" customFormat="1" ht="21" customHeight="1">
      <c r="A16" s="529" t="s">
        <v>43</v>
      </c>
      <c r="B16" s="529" t="s">
        <v>208</v>
      </c>
      <c r="C16" s="530">
        <v>47912</v>
      </c>
      <c r="D16" s="530">
        <v>47911</v>
      </c>
      <c r="E16" s="530">
        <v>47912</v>
      </c>
      <c r="F16" s="530">
        <v>47912</v>
      </c>
      <c r="G16" s="530">
        <v>47911</v>
      </c>
      <c r="H16" s="530">
        <v>47912</v>
      </c>
      <c r="I16" s="530">
        <v>254388</v>
      </c>
      <c r="J16" s="530">
        <v>254388</v>
      </c>
      <c r="K16" s="530">
        <v>254388</v>
      </c>
      <c r="L16" s="530">
        <v>254388</v>
      </c>
      <c r="M16" s="530">
        <v>254388</v>
      </c>
      <c r="N16" s="530">
        <v>254384</v>
      </c>
      <c r="O16" s="531">
        <f t="shared" si="2"/>
        <v>1813794</v>
      </c>
    </row>
    <row r="17" spans="1:15" s="135" customFormat="1" ht="21" customHeight="1">
      <c r="A17" s="529" t="s">
        <v>45</v>
      </c>
      <c r="B17" s="529" t="s">
        <v>210</v>
      </c>
      <c r="C17" s="530">
        <v>5570</v>
      </c>
      <c r="D17" s="530">
        <v>5570</v>
      </c>
      <c r="E17" s="530">
        <v>5568</v>
      </c>
      <c r="F17" s="530">
        <v>5568</v>
      </c>
      <c r="G17" s="530">
        <v>5568</v>
      </c>
      <c r="H17" s="530">
        <v>5568</v>
      </c>
      <c r="I17" s="530">
        <v>5568</v>
      </c>
      <c r="J17" s="530">
        <v>5568</v>
      </c>
      <c r="K17" s="530">
        <v>4082</v>
      </c>
      <c r="L17" s="530">
        <v>5568</v>
      </c>
      <c r="M17" s="530">
        <v>5568</v>
      </c>
      <c r="N17" s="530">
        <v>5568</v>
      </c>
      <c r="O17" s="531">
        <f t="shared" si="2"/>
        <v>65334</v>
      </c>
    </row>
    <row r="18" spans="1:15" s="135" customFormat="1" ht="21" customHeight="1">
      <c r="A18" s="529" t="s">
        <v>47</v>
      </c>
      <c r="B18" s="529" t="s">
        <v>212</v>
      </c>
      <c r="C18" s="530">
        <v>91050</v>
      </c>
      <c r="D18" s="530">
        <v>79498</v>
      </c>
      <c r="E18" s="530">
        <v>79497</v>
      </c>
      <c r="F18" s="530">
        <v>79497</v>
      </c>
      <c r="G18" s="530">
        <v>79497</v>
      </c>
      <c r="H18" s="530">
        <v>79497</v>
      </c>
      <c r="I18" s="530">
        <v>99188</v>
      </c>
      <c r="J18" s="530">
        <v>99188</v>
      </c>
      <c r="K18" s="530">
        <v>99188</v>
      </c>
      <c r="L18" s="530">
        <v>99188</v>
      </c>
      <c r="M18" s="530">
        <v>99188</v>
      </c>
      <c r="N18" s="530">
        <v>99188</v>
      </c>
      <c r="O18" s="531">
        <f t="shared" si="2"/>
        <v>1083664</v>
      </c>
    </row>
    <row r="19" spans="1:15" s="135" customFormat="1" ht="21" customHeight="1">
      <c r="A19" s="529" t="s">
        <v>49</v>
      </c>
      <c r="B19" s="529" t="s">
        <v>231</v>
      </c>
      <c r="C19" s="530">
        <v>32320</v>
      </c>
      <c r="D19" s="530">
        <v>37</v>
      </c>
      <c r="E19" s="530">
        <v>13120</v>
      </c>
      <c r="F19" s="530">
        <v>1981</v>
      </c>
      <c r="G19" s="530">
        <v>3000</v>
      </c>
      <c r="H19" s="530">
        <v>5000</v>
      </c>
      <c r="I19" s="530">
        <v>2046</v>
      </c>
      <c r="J19" s="530">
        <v>155490</v>
      </c>
      <c r="K19" s="530">
        <v>155490</v>
      </c>
      <c r="L19" s="530">
        <v>5000</v>
      </c>
      <c r="M19" s="530">
        <v>155490</v>
      </c>
      <c r="N19" s="530">
        <v>155491</v>
      </c>
      <c r="O19" s="531">
        <f t="shared" si="2"/>
        <v>684465</v>
      </c>
    </row>
    <row r="20" spans="1:15" s="135" customFormat="1" ht="21" customHeight="1">
      <c r="A20" s="529" t="s">
        <v>51</v>
      </c>
      <c r="B20" s="532" t="s">
        <v>233</v>
      </c>
      <c r="C20" s="530"/>
      <c r="D20" s="530"/>
      <c r="E20" s="530">
        <v>1800</v>
      </c>
      <c r="F20" s="530"/>
      <c r="G20" s="530">
        <v>7390</v>
      </c>
      <c r="H20" s="530">
        <v>7390</v>
      </c>
      <c r="I20" s="530">
        <v>7390</v>
      </c>
      <c r="J20" s="530">
        <v>16951</v>
      </c>
      <c r="K20" s="530">
        <v>50000</v>
      </c>
      <c r="L20" s="530">
        <v>7390</v>
      </c>
      <c r="M20" s="530">
        <v>34202</v>
      </c>
      <c r="N20" s="530">
        <v>25500</v>
      </c>
      <c r="O20" s="531">
        <f t="shared" si="2"/>
        <v>158013</v>
      </c>
    </row>
    <row r="21" spans="1:15" s="135" customFormat="1" ht="21" customHeight="1">
      <c r="A21" s="529" t="s">
        <v>54</v>
      </c>
      <c r="B21" s="529" t="s">
        <v>235</v>
      </c>
      <c r="C21" s="530">
        <v>416</v>
      </c>
      <c r="D21" s="530">
        <v>416</v>
      </c>
      <c r="E21" s="530">
        <v>416</v>
      </c>
      <c r="F21" s="530">
        <v>420</v>
      </c>
      <c r="G21" s="530">
        <v>416</v>
      </c>
      <c r="H21" s="530">
        <v>416</v>
      </c>
      <c r="I21" s="530">
        <v>3355</v>
      </c>
      <c r="J21" s="530">
        <v>3352</v>
      </c>
      <c r="K21" s="530">
        <v>3350</v>
      </c>
      <c r="L21" s="530">
        <v>3350</v>
      </c>
      <c r="M21" s="530">
        <v>3350</v>
      </c>
      <c r="N21" s="530">
        <v>3350</v>
      </c>
      <c r="O21" s="531">
        <f t="shared" si="2"/>
        <v>22607</v>
      </c>
    </row>
    <row r="22" spans="1:15" s="135" customFormat="1" ht="21" customHeight="1">
      <c r="A22" s="529" t="s">
        <v>64</v>
      </c>
      <c r="B22" s="529" t="s">
        <v>468</v>
      </c>
      <c r="C22" s="530">
        <v>30365</v>
      </c>
      <c r="D22" s="530"/>
      <c r="E22" s="530">
        <v>6000</v>
      </c>
      <c r="F22" s="530"/>
      <c r="G22" s="530"/>
      <c r="H22" s="530">
        <v>5999</v>
      </c>
      <c r="I22" s="530"/>
      <c r="J22" s="530"/>
      <c r="K22" s="530">
        <v>6000</v>
      </c>
      <c r="L22" s="530"/>
      <c r="M22" s="530"/>
      <c r="N22" s="530">
        <v>5999</v>
      </c>
      <c r="O22" s="531">
        <f t="shared" si="2"/>
        <v>54363</v>
      </c>
    </row>
    <row r="23" spans="1:15" s="134" customFormat="1" ht="21" customHeight="1">
      <c r="A23" s="535" t="s">
        <v>66</v>
      </c>
      <c r="B23" s="533" t="s">
        <v>444</v>
      </c>
      <c r="C23" s="534">
        <f t="shared" ref="C23:N23" si="3">SUM(C14:C22)</f>
        <v>255190</v>
      </c>
      <c r="D23" s="534">
        <f t="shared" si="3"/>
        <v>180989</v>
      </c>
      <c r="E23" s="534">
        <f t="shared" si="3"/>
        <v>202316</v>
      </c>
      <c r="F23" s="534">
        <f t="shared" si="3"/>
        <v>162390</v>
      </c>
      <c r="G23" s="534">
        <f t="shared" si="3"/>
        <v>171794</v>
      </c>
      <c r="H23" s="534">
        <f t="shared" si="3"/>
        <v>178794</v>
      </c>
      <c r="I23" s="534">
        <f t="shared" si="3"/>
        <v>436771</v>
      </c>
      <c r="J23" s="534">
        <f t="shared" si="3"/>
        <v>595771</v>
      </c>
      <c r="K23" s="534">
        <f t="shared" si="3"/>
        <v>633332</v>
      </c>
      <c r="L23" s="534">
        <f t="shared" si="3"/>
        <v>440718</v>
      </c>
      <c r="M23" s="534">
        <f t="shared" si="3"/>
        <v>613022</v>
      </c>
      <c r="N23" s="534">
        <f t="shared" si="3"/>
        <v>611318</v>
      </c>
      <c r="O23" s="534">
        <f>SUM(O14:O22)</f>
        <v>4482405</v>
      </c>
    </row>
    <row r="24" spans="1:15" ht="21" customHeight="1">
      <c r="A24" s="535" t="s">
        <v>68</v>
      </c>
      <c r="B24" s="533" t="s">
        <v>549</v>
      </c>
      <c r="C24" s="536">
        <f t="shared" ref="C24:O24" si="4">C12-C23</f>
        <v>-69649</v>
      </c>
      <c r="D24" s="536">
        <f t="shared" si="4"/>
        <v>-2308</v>
      </c>
      <c r="E24" s="536">
        <f t="shared" si="4"/>
        <v>191666</v>
      </c>
      <c r="F24" s="536">
        <f t="shared" si="4"/>
        <v>-17655</v>
      </c>
      <c r="G24" s="536">
        <f t="shared" si="4"/>
        <v>106933</v>
      </c>
      <c r="H24" s="536">
        <f t="shared" si="4"/>
        <v>-75184</v>
      </c>
      <c r="I24" s="536">
        <f t="shared" si="4"/>
        <v>360349</v>
      </c>
      <c r="J24" s="536">
        <f t="shared" si="4"/>
        <v>326033</v>
      </c>
      <c r="K24" s="536">
        <f t="shared" si="4"/>
        <v>484326</v>
      </c>
      <c r="L24" s="536">
        <f t="shared" si="4"/>
        <v>-344985</v>
      </c>
      <c r="M24" s="536">
        <f t="shared" si="4"/>
        <v>-518291</v>
      </c>
      <c r="N24" s="536">
        <f t="shared" si="4"/>
        <v>-441235</v>
      </c>
      <c r="O24" s="536">
        <f t="shared" si="4"/>
        <v>0</v>
      </c>
    </row>
    <row r="25" spans="1:15">
      <c r="A25" s="136"/>
    </row>
    <row r="26" spans="1:15">
      <c r="B26" s="137"/>
      <c r="C26" s="138"/>
      <c r="D26" s="138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22/2017. (XII.04.)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K10"/>
  <sheetViews>
    <sheetView view="pageLayout" workbookViewId="0">
      <selection activeCell="J16" sqref="J16"/>
    </sheetView>
  </sheetViews>
  <sheetFormatPr defaultRowHeight="13.2"/>
  <cols>
    <col min="1" max="1" width="5.77734375" style="162" customWidth="1"/>
    <col min="2" max="2" width="15.33203125" style="102" customWidth="1"/>
    <col min="3" max="4" width="9.44140625" style="102" customWidth="1"/>
    <col min="5" max="5" width="22.21875" style="102" customWidth="1"/>
    <col min="6" max="7" width="9.33203125" style="102"/>
    <col min="8" max="8" width="23.44140625" style="102" customWidth="1"/>
    <col min="9" max="9" width="23.6640625" style="102" customWidth="1"/>
    <col min="10" max="10" width="9.33203125" style="102"/>
    <col min="11" max="11" width="13.44140625" style="102" customWidth="1"/>
    <col min="12" max="256" width="9.33203125" style="102"/>
    <col min="257" max="257" width="5.77734375" style="102" customWidth="1"/>
    <col min="258" max="258" width="54.77734375" style="102" customWidth="1"/>
    <col min="259" max="260" width="17.6640625" style="102" customWidth="1"/>
    <col min="261" max="512" width="9.33203125" style="102"/>
    <col min="513" max="513" width="5.77734375" style="102" customWidth="1"/>
    <col min="514" max="514" width="54.77734375" style="102" customWidth="1"/>
    <col min="515" max="516" width="17.6640625" style="102" customWidth="1"/>
    <col min="517" max="768" width="9.33203125" style="102"/>
    <col min="769" max="769" width="5.77734375" style="102" customWidth="1"/>
    <col min="770" max="770" width="54.77734375" style="102" customWidth="1"/>
    <col min="771" max="772" width="17.6640625" style="102" customWidth="1"/>
    <col min="773" max="1024" width="9.33203125" style="102"/>
    <col min="1025" max="1025" width="5.77734375" style="102" customWidth="1"/>
    <col min="1026" max="1026" width="54.77734375" style="102" customWidth="1"/>
    <col min="1027" max="1028" width="17.6640625" style="102" customWidth="1"/>
    <col min="1029" max="1280" width="9.33203125" style="102"/>
    <col min="1281" max="1281" width="5.77734375" style="102" customWidth="1"/>
    <col min="1282" max="1282" width="54.77734375" style="102" customWidth="1"/>
    <col min="1283" max="1284" width="17.6640625" style="102" customWidth="1"/>
    <col min="1285" max="1536" width="9.33203125" style="102"/>
    <col min="1537" max="1537" width="5.77734375" style="102" customWidth="1"/>
    <col min="1538" max="1538" width="54.77734375" style="102" customWidth="1"/>
    <col min="1539" max="1540" width="17.6640625" style="102" customWidth="1"/>
    <col min="1541" max="1792" width="9.33203125" style="102"/>
    <col min="1793" max="1793" width="5.77734375" style="102" customWidth="1"/>
    <col min="1794" max="1794" width="54.77734375" style="102" customWidth="1"/>
    <col min="1795" max="1796" width="17.6640625" style="102" customWidth="1"/>
    <col min="1797" max="2048" width="9.33203125" style="102"/>
    <col min="2049" max="2049" width="5.77734375" style="102" customWidth="1"/>
    <col min="2050" max="2050" width="54.77734375" style="102" customWidth="1"/>
    <col min="2051" max="2052" width="17.6640625" style="102" customWidth="1"/>
    <col min="2053" max="2304" width="9.33203125" style="102"/>
    <col min="2305" max="2305" width="5.77734375" style="102" customWidth="1"/>
    <col min="2306" max="2306" width="54.77734375" style="102" customWidth="1"/>
    <col min="2307" max="2308" width="17.6640625" style="102" customWidth="1"/>
    <col min="2309" max="2560" width="9.33203125" style="102"/>
    <col min="2561" max="2561" width="5.77734375" style="102" customWidth="1"/>
    <col min="2562" max="2562" width="54.77734375" style="102" customWidth="1"/>
    <col min="2563" max="2564" width="17.6640625" style="102" customWidth="1"/>
    <col min="2565" max="2816" width="9.33203125" style="102"/>
    <col min="2817" max="2817" width="5.77734375" style="102" customWidth="1"/>
    <col min="2818" max="2818" width="54.77734375" style="102" customWidth="1"/>
    <col min="2819" max="2820" width="17.6640625" style="102" customWidth="1"/>
    <col min="2821" max="3072" width="9.33203125" style="102"/>
    <col min="3073" max="3073" width="5.77734375" style="102" customWidth="1"/>
    <col min="3074" max="3074" width="54.77734375" style="102" customWidth="1"/>
    <col min="3075" max="3076" width="17.6640625" style="102" customWidth="1"/>
    <col min="3077" max="3328" width="9.33203125" style="102"/>
    <col min="3329" max="3329" width="5.77734375" style="102" customWidth="1"/>
    <col min="3330" max="3330" width="54.77734375" style="102" customWidth="1"/>
    <col min="3331" max="3332" width="17.6640625" style="102" customWidth="1"/>
    <col min="3333" max="3584" width="9.33203125" style="102"/>
    <col min="3585" max="3585" width="5.77734375" style="102" customWidth="1"/>
    <col min="3586" max="3586" width="54.77734375" style="102" customWidth="1"/>
    <col min="3587" max="3588" width="17.6640625" style="102" customWidth="1"/>
    <col min="3589" max="3840" width="9.33203125" style="102"/>
    <col min="3841" max="3841" width="5.77734375" style="102" customWidth="1"/>
    <col min="3842" max="3842" width="54.77734375" style="102" customWidth="1"/>
    <col min="3843" max="3844" width="17.6640625" style="102" customWidth="1"/>
    <col min="3845" max="4096" width="9.33203125" style="102"/>
    <col min="4097" max="4097" width="5.77734375" style="102" customWidth="1"/>
    <col min="4098" max="4098" width="54.77734375" style="102" customWidth="1"/>
    <col min="4099" max="4100" width="17.6640625" style="102" customWidth="1"/>
    <col min="4101" max="4352" width="9.33203125" style="102"/>
    <col min="4353" max="4353" width="5.77734375" style="102" customWidth="1"/>
    <col min="4354" max="4354" width="54.77734375" style="102" customWidth="1"/>
    <col min="4355" max="4356" width="17.6640625" style="102" customWidth="1"/>
    <col min="4357" max="4608" width="9.33203125" style="102"/>
    <col min="4609" max="4609" width="5.77734375" style="102" customWidth="1"/>
    <col min="4610" max="4610" width="54.77734375" style="102" customWidth="1"/>
    <col min="4611" max="4612" width="17.6640625" style="102" customWidth="1"/>
    <col min="4613" max="4864" width="9.33203125" style="102"/>
    <col min="4865" max="4865" width="5.77734375" style="102" customWidth="1"/>
    <col min="4866" max="4866" width="54.77734375" style="102" customWidth="1"/>
    <col min="4867" max="4868" width="17.6640625" style="102" customWidth="1"/>
    <col min="4869" max="5120" width="9.33203125" style="102"/>
    <col min="5121" max="5121" width="5.77734375" style="102" customWidth="1"/>
    <col min="5122" max="5122" width="54.77734375" style="102" customWidth="1"/>
    <col min="5123" max="5124" width="17.6640625" style="102" customWidth="1"/>
    <col min="5125" max="5376" width="9.33203125" style="102"/>
    <col min="5377" max="5377" width="5.77734375" style="102" customWidth="1"/>
    <col min="5378" max="5378" width="54.77734375" style="102" customWidth="1"/>
    <col min="5379" max="5380" width="17.6640625" style="102" customWidth="1"/>
    <col min="5381" max="5632" width="9.33203125" style="102"/>
    <col min="5633" max="5633" width="5.77734375" style="102" customWidth="1"/>
    <col min="5634" max="5634" width="54.77734375" style="102" customWidth="1"/>
    <col min="5635" max="5636" width="17.6640625" style="102" customWidth="1"/>
    <col min="5637" max="5888" width="9.33203125" style="102"/>
    <col min="5889" max="5889" width="5.77734375" style="102" customWidth="1"/>
    <col min="5890" max="5890" width="54.77734375" style="102" customWidth="1"/>
    <col min="5891" max="5892" width="17.6640625" style="102" customWidth="1"/>
    <col min="5893" max="6144" width="9.33203125" style="102"/>
    <col min="6145" max="6145" width="5.77734375" style="102" customWidth="1"/>
    <col min="6146" max="6146" width="54.77734375" style="102" customWidth="1"/>
    <col min="6147" max="6148" width="17.6640625" style="102" customWidth="1"/>
    <col min="6149" max="6400" width="9.33203125" style="102"/>
    <col min="6401" max="6401" width="5.77734375" style="102" customWidth="1"/>
    <col min="6402" max="6402" width="54.77734375" style="102" customWidth="1"/>
    <col min="6403" max="6404" width="17.6640625" style="102" customWidth="1"/>
    <col min="6405" max="6656" width="9.33203125" style="102"/>
    <col min="6657" max="6657" width="5.77734375" style="102" customWidth="1"/>
    <col min="6658" max="6658" width="54.77734375" style="102" customWidth="1"/>
    <col min="6659" max="6660" width="17.6640625" style="102" customWidth="1"/>
    <col min="6661" max="6912" width="9.33203125" style="102"/>
    <col min="6913" max="6913" width="5.77734375" style="102" customWidth="1"/>
    <col min="6914" max="6914" width="54.77734375" style="102" customWidth="1"/>
    <col min="6915" max="6916" width="17.6640625" style="102" customWidth="1"/>
    <col min="6917" max="7168" width="9.33203125" style="102"/>
    <col min="7169" max="7169" width="5.77734375" style="102" customWidth="1"/>
    <col min="7170" max="7170" width="54.77734375" style="102" customWidth="1"/>
    <col min="7171" max="7172" width="17.6640625" style="102" customWidth="1"/>
    <col min="7173" max="7424" width="9.33203125" style="102"/>
    <col min="7425" max="7425" width="5.77734375" style="102" customWidth="1"/>
    <col min="7426" max="7426" width="54.77734375" style="102" customWidth="1"/>
    <col min="7427" max="7428" width="17.6640625" style="102" customWidth="1"/>
    <col min="7429" max="7680" width="9.33203125" style="102"/>
    <col min="7681" max="7681" width="5.77734375" style="102" customWidth="1"/>
    <col min="7682" max="7682" width="54.77734375" style="102" customWidth="1"/>
    <col min="7683" max="7684" width="17.6640625" style="102" customWidth="1"/>
    <col min="7685" max="7936" width="9.33203125" style="102"/>
    <col min="7937" max="7937" width="5.77734375" style="102" customWidth="1"/>
    <col min="7938" max="7938" width="54.77734375" style="102" customWidth="1"/>
    <col min="7939" max="7940" width="17.6640625" style="102" customWidth="1"/>
    <col min="7941" max="8192" width="9.33203125" style="102"/>
    <col min="8193" max="8193" width="5.77734375" style="102" customWidth="1"/>
    <col min="8194" max="8194" width="54.77734375" style="102" customWidth="1"/>
    <col min="8195" max="8196" width="17.6640625" style="102" customWidth="1"/>
    <col min="8197" max="8448" width="9.33203125" style="102"/>
    <col min="8449" max="8449" width="5.77734375" style="102" customWidth="1"/>
    <col min="8450" max="8450" width="54.77734375" style="102" customWidth="1"/>
    <col min="8451" max="8452" width="17.6640625" style="102" customWidth="1"/>
    <col min="8453" max="8704" width="9.33203125" style="102"/>
    <col min="8705" max="8705" width="5.77734375" style="102" customWidth="1"/>
    <col min="8706" max="8706" width="54.77734375" style="102" customWidth="1"/>
    <col min="8707" max="8708" width="17.6640625" style="102" customWidth="1"/>
    <col min="8709" max="8960" width="9.33203125" style="102"/>
    <col min="8961" max="8961" width="5.77734375" style="102" customWidth="1"/>
    <col min="8962" max="8962" width="54.77734375" style="102" customWidth="1"/>
    <col min="8963" max="8964" width="17.6640625" style="102" customWidth="1"/>
    <col min="8965" max="9216" width="9.33203125" style="102"/>
    <col min="9217" max="9217" width="5.77734375" style="102" customWidth="1"/>
    <col min="9218" max="9218" width="54.77734375" style="102" customWidth="1"/>
    <col min="9219" max="9220" width="17.6640625" style="102" customWidth="1"/>
    <col min="9221" max="9472" width="9.33203125" style="102"/>
    <col min="9473" max="9473" width="5.77734375" style="102" customWidth="1"/>
    <col min="9474" max="9474" width="54.77734375" style="102" customWidth="1"/>
    <col min="9475" max="9476" width="17.6640625" style="102" customWidth="1"/>
    <col min="9477" max="9728" width="9.33203125" style="102"/>
    <col min="9729" max="9729" width="5.77734375" style="102" customWidth="1"/>
    <col min="9730" max="9730" width="54.77734375" style="102" customWidth="1"/>
    <col min="9731" max="9732" width="17.6640625" style="102" customWidth="1"/>
    <col min="9733" max="9984" width="9.33203125" style="102"/>
    <col min="9985" max="9985" width="5.77734375" style="102" customWidth="1"/>
    <col min="9986" max="9986" width="54.77734375" style="102" customWidth="1"/>
    <col min="9987" max="9988" width="17.6640625" style="102" customWidth="1"/>
    <col min="9989" max="10240" width="9.33203125" style="102"/>
    <col min="10241" max="10241" width="5.77734375" style="102" customWidth="1"/>
    <col min="10242" max="10242" width="54.77734375" style="102" customWidth="1"/>
    <col min="10243" max="10244" width="17.6640625" style="102" customWidth="1"/>
    <col min="10245" max="10496" width="9.33203125" style="102"/>
    <col min="10497" max="10497" width="5.77734375" style="102" customWidth="1"/>
    <col min="10498" max="10498" width="54.77734375" style="102" customWidth="1"/>
    <col min="10499" max="10500" width="17.6640625" style="102" customWidth="1"/>
    <col min="10501" max="10752" width="9.33203125" style="102"/>
    <col min="10753" max="10753" width="5.77734375" style="102" customWidth="1"/>
    <col min="10754" max="10754" width="54.77734375" style="102" customWidth="1"/>
    <col min="10755" max="10756" width="17.6640625" style="102" customWidth="1"/>
    <col min="10757" max="11008" width="9.33203125" style="102"/>
    <col min="11009" max="11009" width="5.77734375" style="102" customWidth="1"/>
    <col min="11010" max="11010" width="54.77734375" style="102" customWidth="1"/>
    <col min="11011" max="11012" width="17.6640625" style="102" customWidth="1"/>
    <col min="11013" max="11264" width="9.33203125" style="102"/>
    <col min="11265" max="11265" width="5.77734375" style="102" customWidth="1"/>
    <col min="11266" max="11266" width="54.77734375" style="102" customWidth="1"/>
    <col min="11267" max="11268" width="17.6640625" style="102" customWidth="1"/>
    <col min="11269" max="11520" width="9.33203125" style="102"/>
    <col min="11521" max="11521" width="5.77734375" style="102" customWidth="1"/>
    <col min="11522" max="11522" width="54.77734375" style="102" customWidth="1"/>
    <col min="11523" max="11524" width="17.6640625" style="102" customWidth="1"/>
    <col min="11525" max="11776" width="9.33203125" style="102"/>
    <col min="11777" max="11777" width="5.77734375" style="102" customWidth="1"/>
    <col min="11778" max="11778" width="54.77734375" style="102" customWidth="1"/>
    <col min="11779" max="11780" width="17.6640625" style="102" customWidth="1"/>
    <col min="11781" max="12032" width="9.33203125" style="102"/>
    <col min="12033" max="12033" width="5.77734375" style="102" customWidth="1"/>
    <col min="12034" max="12034" width="54.77734375" style="102" customWidth="1"/>
    <col min="12035" max="12036" width="17.6640625" style="102" customWidth="1"/>
    <col min="12037" max="12288" width="9.33203125" style="102"/>
    <col min="12289" max="12289" width="5.77734375" style="102" customWidth="1"/>
    <col min="12290" max="12290" width="54.77734375" style="102" customWidth="1"/>
    <col min="12291" max="12292" width="17.6640625" style="102" customWidth="1"/>
    <col min="12293" max="12544" width="9.33203125" style="102"/>
    <col min="12545" max="12545" width="5.77734375" style="102" customWidth="1"/>
    <col min="12546" max="12546" width="54.77734375" style="102" customWidth="1"/>
    <col min="12547" max="12548" width="17.6640625" style="102" customWidth="1"/>
    <col min="12549" max="12800" width="9.33203125" style="102"/>
    <col min="12801" max="12801" width="5.77734375" style="102" customWidth="1"/>
    <col min="12802" max="12802" width="54.77734375" style="102" customWidth="1"/>
    <col min="12803" max="12804" width="17.6640625" style="102" customWidth="1"/>
    <col min="12805" max="13056" width="9.33203125" style="102"/>
    <col min="13057" max="13057" width="5.77734375" style="102" customWidth="1"/>
    <col min="13058" max="13058" width="54.77734375" style="102" customWidth="1"/>
    <col min="13059" max="13060" width="17.6640625" style="102" customWidth="1"/>
    <col min="13061" max="13312" width="9.33203125" style="102"/>
    <col min="13313" max="13313" width="5.77734375" style="102" customWidth="1"/>
    <col min="13314" max="13314" width="54.77734375" style="102" customWidth="1"/>
    <col min="13315" max="13316" width="17.6640625" style="102" customWidth="1"/>
    <col min="13317" max="13568" width="9.33203125" style="102"/>
    <col min="13569" max="13569" width="5.77734375" style="102" customWidth="1"/>
    <col min="13570" max="13570" width="54.77734375" style="102" customWidth="1"/>
    <col min="13571" max="13572" width="17.6640625" style="102" customWidth="1"/>
    <col min="13573" max="13824" width="9.33203125" style="102"/>
    <col min="13825" max="13825" width="5.77734375" style="102" customWidth="1"/>
    <col min="13826" max="13826" width="54.77734375" style="102" customWidth="1"/>
    <col min="13827" max="13828" width="17.6640625" style="102" customWidth="1"/>
    <col min="13829" max="14080" width="9.33203125" style="102"/>
    <col min="14081" max="14081" width="5.77734375" style="102" customWidth="1"/>
    <col min="14082" max="14082" width="54.77734375" style="102" customWidth="1"/>
    <col min="14083" max="14084" width="17.6640625" style="102" customWidth="1"/>
    <col min="14085" max="14336" width="9.33203125" style="102"/>
    <col min="14337" max="14337" width="5.77734375" style="102" customWidth="1"/>
    <col min="14338" max="14338" width="54.77734375" style="102" customWidth="1"/>
    <col min="14339" max="14340" width="17.6640625" style="102" customWidth="1"/>
    <col min="14341" max="14592" width="9.33203125" style="102"/>
    <col min="14593" max="14593" width="5.77734375" style="102" customWidth="1"/>
    <col min="14594" max="14594" width="54.77734375" style="102" customWidth="1"/>
    <col min="14595" max="14596" width="17.6640625" style="102" customWidth="1"/>
    <col min="14597" max="14848" width="9.33203125" style="102"/>
    <col min="14849" max="14849" width="5.77734375" style="102" customWidth="1"/>
    <col min="14850" max="14850" width="54.77734375" style="102" customWidth="1"/>
    <col min="14851" max="14852" width="17.6640625" style="102" customWidth="1"/>
    <col min="14853" max="15104" width="9.33203125" style="102"/>
    <col min="15105" max="15105" width="5.77734375" style="102" customWidth="1"/>
    <col min="15106" max="15106" width="54.77734375" style="102" customWidth="1"/>
    <col min="15107" max="15108" width="17.6640625" style="102" customWidth="1"/>
    <col min="15109" max="15360" width="9.33203125" style="102"/>
    <col min="15361" max="15361" width="5.77734375" style="102" customWidth="1"/>
    <col min="15362" max="15362" width="54.77734375" style="102" customWidth="1"/>
    <col min="15363" max="15364" width="17.6640625" style="102" customWidth="1"/>
    <col min="15365" max="15616" width="9.33203125" style="102"/>
    <col min="15617" max="15617" width="5.77734375" style="102" customWidth="1"/>
    <col min="15618" max="15618" width="54.77734375" style="102" customWidth="1"/>
    <col min="15619" max="15620" width="17.6640625" style="102" customWidth="1"/>
    <col min="15621" max="15872" width="9.33203125" style="102"/>
    <col min="15873" max="15873" width="5.77734375" style="102" customWidth="1"/>
    <col min="15874" max="15874" width="54.77734375" style="102" customWidth="1"/>
    <col min="15875" max="15876" width="17.6640625" style="102" customWidth="1"/>
    <col min="15877" max="16128" width="9.33203125" style="102"/>
    <col min="16129" max="16129" width="5.77734375" style="102" customWidth="1"/>
    <col min="16130" max="16130" width="54.77734375" style="102" customWidth="1"/>
    <col min="16131" max="16132" width="17.6640625" style="102" customWidth="1"/>
    <col min="16133" max="16384" width="9.33203125" style="102"/>
  </cols>
  <sheetData>
    <row r="1" spans="1:11" ht="44.25" customHeight="1">
      <c r="A1" s="929" t="s">
        <v>651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</row>
    <row r="2" spans="1:11">
      <c r="A2" s="208"/>
      <c r="B2" s="208"/>
      <c r="C2" s="208"/>
      <c r="D2" s="208"/>
      <c r="E2" s="208"/>
      <c r="F2" s="208"/>
      <c r="G2" s="208"/>
      <c r="H2" s="208"/>
      <c r="I2" s="208"/>
      <c r="J2" s="930" t="s">
        <v>685</v>
      </c>
      <c r="K2" s="930"/>
    </row>
    <row r="3" spans="1:11" ht="27" customHeight="1">
      <c r="A3" s="931" t="s">
        <v>407</v>
      </c>
      <c r="B3" s="931" t="s">
        <v>686</v>
      </c>
      <c r="C3" s="931"/>
      <c r="D3" s="931"/>
      <c r="E3" s="931" t="s">
        <v>687</v>
      </c>
      <c r="F3" s="931"/>
      <c r="G3" s="931"/>
      <c r="H3" s="931" t="s">
        <v>688</v>
      </c>
      <c r="I3" s="931"/>
      <c r="J3" s="931"/>
      <c r="K3" s="932" t="s">
        <v>408</v>
      </c>
    </row>
    <row r="4" spans="1:11" ht="26.4">
      <c r="A4" s="931"/>
      <c r="B4" s="537" t="s">
        <v>689</v>
      </c>
      <c r="C4" s="537" t="s">
        <v>690</v>
      </c>
      <c r="D4" s="537" t="s">
        <v>691</v>
      </c>
      <c r="E4" s="537" t="s">
        <v>689</v>
      </c>
      <c r="F4" s="537" t="s">
        <v>690</v>
      </c>
      <c r="G4" s="537" t="s">
        <v>691</v>
      </c>
      <c r="H4" s="537" t="s">
        <v>689</v>
      </c>
      <c r="I4" s="537" t="s">
        <v>690</v>
      </c>
      <c r="J4" s="537" t="s">
        <v>691</v>
      </c>
      <c r="K4" s="932"/>
    </row>
    <row r="5" spans="1:11" ht="33.75" customHeight="1">
      <c r="A5" s="538" t="s">
        <v>10</v>
      </c>
      <c r="B5" s="539" t="s">
        <v>692</v>
      </c>
      <c r="C5" s="539"/>
      <c r="D5" s="539"/>
      <c r="E5" s="540" t="s">
        <v>693</v>
      </c>
      <c r="F5" s="541" t="s">
        <v>694</v>
      </c>
      <c r="G5" s="542">
        <v>6739</v>
      </c>
      <c r="H5" s="540" t="s">
        <v>695</v>
      </c>
      <c r="I5" s="543" t="s">
        <v>696</v>
      </c>
      <c r="J5" s="542">
        <v>1713</v>
      </c>
      <c r="K5" s="542">
        <f>SUM(J5,G5)</f>
        <v>8452</v>
      </c>
    </row>
    <row r="6" spans="1:11" ht="33.75" customHeight="1">
      <c r="A6" s="923" t="s">
        <v>13</v>
      </c>
      <c r="B6" s="925" t="s">
        <v>697</v>
      </c>
      <c r="C6" s="927"/>
      <c r="D6" s="927"/>
      <c r="E6" s="544" t="s">
        <v>698</v>
      </c>
      <c r="F6" s="541">
        <v>50</v>
      </c>
      <c r="G6" s="542">
        <v>1718</v>
      </c>
      <c r="H6" s="545"/>
      <c r="I6" s="545"/>
      <c r="J6" s="546"/>
      <c r="K6" s="542">
        <f>SUM(G6:J6)</f>
        <v>1718</v>
      </c>
    </row>
    <row r="7" spans="1:11" ht="33.75" customHeight="1">
      <c r="A7" s="924"/>
      <c r="B7" s="926"/>
      <c r="C7" s="928"/>
      <c r="D7" s="928"/>
      <c r="E7" s="544" t="s">
        <v>699</v>
      </c>
      <c r="F7" s="541">
        <v>50</v>
      </c>
      <c r="G7" s="542">
        <v>7822</v>
      </c>
      <c r="H7" s="545"/>
      <c r="I7" s="545"/>
      <c r="J7" s="546"/>
      <c r="K7" s="542">
        <f t="shared" ref="K7:K8" si="0">SUM(G7:J7)</f>
        <v>7822</v>
      </c>
    </row>
    <row r="8" spans="1:11" ht="33.75" customHeight="1">
      <c r="A8" s="924"/>
      <c r="B8" s="926"/>
      <c r="C8" s="928"/>
      <c r="D8" s="928"/>
      <c r="E8" s="544" t="s">
        <v>700</v>
      </c>
      <c r="F8" s="541">
        <v>50</v>
      </c>
      <c r="G8" s="542">
        <v>632</v>
      </c>
      <c r="H8" s="545"/>
      <c r="I8" s="545"/>
      <c r="J8" s="546"/>
      <c r="K8" s="542">
        <f t="shared" si="0"/>
        <v>632</v>
      </c>
    </row>
    <row r="9" spans="1:11" ht="36.75" customHeight="1">
      <c r="A9" s="538" t="s">
        <v>16</v>
      </c>
      <c r="B9" s="547" t="s">
        <v>701</v>
      </c>
      <c r="C9" s="538"/>
      <c r="D9" s="538"/>
      <c r="E9" s="548" t="s">
        <v>702</v>
      </c>
      <c r="F9" s="541">
        <v>25</v>
      </c>
      <c r="G9" s="542">
        <v>2752</v>
      </c>
      <c r="H9" s="548" t="s">
        <v>703</v>
      </c>
      <c r="I9" s="540" t="s">
        <v>704</v>
      </c>
      <c r="J9" s="542">
        <v>1351</v>
      </c>
      <c r="K9" s="542">
        <f>SUM(G9+J9)</f>
        <v>4103</v>
      </c>
    </row>
    <row r="10" spans="1:11" ht="27" customHeight="1">
      <c r="A10" s="549"/>
      <c r="B10" s="549" t="s">
        <v>542</v>
      </c>
      <c r="C10" s="549"/>
      <c r="D10" s="549"/>
      <c r="E10" s="549"/>
      <c r="F10" s="549"/>
      <c r="G10" s="550">
        <f>SUM(G5:G9)</f>
        <v>19663</v>
      </c>
      <c r="H10" s="551"/>
      <c r="I10" s="551"/>
      <c r="J10" s="550">
        <f>SUM(J5:J9)</f>
        <v>3064</v>
      </c>
      <c r="K10" s="550">
        <f>SUM(K5:K9)</f>
        <v>22727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22/2017. (XII.04.)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H7"/>
  <sheetViews>
    <sheetView view="pageLayout" workbookViewId="0">
      <selection sqref="A1:H1"/>
    </sheetView>
  </sheetViews>
  <sheetFormatPr defaultRowHeight="13.2"/>
  <cols>
    <col min="1" max="1" width="6.21875" customWidth="1"/>
    <col min="2" max="2" width="21.6640625" customWidth="1"/>
    <col min="3" max="3" width="16.33203125" customWidth="1"/>
    <col min="4" max="4" width="17.44140625" customWidth="1"/>
    <col min="5" max="5" width="18.6640625" customWidth="1"/>
    <col min="6" max="8" width="16.33203125" customWidth="1"/>
  </cols>
  <sheetData>
    <row r="1" spans="1:8" ht="41.25" customHeight="1">
      <c r="A1" s="933" t="s">
        <v>595</v>
      </c>
      <c r="B1" s="934"/>
      <c r="C1" s="934"/>
      <c r="D1" s="934"/>
      <c r="E1" s="934"/>
      <c r="F1" s="934"/>
      <c r="G1" s="934"/>
      <c r="H1" s="934"/>
    </row>
    <row r="2" spans="1:8" ht="12.75" customHeight="1">
      <c r="A2" s="169"/>
      <c r="B2" s="170"/>
      <c r="C2" s="170"/>
      <c r="D2" s="170"/>
      <c r="E2" s="170"/>
      <c r="F2" s="170"/>
      <c r="G2" s="170"/>
      <c r="H2" s="171" t="s">
        <v>590</v>
      </c>
    </row>
    <row r="3" spans="1:8" ht="57" customHeight="1">
      <c r="A3" s="218" t="s">
        <v>407</v>
      </c>
      <c r="B3" s="219" t="s">
        <v>591</v>
      </c>
      <c r="C3" s="219" t="s">
        <v>596</v>
      </c>
      <c r="D3" s="219" t="s">
        <v>592</v>
      </c>
      <c r="E3" s="219" t="s">
        <v>593</v>
      </c>
      <c r="F3" s="219" t="s">
        <v>594</v>
      </c>
      <c r="G3" s="219" t="s">
        <v>597</v>
      </c>
      <c r="H3" s="220" t="s">
        <v>408</v>
      </c>
    </row>
    <row r="4" spans="1:8" ht="48" customHeight="1">
      <c r="A4" s="210" t="s">
        <v>10</v>
      </c>
      <c r="B4" s="211" t="s">
        <v>430</v>
      </c>
      <c r="C4" s="221"/>
      <c r="D4" s="221">
        <v>6</v>
      </c>
      <c r="E4" s="221">
        <v>1</v>
      </c>
      <c r="F4" s="221"/>
      <c r="G4" s="221">
        <v>3</v>
      </c>
      <c r="H4" s="223">
        <f>SUM(C4:G4)</f>
        <v>10</v>
      </c>
    </row>
    <row r="5" spans="1:8" ht="48" customHeight="1">
      <c r="A5" s="212" t="s">
        <v>13</v>
      </c>
      <c r="B5" s="213" t="s">
        <v>403</v>
      </c>
      <c r="C5" s="222">
        <v>49.5</v>
      </c>
      <c r="D5" s="222"/>
      <c r="E5" s="222"/>
      <c r="F5" s="222">
        <v>8</v>
      </c>
      <c r="G5" s="222"/>
      <c r="H5" s="224">
        <f>SUM(C5:G5)</f>
        <v>57.5</v>
      </c>
    </row>
    <row r="6" spans="1:8" ht="48" customHeight="1">
      <c r="A6" s="214" t="s">
        <v>16</v>
      </c>
      <c r="B6" s="215" t="s">
        <v>384</v>
      </c>
      <c r="C6" s="225"/>
      <c r="D6" s="226"/>
      <c r="E6" s="226"/>
      <c r="F6" s="226">
        <v>5</v>
      </c>
      <c r="G6" s="226">
        <v>282</v>
      </c>
      <c r="H6" s="223">
        <f>SUM(C6:G6)</f>
        <v>287</v>
      </c>
    </row>
    <row r="7" spans="1:8" ht="48" customHeight="1">
      <c r="A7" s="216"/>
      <c r="B7" s="217" t="s">
        <v>408</v>
      </c>
      <c r="C7" s="227">
        <f>SUM(C4:C6)</f>
        <v>49.5</v>
      </c>
      <c r="D7" s="227">
        <f t="shared" ref="D7:G7" si="0">SUM(D4:D6)</f>
        <v>6</v>
      </c>
      <c r="E7" s="227">
        <f t="shared" si="0"/>
        <v>1</v>
      </c>
      <c r="F7" s="227">
        <f t="shared" si="0"/>
        <v>13</v>
      </c>
      <c r="G7" s="227">
        <f t="shared" si="0"/>
        <v>285</v>
      </c>
      <c r="H7" s="228">
        <f>SUM(H4:H6)</f>
        <v>354.5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22/2017. (XII.04.)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view="pageLayout" workbookViewId="0">
      <selection activeCell="C8" sqref="C8"/>
    </sheetView>
  </sheetViews>
  <sheetFormatPr defaultColWidth="9.33203125" defaultRowHeight="13.8"/>
  <cols>
    <col min="1" max="1" width="11.44140625" style="149" customWidth="1"/>
    <col min="2" max="2" width="59.44140625" style="148" customWidth="1"/>
    <col min="3" max="3" width="23.6640625" style="161" customWidth="1"/>
    <col min="4" max="6" width="17.77734375" style="148" customWidth="1"/>
    <col min="7" max="8" width="19" style="148" customWidth="1"/>
    <col min="9" max="16384" width="9.33203125" style="148"/>
  </cols>
  <sheetData>
    <row r="1" spans="1:5" ht="42" customHeight="1">
      <c r="A1" s="935" t="s">
        <v>636</v>
      </c>
      <c r="B1" s="936"/>
      <c r="C1" s="936"/>
    </row>
    <row r="2" spans="1:5" ht="15" customHeight="1">
      <c r="C2" s="150"/>
    </row>
    <row r="3" spans="1:5" s="151" customFormat="1" ht="25.5" customHeight="1">
      <c r="A3" s="937" t="s">
        <v>560</v>
      </c>
      <c r="B3" s="937"/>
      <c r="C3" s="937"/>
    </row>
    <row r="4" spans="1:5">
      <c r="A4" s="152"/>
      <c r="B4" s="153"/>
      <c r="C4" s="154" t="s">
        <v>1</v>
      </c>
    </row>
    <row r="5" spans="1:5" s="155" customFormat="1" ht="27.75" customHeight="1">
      <c r="A5" s="552" t="s">
        <v>562</v>
      </c>
      <c r="B5" s="552" t="s">
        <v>563</v>
      </c>
      <c r="C5" s="553" t="s">
        <v>568</v>
      </c>
    </row>
    <row r="6" spans="1:5" ht="34.5" customHeight="1">
      <c r="A6" s="554" t="s">
        <v>10</v>
      </c>
      <c r="B6" s="555" t="s">
        <v>564</v>
      </c>
      <c r="C6" s="556">
        <v>20000000</v>
      </c>
    </row>
    <row r="7" spans="1:5" ht="25.5" customHeight="1">
      <c r="A7" s="554" t="s">
        <v>13</v>
      </c>
      <c r="B7" s="557" t="s">
        <v>565</v>
      </c>
      <c r="C7" s="556">
        <v>77973671</v>
      </c>
    </row>
    <row r="8" spans="1:5" s="156" customFormat="1" ht="25.5" customHeight="1">
      <c r="A8" s="552" t="s">
        <v>16</v>
      </c>
      <c r="B8" s="558" t="s">
        <v>408</v>
      </c>
      <c r="C8" s="559">
        <f>SUM(C6:C7)</f>
        <v>97973671</v>
      </c>
    </row>
    <row r="10" spans="1:5" s="151" customFormat="1" ht="25.5" customHeight="1">
      <c r="A10" s="937" t="s">
        <v>566</v>
      </c>
      <c r="B10" s="937"/>
      <c r="C10" s="937"/>
    </row>
    <row r="11" spans="1:5">
      <c r="A11" s="152"/>
      <c r="B11" s="153"/>
      <c r="C11" s="157"/>
    </row>
    <row r="12" spans="1:5" s="155" customFormat="1" ht="27.75" customHeight="1">
      <c r="A12" s="552" t="s">
        <v>562</v>
      </c>
      <c r="B12" s="552" t="s">
        <v>563</v>
      </c>
      <c r="C12" s="553" t="s">
        <v>568</v>
      </c>
    </row>
    <row r="13" spans="1:5" ht="50.25" customHeight="1">
      <c r="A13" s="554" t="s">
        <v>10</v>
      </c>
      <c r="B13" s="560" t="s">
        <v>705</v>
      </c>
      <c r="C13" s="556">
        <v>17146343</v>
      </c>
      <c r="E13" s="158"/>
    </row>
    <row r="14" spans="1:5" ht="25.5" customHeight="1">
      <c r="A14" s="552" t="s">
        <v>13</v>
      </c>
      <c r="B14" s="561" t="s">
        <v>408</v>
      </c>
      <c r="C14" s="562">
        <f>SUM(C13:C13)</f>
        <v>17146343</v>
      </c>
    </row>
    <row r="15" spans="1:5" ht="25.5" customHeight="1">
      <c r="A15" s="552" t="s">
        <v>16</v>
      </c>
      <c r="B15" s="563" t="s">
        <v>567</v>
      </c>
      <c r="C15" s="562">
        <f>SUM(C8+C14)</f>
        <v>115120014</v>
      </c>
    </row>
    <row r="16" spans="1:5" ht="17.399999999999999">
      <c r="A16" s="159"/>
      <c r="B16" s="160"/>
      <c r="C16" s="160"/>
      <c r="D16" s="160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22/2017.(XII.04.)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H42"/>
  <sheetViews>
    <sheetView view="pageLayout" workbookViewId="0">
      <selection sqref="A1:F1"/>
    </sheetView>
  </sheetViews>
  <sheetFormatPr defaultRowHeight="15.6"/>
  <cols>
    <col min="1" max="1" width="7" style="8" customWidth="1"/>
    <col min="2" max="2" width="58.6640625" style="8" customWidth="1"/>
    <col min="3" max="3" width="15.21875" style="9" customWidth="1"/>
    <col min="4" max="6" width="15.21875" style="8" customWidth="1"/>
    <col min="7" max="7" width="9" style="1" customWidth="1"/>
    <col min="8" max="256" width="9.33203125" style="1"/>
    <col min="257" max="257" width="7" style="1" customWidth="1"/>
    <col min="258" max="258" width="55.4414062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4414062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4414062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4414062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4414062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4414062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4414062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4414062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4414062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4414062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4414062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4414062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4414062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4414062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4414062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4414062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4414062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4414062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4414062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4414062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4414062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4414062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4414062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4414062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4414062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4414062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4414062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4414062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4414062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4414062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4414062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4414062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4414062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4414062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4414062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4414062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4414062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4414062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4414062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4414062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4414062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4414062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4414062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4414062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4414062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4414062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4414062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4414062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4414062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4414062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4414062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4414062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4414062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4414062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4414062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4414062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4414062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4414062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4414062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4414062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4414062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4414062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4414062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938" t="s">
        <v>623</v>
      </c>
      <c r="B1" s="939"/>
      <c r="C1" s="939"/>
      <c r="D1" s="939"/>
      <c r="E1" s="939"/>
      <c r="F1" s="939"/>
    </row>
    <row r="3" spans="1:6" ht="16.05" customHeight="1">
      <c r="A3" s="860" t="s">
        <v>570</v>
      </c>
      <c r="B3" s="860"/>
      <c r="C3" s="860"/>
      <c r="D3" s="860"/>
      <c r="E3" s="860"/>
      <c r="F3" s="860"/>
    </row>
    <row r="4" spans="1:6" ht="16.05" customHeight="1">
      <c r="A4" s="862"/>
      <c r="B4" s="862"/>
      <c r="D4" s="129"/>
      <c r="E4" s="129"/>
      <c r="F4" s="3" t="s">
        <v>423</v>
      </c>
    </row>
    <row r="5" spans="1:6" ht="31.5" customHeight="1">
      <c r="A5" s="113" t="s">
        <v>2</v>
      </c>
      <c r="B5" s="113" t="s">
        <v>3</v>
      </c>
      <c r="C5" s="113" t="s">
        <v>571</v>
      </c>
      <c r="D5" s="113" t="s">
        <v>572</v>
      </c>
      <c r="E5" s="113" t="s">
        <v>573</v>
      </c>
      <c r="F5" s="113" t="s">
        <v>574</v>
      </c>
    </row>
    <row r="6" spans="1:6" s="4" customFormat="1" ht="12" customHeight="1">
      <c r="A6" s="564" t="s">
        <v>6</v>
      </c>
      <c r="B6" s="564" t="s">
        <v>7</v>
      </c>
      <c r="C6" s="564" t="s">
        <v>8</v>
      </c>
      <c r="D6" s="564" t="s">
        <v>9</v>
      </c>
      <c r="E6" s="564" t="s">
        <v>269</v>
      </c>
      <c r="F6" s="564" t="s">
        <v>479</v>
      </c>
    </row>
    <row r="7" spans="1:6" s="257" customFormat="1" ht="23.25" customHeight="1">
      <c r="A7" s="565" t="s">
        <v>10</v>
      </c>
      <c r="B7" s="566" t="s">
        <v>575</v>
      </c>
      <c r="C7" s="567">
        <f>'1.sz.mell.'!D22</f>
        <v>957891518</v>
      </c>
      <c r="D7" s="567">
        <v>1050000000</v>
      </c>
      <c r="E7" s="567">
        <f t="shared" ref="E7" si="0">D7*110%</f>
        <v>1155000000</v>
      </c>
      <c r="F7" s="567">
        <v>1160000000</v>
      </c>
    </row>
    <row r="8" spans="1:6" s="257" customFormat="1" ht="23.25" customHeight="1">
      <c r="A8" s="565" t="s">
        <v>13</v>
      </c>
      <c r="B8" s="568" t="s">
        <v>576</v>
      </c>
      <c r="C8" s="567">
        <f>'1.sz.mell.'!D31</f>
        <v>50000000</v>
      </c>
      <c r="D8" s="567"/>
      <c r="E8" s="567"/>
      <c r="F8" s="567"/>
    </row>
    <row r="9" spans="1:6" s="257" customFormat="1" ht="23.25" customHeight="1">
      <c r="A9" s="565" t="s">
        <v>16</v>
      </c>
      <c r="B9" s="568" t="s">
        <v>108</v>
      </c>
      <c r="C9" s="567">
        <f>'1.sz.mell.'!D45</f>
        <v>751000000</v>
      </c>
      <c r="D9" s="567">
        <v>780000000</v>
      </c>
      <c r="E9" s="567">
        <v>780000000</v>
      </c>
      <c r="F9" s="567">
        <v>800000000</v>
      </c>
    </row>
    <row r="10" spans="1:6" s="257" customFormat="1" ht="23.25" customHeight="1">
      <c r="A10" s="565" t="s">
        <v>19</v>
      </c>
      <c r="B10" s="568" t="s">
        <v>577</v>
      </c>
      <c r="C10" s="567">
        <f>'1.sz.mell.'!D57</f>
        <v>184636916</v>
      </c>
      <c r="D10" s="567">
        <v>190000000</v>
      </c>
      <c r="E10" s="567">
        <v>193000000</v>
      </c>
      <c r="F10" s="567">
        <v>198000000</v>
      </c>
    </row>
    <row r="11" spans="1:6" s="257" customFormat="1" ht="23.25" customHeight="1">
      <c r="A11" s="565" t="s">
        <v>22</v>
      </c>
      <c r="B11" s="568" t="s">
        <v>458</v>
      </c>
      <c r="C11" s="567">
        <f>'1.sz.mell.'!D63</f>
        <v>2160072</v>
      </c>
      <c r="D11" s="567">
        <v>900030</v>
      </c>
      <c r="E11" s="567"/>
      <c r="F11" s="567"/>
    </row>
    <row r="12" spans="1:6" s="257" customFormat="1" ht="23.25" customHeight="1">
      <c r="A12" s="565" t="s">
        <v>25</v>
      </c>
      <c r="B12" s="568" t="s">
        <v>578</v>
      </c>
      <c r="C12" s="567"/>
      <c r="D12" s="567"/>
      <c r="E12" s="567"/>
      <c r="F12" s="567"/>
    </row>
    <row r="13" spans="1:6" s="257" customFormat="1" ht="23.25" customHeight="1">
      <c r="A13" s="565" t="s">
        <v>28</v>
      </c>
      <c r="B13" s="566" t="s">
        <v>579</v>
      </c>
      <c r="C13" s="567"/>
      <c r="D13" s="567"/>
      <c r="E13" s="567"/>
      <c r="F13" s="567"/>
    </row>
    <row r="14" spans="1:6" s="257" customFormat="1" ht="23.25" customHeight="1">
      <c r="A14" s="565" t="s">
        <v>31</v>
      </c>
      <c r="B14" s="568" t="s">
        <v>741</v>
      </c>
      <c r="C14" s="569">
        <f>SUM(C7:C13)</f>
        <v>1945688506</v>
      </c>
      <c r="D14" s="569">
        <f>SUM(D7:D13)</f>
        <v>2020900030</v>
      </c>
      <c r="E14" s="569">
        <f>SUM(E7:E13)</f>
        <v>2128000000</v>
      </c>
      <c r="F14" s="569">
        <f>SUM(F7:F13)</f>
        <v>2158000000</v>
      </c>
    </row>
    <row r="15" spans="1:6" s="257" customFormat="1" ht="23.25" customHeight="1">
      <c r="A15" s="565" t="s">
        <v>34</v>
      </c>
      <c r="B15" s="568" t="s">
        <v>580</v>
      </c>
      <c r="C15" s="570">
        <f>'1.sz.mell.'!D76</f>
        <v>304494626</v>
      </c>
      <c r="D15" s="570">
        <v>80000000</v>
      </c>
      <c r="E15" s="570">
        <v>10000000</v>
      </c>
      <c r="F15" s="570">
        <v>10000000</v>
      </c>
    </row>
    <row r="16" spans="1:6" s="5" customFormat="1" ht="27" customHeight="1">
      <c r="A16" s="113" t="s">
        <v>37</v>
      </c>
      <c r="B16" s="120" t="s">
        <v>581</v>
      </c>
      <c r="C16" s="121">
        <f>+C14+C15</f>
        <v>2250183132</v>
      </c>
      <c r="D16" s="121">
        <f>+D14+D15</f>
        <v>2100900030</v>
      </c>
      <c r="E16" s="121">
        <f>+E14+E15</f>
        <v>2138000000</v>
      </c>
      <c r="F16" s="121">
        <f>+F14+F15</f>
        <v>2168000000</v>
      </c>
    </row>
    <row r="17" spans="1:7" s="5" customFormat="1" ht="12" customHeight="1">
      <c r="A17" s="163"/>
      <c r="B17" s="164"/>
      <c r="C17" s="165"/>
      <c r="D17" s="166"/>
      <c r="E17" s="166"/>
      <c r="F17" s="167"/>
    </row>
    <row r="18" spans="1:7" s="5" customFormat="1" ht="24" customHeight="1">
      <c r="A18" s="860" t="s">
        <v>515</v>
      </c>
      <c r="B18" s="860"/>
      <c r="C18" s="860"/>
      <c r="D18" s="860"/>
      <c r="E18" s="860"/>
      <c r="F18" s="860"/>
    </row>
    <row r="19" spans="1:7" s="5" customFormat="1" ht="12" customHeight="1">
      <c r="A19" s="940"/>
      <c r="B19" s="940"/>
      <c r="C19" s="9"/>
      <c r="D19" s="129"/>
      <c r="E19" s="129"/>
      <c r="F19" s="3" t="s">
        <v>423</v>
      </c>
    </row>
    <row r="20" spans="1:7" s="5" customFormat="1" ht="31.5" customHeight="1">
      <c r="A20" s="113" t="s">
        <v>2</v>
      </c>
      <c r="B20" s="113" t="s">
        <v>3</v>
      </c>
      <c r="C20" s="113" t="s">
        <v>571</v>
      </c>
      <c r="D20" s="113" t="s">
        <v>572</v>
      </c>
      <c r="E20" s="113" t="s">
        <v>573</v>
      </c>
      <c r="F20" s="113" t="s">
        <v>574</v>
      </c>
      <c r="G20" s="168"/>
    </row>
    <row r="21" spans="1:7" s="5" customFormat="1" ht="12" customHeight="1">
      <c r="A21" s="564" t="s">
        <v>6</v>
      </c>
      <c r="B21" s="564" t="s">
        <v>7</v>
      </c>
      <c r="C21" s="564" t="s">
        <v>8</v>
      </c>
      <c r="D21" s="564" t="s">
        <v>9</v>
      </c>
      <c r="E21" s="564" t="s">
        <v>269</v>
      </c>
      <c r="F21" s="564" t="s">
        <v>479</v>
      </c>
      <c r="G21" s="168"/>
    </row>
    <row r="22" spans="1:7" s="5" customFormat="1" ht="23.25" customHeight="1">
      <c r="A22" s="366" t="s">
        <v>10</v>
      </c>
      <c r="B22" s="571" t="s">
        <v>582</v>
      </c>
      <c r="C22" s="326">
        <f>'1.sz.mell.'!D96</f>
        <v>2004505223</v>
      </c>
      <c r="D22" s="326">
        <v>2050521569</v>
      </c>
      <c r="E22" s="326">
        <v>2086215320</v>
      </c>
      <c r="F22" s="326">
        <v>2128000000</v>
      </c>
      <c r="G22" s="168"/>
    </row>
    <row r="23" spans="1:7" ht="23.25" customHeight="1">
      <c r="A23" s="366" t="s">
        <v>13</v>
      </c>
      <c r="B23" s="505" t="s">
        <v>583</v>
      </c>
      <c r="C23" s="338">
        <f>+C24+C25+C26</f>
        <v>191315071</v>
      </c>
      <c r="D23" s="338">
        <f>+D24+D25+D26</f>
        <v>25000000</v>
      </c>
      <c r="E23" s="338">
        <f>+E24+E25+E26</f>
        <v>50000000</v>
      </c>
      <c r="F23" s="338">
        <f>+F24+F25+F26</f>
        <v>40000000</v>
      </c>
    </row>
    <row r="24" spans="1:7" ht="23.25" customHeight="1">
      <c r="A24" s="348" t="s">
        <v>584</v>
      </c>
      <c r="B24" s="366" t="s">
        <v>231</v>
      </c>
      <c r="C24" s="326">
        <f>'1.sz.mell.'!D97</f>
        <v>62504500</v>
      </c>
      <c r="D24" s="326">
        <v>10000000</v>
      </c>
      <c r="E24" s="326">
        <v>20000000</v>
      </c>
      <c r="F24" s="326">
        <v>20000000</v>
      </c>
    </row>
    <row r="25" spans="1:7" ht="23.25" customHeight="1">
      <c r="A25" s="348" t="s">
        <v>585</v>
      </c>
      <c r="B25" s="366" t="s">
        <v>233</v>
      </c>
      <c r="C25" s="326">
        <f>'1.sz.mell.'!D98</f>
        <v>123810571</v>
      </c>
      <c r="D25" s="326">
        <v>10000000</v>
      </c>
      <c r="E25" s="326">
        <v>25000000</v>
      </c>
      <c r="F25" s="326">
        <v>15000000</v>
      </c>
    </row>
    <row r="26" spans="1:7" ht="23.25" customHeight="1">
      <c r="A26" s="348" t="s">
        <v>586</v>
      </c>
      <c r="B26" s="572" t="s">
        <v>235</v>
      </c>
      <c r="C26" s="326">
        <f>'1.sz.mell.'!D99</f>
        <v>5000000</v>
      </c>
      <c r="D26" s="326">
        <v>5000000</v>
      </c>
      <c r="E26" s="326">
        <v>5000000</v>
      </c>
      <c r="F26" s="326">
        <v>5000000</v>
      </c>
    </row>
    <row r="27" spans="1:7" ht="23.25" customHeight="1">
      <c r="A27" s="366" t="s">
        <v>16</v>
      </c>
      <c r="B27" s="507" t="s">
        <v>587</v>
      </c>
      <c r="C27" s="350">
        <f>+C22+C23</f>
        <v>2195820294</v>
      </c>
      <c r="D27" s="350">
        <f>+D22+D23</f>
        <v>2075521569</v>
      </c>
      <c r="E27" s="350">
        <f>+E22+E23</f>
        <v>2136215320</v>
      </c>
      <c r="F27" s="350">
        <f>+F22+F23</f>
        <v>2168000000</v>
      </c>
    </row>
    <row r="28" spans="1:7" ht="23.25" customHeight="1">
      <c r="A28" s="366" t="s">
        <v>19</v>
      </c>
      <c r="B28" s="507" t="s">
        <v>588</v>
      </c>
      <c r="C28" s="573">
        <f>'1.sz.mell.'!D112</f>
        <v>54362838</v>
      </c>
      <c r="D28" s="573">
        <v>25378461</v>
      </c>
      <c r="E28" s="573">
        <v>1784680</v>
      </c>
      <c r="F28" s="573"/>
      <c r="G28" s="7"/>
    </row>
    <row r="29" spans="1:7" s="5" customFormat="1" ht="23.25" customHeight="1">
      <c r="A29" s="369" t="s">
        <v>22</v>
      </c>
      <c r="B29" s="369" t="s">
        <v>589</v>
      </c>
      <c r="C29" s="368">
        <f>+C27+C28</f>
        <v>2250183132</v>
      </c>
      <c r="D29" s="368">
        <f>+D27+D28</f>
        <v>2100900030</v>
      </c>
      <c r="E29" s="368">
        <f>+E27+E28</f>
        <v>2138000000</v>
      </c>
      <c r="F29" s="368">
        <f>+F27+F28</f>
        <v>2168000000</v>
      </c>
    </row>
    <row r="30" spans="1:7">
      <c r="C30" s="8"/>
    </row>
    <row r="31" spans="1:7">
      <c r="C31" s="8"/>
    </row>
    <row r="32" spans="1:7">
      <c r="C32" s="8"/>
    </row>
    <row r="33" spans="3:8" ht="16.5" customHeight="1">
      <c r="C33" s="8"/>
    </row>
    <row r="34" spans="3:8">
      <c r="C34" s="8"/>
    </row>
    <row r="35" spans="3:8">
      <c r="C35" s="8"/>
    </row>
    <row r="36" spans="3:8" s="8" customFormat="1">
      <c r="G36" s="1"/>
      <c r="H36" s="1"/>
    </row>
    <row r="37" spans="3:8" s="8" customFormat="1">
      <c r="G37" s="1"/>
      <c r="H37" s="1"/>
    </row>
    <row r="38" spans="3:8" s="8" customFormat="1">
      <c r="G38" s="1"/>
      <c r="H38" s="1"/>
    </row>
    <row r="39" spans="3:8" s="8" customFormat="1">
      <c r="G39" s="1"/>
      <c r="H39" s="1"/>
    </row>
    <row r="40" spans="3:8" s="8" customFormat="1">
      <c r="G40" s="1"/>
      <c r="H40" s="1"/>
    </row>
    <row r="41" spans="3:8" s="8" customFormat="1">
      <c r="G41" s="1"/>
      <c r="H41" s="1"/>
    </row>
    <row r="42" spans="3:8" s="8" customFormat="1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22/2017.(XII.04.)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J23"/>
  <sheetViews>
    <sheetView view="pageLayout" topLeftCell="C1" workbookViewId="0">
      <selection sqref="A1:I1"/>
    </sheetView>
  </sheetViews>
  <sheetFormatPr defaultColWidth="9.33203125" defaultRowHeight="13.8"/>
  <cols>
    <col min="1" max="1" width="41.33203125" style="139" customWidth="1"/>
    <col min="2" max="2" width="19.6640625" style="139" customWidth="1"/>
    <col min="3" max="3" width="16.6640625" style="139" customWidth="1"/>
    <col min="4" max="9" width="16" style="139" customWidth="1"/>
    <col min="10" max="10" width="17.77734375" style="139" customWidth="1"/>
    <col min="11" max="16384" width="9.33203125" style="139"/>
  </cols>
  <sheetData>
    <row r="1" spans="1:10" ht="56.25" customHeight="1">
      <c r="A1" s="941" t="s">
        <v>652</v>
      </c>
      <c r="B1" s="941"/>
      <c r="C1" s="941"/>
      <c r="D1" s="941"/>
      <c r="E1" s="941"/>
      <c r="F1" s="941"/>
      <c r="G1" s="941"/>
      <c r="H1" s="941"/>
      <c r="I1" s="941"/>
    </row>
    <row r="2" spans="1:10" ht="18.75" customHeight="1">
      <c r="A2" s="140"/>
      <c r="B2" s="140"/>
      <c r="C2" s="140"/>
      <c r="D2" s="140"/>
      <c r="E2" s="140"/>
      <c r="F2" s="140"/>
      <c r="G2" s="140"/>
      <c r="H2" s="140"/>
      <c r="I2" s="140"/>
    </row>
    <row r="3" spans="1:10">
      <c r="A3" s="141"/>
      <c r="B3" s="141"/>
      <c r="C3" s="141"/>
      <c r="D3" s="141"/>
      <c r="E3" s="141"/>
      <c r="F3" s="141"/>
      <c r="G3" s="141"/>
      <c r="H3" s="942" t="s">
        <v>1</v>
      </c>
      <c r="I3" s="942"/>
    </row>
    <row r="4" spans="1:10" s="142" customFormat="1" ht="71.25" customHeight="1">
      <c r="A4" s="943" t="s">
        <v>550</v>
      </c>
      <c r="B4" s="943" t="s">
        <v>551</v>
      </c>
      <c r="C4" s="943" t="s">
        <v>552</v>
      </c>
      <c r="D4" s="943" t="s">
        <v>553</v>
      </c>
      <c r="E4" s="943"/>
      <c r="F4" s="943" t="s">
        <v>554</v>
      </c>
      <c r="G4" s="943"/>
      <c r="H4" s="943" t="s">
        <v>555</v>
      </c>
      <c r="I4" s="943"/>
    </row>
    <row r="5" spans="1:10" s="143" customFormat="1">
      <c r="A5" s="943"/>
      <c r="B5" s="943"/>
      <c r="C5" s="943"/>
      <c r="D5" s="574" t="s">
        <v>556</v>
      </c>
      <c r="E5" s="574" t="s">
        <v>557</v>
      </c>
      <c r="F5" s="574" t="s">
        <v>556</v>
      </c>
      <c r="G5" s="574" t="s">
        <v>557</v>
      </c>
      <c r="H5" s="574" t="s">
        <v>556</v>
      </c>
      <c r="I5" s="574" t="s">
        <v>557</v>
      </c>
    </row>
    <row r="6" spans="1:10" ht="55.2">
      <c r="A6" s="575" t="s">
        <v>605</v>
      </c>
      <c r="B6" s="576">
        <v>72959000</v>
      </c>
      <c r="C6" s="577" t="s">
        <v>558</v>
      </c>
      <c r="D6" s="576">
        <v>18239752</v>
      </c>
      <c r="E6" s="576">
        <v>1094385</v>
      </c>
      <c r="F6" s="576">
        <v>18239744</v>
      </c>
      <c r="G6" s="576">
        <v>660668</v>
      </c>
      <c r="H6" s="576">
        <v>0</v>
      </c>
      <c r="I6" s="576">
        <v>0</v>
      </c>
    </row>
    <row r="7" spans="1:10" s="145" customFormat="1" ht="55.2">
      <c r="A7" s="575" t="s">
        <v>606</v>
      </c>
      <c r="B7" s="576">
        <v>23200831</v>
      </c>
      <c r="C7" s="577" t="s">
        <v>559</v>
      </c>
      <c r="D7" s="576">
        <f>7138717-1380531</f>
        <v>5758186</v>
      </c>
      <c r="E7" s="576">
        <v>853103</v>
      </c>
      <c r="F7" s="576">
        <v>7138717</v>
      </c>
      <c r="G7" s="576">
        <v>329700</v>
      </c>
      <c r="H7" s="576">
        <v>1784680</v>
      </c>
      <c r="I7" s="576">
        <f>H7*0.05</f>
        <v>89234</v>
      </c>
      <c r="J7" s="144"/>
    </row>
    <row r="8" spans="1:10" s="147" customFormat="1" ht="26.25" customHeight="1">
      <c r="A8" s="200" t="s">
        <v>408</v>
      </c>
      <c r="B8" s="578">
        <f>SUM(B6:B7)</f>
        <v>96159831</v>
      </c>
      <c r="C8" s="146"/>
      <c r="D8" s="578">
        <f t="shared" ref="D8:I8" si="0">SUM(D6:D7)</f>
        <v>23997938</v>
      </c>
      <c r="E8" s="578">
        <f t="shared" si="0"/>
        <v>1947488</v>
      </c>
      <c r="F8" s="578">
        <f t="shared" si="0"/>
        <v>25378461</v>
      </c>
      <c r="G8" s="578">
        <f t="shared" si="0"/>
        <v>990368</v>
      </c>
      <c r="H8" s="578">
        <f t="shared" si="0"/>
        <v>1784680</v>
      </c>
      <c r="I8" s="578">
        <f t="shared" si="0"/>
        <v>89234</v>
      </c>
    </row>
    <row r="9" spans="1:10">
      <c r="A9" s="141"/>
      <c r="B9" s="141"/>
      <c r="C9" s="141"/>
      <c r="D9" s="141"/>
      <c r="E9" s="141"/>
      <c r="F9" s="141"/>
      <c r="G9" s="141"/>
      <c r="H9" s="141"/>
      <c r="I9" s="141"/>
    </row>
    <row r="10" spans="1:10">
      <c r="A10" s="141"/>
      <c r="B10" s="141"/>
      <c r="C10" s="141"/>
      <c r="D10" s="141"/>
      <c r="E10" s="141"/>
      <c r="F10" s="141"/>
      <c r="G10" s="141"/>
      <c r="H10" s="141"/>
      <c r="I10" s="141"/>
    </row>
    <row r="11" spans="1:10">
      <c r="A11" s="141"/>
      <c r="B11" s="141"/>
      <c r="C11" s="141"/>
      <c r="D11" s="141"/>
      <c r="E11" s="141"/>
      <c r="F11" s="141"/>
      <c r="G11" s="141"/>
      <c r="H11" s="141"/>
      <c r="I11" s="141"/>
    </row>
    <row r="12" spans="1:10">
      <c r="A12" s="141"/>
      <c r="B12" s="141"/>
      <c r="C12" s="141"/>
      <c r="D12" s="141"/>
      <c r="E12" s="141"/>
      <c r="F12" s="141"/>
      <c r="G12" s="141"/>
      <c r="H12" s="141"/>
      <c r="I12" s="141"/>
    </row>
    <row r="13" spans="1:10">
      <c r="A13" s="141"/>
      <c r="B13" s="141"/>
      <c r="C13" s="141"/>
      <c r="D13" s="141"/>
      <c r="E13" s="141"/>
      <c r="F13" s="141"/>
      <c r="G13" s="141"/>
      <c r="H13" s="141"/>
      <c r="I13" s="141"/>
    </row>
    <row r="14" spans="1:10">
      <c r="A14" s="141"/>
      <c r="B14" s="141"/>
      <c r="C14" s="141"/>
      <c r="D14" s="141"/>
      <c r="E14" s="141"/>
      <c r="F14" s="141"/>
      <c r="G14" s="141"/>
      <c r="H14" s="141"/>
      <c r="I14" s="141"/>
    </row>
    <row r="15" spans="1:10">
      <c r="A15" s="141"/>
      <c r="B15" s="141"/>
      <c r="C15" s="141"/>
      <c r="D15" s="141"/>
      <c r="E15" s="141"/>
      <c r="F15" s="141"/>
      <c r="G15" s="141"/>
      <c r="H15" s="141"/>
      <c r="I15" s="141"/>
    </row>
    <row r="16" spans="1:10">
      <c r="A16" s="141"/>
      <c r="B16" s="141"/>
      <c r="C16" s="141"/>
      <c r="D16" s="141"/>
      <c r="E16" s="141"/>
      <c r="F16" s="141"/>
      <c r="G16" s="141"/>
      <c r="H16" s="141"/>
      <c r="I16" s="141"/>
    </row>
    <row r="17" spans="1:9">
      <c r="A17" s="141"/>
      <c r="B17" s="141"/>
      <c r="C17" s="141"/>
      <c r="D17" s="141"/>
      <c r="E17" s="141"/>
      <c r="F17" s="141"/>
      <c r="G17" s="141"/>
      <c r="H17" s="141"/>
      <c r="I17" s="141"/>
    </row>
    <row r="18" spans="1:9">
      <c r="A18" s="141"/>
      <c r="B18" s="141"/>
      <c r="C18" s="141"/>
      <c r="D18" s="141"/>
      <c r="E18" s="141"/>
      <c r="F18" s="141"/>
      <c r="G18" s="141"/>
      <c r="H18" s="141"/>
      <c r="I18" s="141"/>
    </row>
    <row r="19" spans="1:9">
      <c r="A19" s="141"/>
      <c r="B19" s="141"/>
      <c r="C19" s="141"/>
      <c r="D19" s="141"/>
      <c r="E19" s="141"/>
      <c r="F19" s="141"/>
      <c r="G19" s="141"/>
      <c r="H19" s="141"/>
      <c r="I19" s="141"/>
    </row>
    <row r="20" spans="1:9">
      <c r="A20" s="141"/>
      <c r="B20" s="141"/>
      <c r="C20" s="141"/>
      <c r="D20" s="141"/>
      <c r="E20" s="141"/>
      <c r="F20" s="141"/>
      <c r="G20" s="141"/>
      <c r="H20" s="141"/>
      <c r="I20" s="141"/>
    </row>
    <row r="21" spans="1:9">
      <c r="A21" s="141"/>
      <c r="B21" s="141"/>
      <c r="C21" s="141"/>
      <c r="D21" s="141"/>
      <c r="E21" s="141"/>
      <c r="F21" s="141"/>
      <c r="G21" s="141"/>
      <c r="H21" s="141"/>
      <c r="I21" s="141"/>
    </row>
    <row r="22" spans="1:9">
      <c r="A22" s="141"/>
      <c r="B22" s="141"/>
      <c r="C22" s="141"/>
      <c r="D22" s="141"/>
      <c r="E22" s="141"/>
      <c r="F22" s="141"/>
      <c r="G22" s="141"/>
      <c r="H22" s="141"/>
      <c r="I22" s="141"/>
    </row>
    <row r="23" spans="1:9">
      <c r="A23" s="141"/>
      <c r="B23" s="141"/>
      <c r="C23" s="141"/>
      <c r="D23" s="141"/>
      <c r="E23" s="141"/>
      <c r="F23" s="141"/>
      <c r="G23" s="141"/>
      <c r="H23" s="141"/>
      <c r="I23" s="141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22/2017. (XII.04.)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C20"/>
  <sheetViews>
    <sheetView view="pageLayout" workbookViewId="0">
      <selection activeCell="H13" sqref="H13"/>
    </sheetView>
  </sheetViews>
  <sheetFormatPr defaultColWidth="9.33203125" defaultRowHeight="13.8"/>
  <cols>
    <col min="1" max="1" width="8" style="181" customWidth="1"/>
    <col min="2" max="2" width="86.21875" style="181" customWidth="1"/>
    <col min="3" max="3" width="21.44140625" style="181" customWidth="1"/>
    <col min="4" max="16384" width="9.33203125" style="181"/>
  </cols>
  <sheetData>
    <row r="1" spans="1:3" s="180" customFormat="1" ht="60" customHeight="1">
      <c r="A1" s="944" t="s">
        <v>653</v>
      </c>
      <c r="B1" s="944"/>
      <c r="C1" s="944"/>
    </row>
    <row r="2" spans="1:3">
      <c r="C2" s="201" t="s">
        <v>1</v>
      </c>
    </row>
    <row r="3" spans="1:3" ht="33.75" customHeight="1">
      <c r="A3" s="579" t="s">
        <v>614</v>
      </c>
      <c r="B3" s="209" t="s">
        <v>267</v>
      </c>
      <c r="C3" s="209" t="s">
        <v>437</v>
      </c>
    </row>
    <row r="4" spans="1:3" ht="22.5" customHeight="1">
      <c r="A4" s="580" t="s">
        <v>10</v>
      </c>
      <c r="B4" s="581" t="s">
        <v>706</v>
      </c>
      <c r="C4" s="582">
        <f>'9.sz.mell.'!D45-2000000</f>
        <v>749000000</v>
      </c>
    </row>
    <row r="5" spans="1:3" ht="22.5" customHeight="1">
      <c r="A5" s="580" t="s">
        <v>13</v>
      </c>
      <c r="B5" s="581" t="s">
        <v>707</v>
      </c>
      <c r="C5" s="582">
        <v>29559542</v>
      </c>
    </row>
    <row r="6" spans="1:3" ht="22.5" customHeight="1">
      <c r="A6" s="580" t="s">
        <v>16</v>
      </c>
      <c r="B6" s="581" t="s">
        <v>708</v>
      </c>
      <c r="C6" s="582"/>
    </row>
    <row r="7" spans="1:3" ht="31.5" customHeight="1">
      <c r="A7" s="580" t="s">
        <v>19</v>
      </c>
      <c r="B7" s="581" t="s">
        <v>709</v>
      </c>
      <c r="C7" s="582">
        <v>2160072</v>
      </c>
    </row>
    <row r="8" spans="1:3" ht="22.5" customHeight="1">
      <c r="A8" s="580" t="s">
        <v>22</v>
      </c>
      <c r="B8" s="581" t="s">
        <v>710</v>
      </c>
      <c r="C8" s="582">
        <v>2000000</v>
      </c>
    </row>
    <row r="9" spans="1:3" ht="28.5" customHeight="1">
      <c r="A9" s="580" t="s">
        <v>25</v>
      </c>
      <c r="B9" s="581" t="s">
        <v>711</v>
      </c>
      <c r="C9" s="582"/>
    </row>
    <row r="10" spans="1:3" s="180" customFormat="1" ht="22.5" customHeight="1">
      <c r="A10" s="209" t="s">
        <v>28</v>
      </c>
      <c r="B10" s="583" t="s">
        <v>712</v>
      </c>
      <c r="C10" s="584">
        <f>SUM(C4:C9)</f>
        <v>782719614</v>
      </c>
    </row>
    <row r="11" spans="1:3" s="180" customFormat="1" ht="22.5" customHeight="1">
      <c r="A11" s="580" t="s">
        <v>31</v>
      </c>
      <c r="B11" s="583" t="s">
        <v>713</v>
      </c>
      <c r="C11" s="584">
        <f t="shared" ref="C11" si="0">C10/2</f>
        <v>391359807</v>
      </c>
    </row>
    <row r="12" spans="1:3" s="180" customFormat="1" ht="27" customHeight="1">
      <c r="A12" s="580" t="s">
        <v>34</v>
      </c>
      <c r="B12" s="581" t="s">
        <v>714</v>
      </c>
      <c r="C12" s="582">
        <v>23997938</v>
      </c>
    </row>
    <row r="13" spans="1:3" ht="34.5" customHeight="1">
      <c r="A13" s="580" t="s">
        <v>37</v>
      </c>
      <c r="B13" s="581" t="s">
        <v>715</v>
      </c>
      <c r="C13" s="582"/>
    </row>
    <row r="14" spans="1:3" ht="34.5" customHeight="1">
      <c r="A14" s="580" t="s">
        <v>39</v>
      </c>
      <c r="B14" s="581" t="s">
        <v>716</v>
      </c>
      <c r="C14" s="582"/>
    </row>
    <row r="15" spans="1:3" ht="34.5" customHeight="1">
      <c r="A15" s="580" t="s">
        <v>41</v>
      </c>
      <c r="B15" s="581" t="s">
        <v>717</v>
      </c>
      <c r="C15" s="582"/>
    </row>
    <row r="16" spans="1:3" ht="34.5" customHeight="1">
      <c r="A16" s="580" t="s">
        <v>43</v>
      </c>
      <c r="B16" s="581" t="s">
        <v>718</v>
      </c>
      <c r="C16" s="582"/>
    </row>
    <row r="17" spans="1:3" ht="34.5" customHeight="1">
      <c r="A17" s="580" t="s">
        <v>45</v>
      </c>
      <c r="B17" s="581" t="s">
        <v>719</v>
      </c>
      <c r="C17" s="582"/>
    </row>
    <row r="18" spans="1:3" ht="34.5" customHeight="1">
      <c r="A18" s="580" t="s">
        <v>47</v>
      </c>
      <c r="B18" s="581" t="s">
        <v>720</v>
      </c>
      <c r="C18" s="582"/>
    </row>
    <row r="19" spans="1:3" ht="34.5" customHeight="1">
      <c r="A19" s="580" t="s">
        <v>49</v>
      </c>
      <c r="B19" s="583" t="s">
        <v>721</v>
      </c>
      <c r="C19" s="582">
        <f>SUM(C12:C18)</f>
        <v>23997938</v>
      </c>
    </row>
    <row r="20" spans="1:3" s="180" customFormat="1" ht="24" customHeight="1">
      <c r="A20" s="580" t="s">
        <v>51</v>
      </c>
      <c r="B20" s="583" t="s">
        <v>722</v>
      </c>
      <c r="C20" s="585">
        <f>C11-C19</f>
        <v>367361869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22/2017.(XII.04.)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view="pageLayout" workbookViewId="0">
      <selection activeCell="B4" sqref="B4"/>
    </sheetView>
  </sheetViews>
  <sheetFormatPr defaultRowHeight="14.4"/>
  <cols>
    <col min="1" max="1" width="7.33203125" style="182" customWidth="1"/>
    <col min="2" max="2" width="45.21875" style="182" customWidth="1"/>
    <col min="3" max="5" width="22.77734375" style="189" customWidth="1"/>
    <col min="6" max="6" width="9.33203125" style="182"/>
    <col min="7" max="7" width="12.77734375" style="182" bestFit="1" customWidth="1"/>
    <col min="8" max="256" width="9.33203125" style="182"/>
    <col min="257" max="257" width="5" style="182" customWidth="1"/>
    <col min="258" max="258" width="76.33203125" style="182" customWidth="1"/>
    <col min="259" max="259" width="17.21875" style="182" customWidth="1"/>
    <col min="260" max="260" width="19.21875" style="182" customWidth="1"/>
    <col min="261" max="261" width="17.21875" style="182" customWidth="1"/>
    <col min="262" max="262" width="9.33203125" style="182"/>
    <col min="263" max="263" width="12.77734375" style="182" bestFit="1" customWidth="1"/>
    <col min="264" max="512" width="9.33203125" style="182"/>
    <col min="513" max="513" width="5" style="182" customWidth="1"/>
    <col min="514" max="514" width="76.33203125" style="182" customWidth="1"/>
    <col min="515" max="515" width="17.21875" style="182" customWidth="1"/>
    <col min="516" max="516" width="19.21875" style="182" customWidth="1"/>
    <col min="517" max="517" width="17.21875" style="182" customWidth="1"/>
    <col min="518" max="518" width="9.33203125" style="182"/>
    <col min="519" max="519" width="12.77734375" style="182" bestFit="1" customWidth="1"/>
    <col min="520" max="768" width="9.33203125" style="182"/>
    <col min="769" max="769" width="5" style="182" customWidth="1"/>
    <col min="770" max="770" width="76.33203125" style="182" customWidth="1"/>
    <col min="771" max="771" width="17.21875" style="182" customWidth="1"/>
    <col min="772" max="772" width="19.21875" style="182" customWidth="1"/>
    <col min="773" max="773" width="17.21875" style="182" customWidth="1"/>
    <col min="774" max="774" width="9.33203125" style="182"/>
    <col min="775" max="775" width="12.77734375" style="182" bestFit="1" customWidth="1"/>
    <col min="776" max="1024" width="9.33203125" style="182"/>
    <col min="1025" max="1025" width="5" style="182" customWidth="1"/>
    <col min="1026" max="1026" width="76.33203125" style="182" customWidth="1"/>
    <col min="1027" max="1027" width="17.21875" style="182" customWidth="1"/>
    <col min="1028" max="1028" width="19.21875" style="182" customWidth="1"/>
    <col min="1029" max="1029" width="17.21875" style="182" customWidth="1"/>
    <col min="1030" max="1030" width="9.33203125" style="182"/>
    <col min="1031" max="1031" width="12.77734375" style="182" bestFit="1" customWidth="1"/>
    <col min="1032" max="1280" width="9.33203125" style="182"/>
    <col min="1281" max="1281" width="5" style="182" customWidth="1"/>
    <col min="1282" max="1282" width="76.33203125" style="182" customWidth="1"/>
    <col min="1283" max="1283" width="17.21875" style="182" customWidth="1"/>
    <col min="1284" max="1284" width="19.21875" style="182" customWidth="1"/>
    <col min="1285" max="1285" width="17.21875" style="182" customWidth="1"/>
    <col min="1286" max="1286" width="9.33203125" style="182"/>
    <col min="1287" max="1287" width="12.77734375" style="182" bestFit="1" customWidth="1"/>
    <col min="1288" max="1536" width="9.33203125" style="182"/>
    <col min="1537" max="1537" width="5" style="182" customWidth="1"/>
    <col min="1538" max="1538" width="76.33203125" style="182" customWidth="1"/>
    <col min="1539" max="1539" width="17.21875" style="182" customWidth="1"/>
    <col min="1540" max="1540" width="19.21875" style="182" customWidth="1"/>
    <col min="1541" max="1541" width="17.21875" style="182" customWidth="1"/>
    <col min="1542" max="1542" width="9.33203125" style="182"/>
    <col min="1543" max="1543" width="12.77734375" style="182" bestFit="1" customWidth="1"/>
    <col min="1544" max="1792" width="9.33203125" style="182"/>
    <col min="1793" max="1793" width="5" style="182" customWidth="1"/>
    <col min="1794" max="1794" width="76.33203125" style="182" customWidth="1"/>
    <col min="1795" max="1795" width="17.21875" style="182" customWidth="1"/>
    <col min="1796" max="1796" width="19.21875" style="182" customWidth="1"/>
    <col min="1797" max="1797" width="17.21875" style="182" customWidth="1"/>
    <col min="1798" max="1798" width="9.33203125" style="182"/>
    <col min="1799" max="1799" width="12.77734375" style="182" bestFit="1" customWidth="1"/>
    <col min="1800" max="2048" width="9.33203125" style="182"/>
    <col min="2049" max="2049" width="5" style="182" customWidth="1"/>
    <col min="2050" max="2050" width="76.33203125" style="182" customWidth="1"/>
    <col min="2051" max="2051" width="17.21875" style="182" customWidth="1"/>
    <col min="2052" max="2052" width="19.21875" style="182" customWidth="1"/>
    <col min="2053" max="2053" width="17.21875" style="182" customWidth="1"/>
    <col min="2054" max="2054" width="9.33203125" style="182"/>
    <col min="2055" max="2055" width="12.77734375" style="182" bestFit="1" customWidth="1"/>
    <col min="2056" max="2304" width="9.33203125" style="182"/>
    <col min="2305" max="2305" width="5" style="182" customWidth="1"/>
    <col min="2306" max="2306" width="76.33203125" style="182" customWidth="1"/>
    <col min="2307" max="2307" width="17.21875" style="182" customWidth="1"/>
    <col min="2308" max="2308" width="19.21875" style="182" customWidth="1"/>
    <col min="2309" max="2309" width="17.21875" style="182" customWidth="1"/>
    <col min="2310" max="2310" width="9.33203125" style="182"/>
    <col min="2311" max="2311" width="12.77734375" style="182" bestFit="1" customWidth="1"/>
    <col min="2312" max="2560" width="9.33203125" style="182"/>
    <col min="2561" max="2561" width="5" style="182" customWidth="1"/>
    <col min="2562" max="2562" width="76.33203125" style="182" customWidth="1"/>
    <col min="2563" max="2563" width="17.21875" style="182" customWidth="1"/>
    <col min="2564" max="2564" width="19.21875" style="182" customWidth="1"/>
    <col min="2565" max="2565" width="17.21875" style="182" customWidth="1"/>
    <col min="2566" max="2566" width="9.33203125" style="182"/>
    <col min="2567" max="2567" width="12.77734375" style="182" bestFit="1" customWidth="1"/>
    <col min="2568" max="2816" width="9.33203125" style="182"/>
    <col min="2817" max="2817" width="5" style="182" customWidth="1"/>
    <col min="2818" max="2818" width="76.33203125" style="182" customWidth="1"/>
    <col min="2819" max="2819" width="17.21875" style="182" customWidth="1"/>
    <col min="2820" max="2820" width="19.21875" style="182" customWidth="1"/>
    <col min="2821" max="2821" width="17.21875" style="182" customWidth="1"/>
    <col min="2822" max="2822" width="9.33203125" style="182"/>
    <col min="2823" max="2823" width="12.77734375" style="182" bestFit="1" customWidth="1"/>
    <col min="2824" max="3072" width="9.33203125" style="182"/>
    <col min="3073" max="3073" width="5" style="182" customWidth="1"/>
    <col min="3074" max="3074" width="76.33203125" style="182" customWidth="1"/>
    <col min="3075" max="3075" width="17.21875" style="182" customWidth="1"/>
    <col min="3076" max="3076" width="19.21875" style="182" customWidth="1"/>
    <col min="3077" max="3077" width="17.21875" style="182" customWidth="1"/>
    <col min="3078" max="3078" width="9.33203125" style="182"/>
    <col min="3079" max="3079" width="12.77734375" style="182" bestFit="1" customWidth="1"/>
    <col min="3080" max="3328" width="9.33203125" style="182"/>
    <col min="3329" max="3329" width="5" style="182" customWidth="1"/>
    <col min="3330" max="3330" width="76.33203125" style="182" customWidth="1"/>
    <col min="3331" max="3331" width="17.21875" style="182" customWidth="1"/>
    <col min="3332" max="3332" width="19.21875" style="182" customWidth="1"/>
    <col min="3333" max="3333" width="17.21875" style="182" customWidth="1"/>
    <col min="3334" max="3334" width="9.33203125" style="182"/>
    <col min="3335" max="3335" width="12.77734375" style="182" bestFit="1" customWidth="1"/>
    <col min="3336" max="3584" width="9.33203125" style="182"/>
    <col min="3585" max="3585" width="5" style="182" customWidth="1"/>
    <col min="3586" max="3586" width="76.33203125" style="182" customWidth="1"/>
    <col min="3587" max="3587" width="17.21875" style="182" customWidth="1"/>
    <col min="3588" max="3588" width="19.21875" style="182" customWidth="1"/>
    <col min="3589" max="3589" width="17.21875" style="182" customWidth="1"/>
    <col min="3590" max="3590" width="9.33203125" style="182"/>
    <col min="3591" max="3591" width="12.77734375" style="182" bestFit="1" customWidth="1"/>
    <col min="3592" max="3840" width="9.33203125" style="182"/>
    <col min="3841" max="3841" width="5" style="182" customWidth="1"/>
    <col min="3842" max="3842" width="76.33203125" style="182" customWidth="1"/>
    <col min="3843" max="3843" width="17.21875" style="182" customWidth="1"/>
    <col min="3844" max="3844" width="19.21875" style="182" customWidth="1"/>
    <col min="3845" max="3845" width="17.21875" style="182" customWidth="1"/>
    <col min="3846" max="3846" width="9.33203125" style="182"/>
    <col min="3847" max="3847" width="12.77734375" style="182" bestFit="1" customWidth="1"/>
    <col min="3848" max="4096" width="9.33203125" style="182"/>
    <col min="4097" max="4097" width="5" style="182" customWidth="1"/>
    <col min="4098" max="4098" width="76.33203125" style="182" customWidth="1"/>
    <col min="4099" max="4099" width="17.21875" style="182" customWidth="1"/>
    <col min="4100" max="4100" width="19.21875" style="182" customWidth="1"/>
    <col min="4101" max="4101" width="17.21875" style="182" customWidth="1"/>
    <col min="4102" max="4102" width="9.33203125" style="182"/>
    <col min="4103" max="4103" width="12.77734375" style="182" bestFit="1" customWidth="1"/>
    <col min="4104" max="4352" width="9.33203125" style="182"/>
    <col min="4353" max="4353" width="5" style="182" customWidth="1"/>
    <col min="4354" max="4354" width="76.33203125" style="182" customWidth="1"/>
    <col min="4355" max="4355" width="17.21875" style="182" customWidth="1"/>
    <col min="4356" max="4356" width="19.21875" style="182" customWidth="1"/>
    <col min="4357" max="4357" width="17.21875" style="182" customWidth="1"/>
    <col min="4358" max="4358" width="9.33203125" style="182"/>
    <col min="4359" max="4359" width="12.77734375" style="182" bestFit="1" customWidth="1"/>
    <col min="4360" max="4608" width="9.33203125" style="182"/>
    <col min="4609" max="4609" width="5" style="182" customWidth="1"/>
    <col min="4610" max="4610" width="76.33203125" style="182" customWidth="1"/>
    <col min="4611" max="4611" width="17.21875" style="182" customWidth="1"/>
    <col min="4612" max="4612" width="19.21875" style="182" customWidth="1"/>
    <col min="4613" max="4613" width="17.21875" style="182" customWidth="1"/>
    <col min="4614" max="4614" width="9.33203125" style="182"/>
    <col min="4615" max="4615" width="12.77734375" style="182" bestFit="1" customWidth="1"/>
    <col min="4616" max="4864" width="9.33203125" style="182"/>
    <col min="4865" max="4865" width="5" style="182" customWidth="1"/>
    <col min="4866" max="4866" width="76.33203125" style="182" customWidth="1"/>
    <col min="4867" max="4867" width="17.21875" style="182" customWidth="1"/>
    <col min="4868" max="4868" width="19.21875" style="182" customWidth="1"/>
    <col min="4869" max="4869" width="17.21875" style="182" customWidth="1"/>
    <col min="4870" max="4870" width="9.33203125" style="182"/>
    <col min="4871" max="4871" width="12.77734375" style="182" bestFit="1" customWidth="1"/>
    <col min="4872" max="5120" width="9.33203125" style="182"/>
    <col min="5121" max="5121" width="5" style="182" customWidth="1"/>
    <col min="5122" max="5122" width="76.33203125" style="182" customWidth="1"/>
    <col min="5123" max="5123" width="17.21875" style="182" customWidth="1"/>
    <col min="5124" max="5124" width="19.21875" style="182" customWidth="1"/>
    <col min="5125" max="5125" width="17.21875" style="182" customWidth="1"/>
    <col min="5126" max="5126" width="9.33203125" style="182"/>
    <col min="5127" max="5127" width="12.77734375" style="182" bestFit="1" customWidth="1"/>
    <col min="5128" max="5376" width="9.33203125" style="182"/>
    <col min="5377" max="5377" width="5" style="182" customWidth="1"/>
    <col min="5378" max="5378" width="76.33203125" style="182" customWidth="1"/>
    <col min="5379" max="5379" width="17.21875" style="182" customWidth="1"/>
    <col min="5380" max="5380" width="19.21875" style="182" customWidth="1"/>
    <col min="5381" max="5381" width="17.21875" style="182" customWidth="1"/>
    <col min="5382" max="5382" width="9.33203125" style="182"/>
    <col min="5383" max="5383" width="12.77734375" style="182" bestFit="1" customWidth="1"/>
    <col min="5384" max="5632" width="9.33203125" style="182"/>
    <col min="5633" max="5633" width="5" style="182" customWidth="1"/>
    <col min="5634" max="5634" width="76.33203125" style="182" customWidth="1"/>
    <col min="5635" max="5635" width="17.21875" style="182" customWidth="1"/>
    <col min="5636" max="5636" width="19.21875" style="182" customWidth="1"/>
    <col min="5637" max="5637" width="17.21875" style="182" customWidth="1"/>
    <col min="5638" max="5638" width="9.33203125" style="182"/>
    <col min="5639" max="5639" width="12.77734375" style="182" bestFit="1" customWidth="1"/>
    <col min="5640" max="5888" width="9.33203125" style="182"/>
    <col min="5889" max="5889" width="5" style="182" customWidth="1"/>
    <col min="5890" max="5890" width="76.33203125" style="182" customWidth="1"/>
    <col min="5891" max="5891" width="17.21875" style="182" customWidth="1"/>
    <col min="5892" max="5892" width="19.21875" style="182" customWidth="1"/>
    <col min="5893" max="5893" width="17.21875" style="182" customWidth="1"/>
    <col min="5894" max="5894" width="9.33203125" style="182"/>
    <col min="5895" max="5895" width="12.77734375" style="182" bestFit="1" customWidth="1"/>
    <col min="5896" max="6144" width="9.33203125" style="182"/>
    <col min="6145" max="6145" width="5" style="182" customWidth="1"/>
    <col min="6146" max="6146" width="76.33203125" style="182" customWidth="1"/>
    <col min="6147" max="6147" width="17.21875" style="182" customWidth="1"/>
    <col min="6148" max="6148" width="19.21875" style="182" customWidth="1"/>
    <col min="6149" max="6149" width="17.21875" style="182" customWidth="1"/>
    <col min="6150" max="6150" width="9.33203125" style="182"/>
    <col min="6151" max="6151" width="12.77734375" style="182" bestFit="1" customWidth="1"/>
    <col min="6152" max="6400" width="9.33203125" style="182"/>
    <col min="6401" max="6401" width="5" style="182" customWidth="1"/>
    <col min="6402" max="6402" width="76.33203125" style="182" customWidth="1"/>
    <col min="6403" max="6403" width="17.21875" style="182" customWidth="1"/>
    <col min="6404" max="6404" width="19.21875" style="182" customWidth="1"/>
    <col min="6405" max="6405" width="17.21875" style="182" customWidth="1"/>
    <col min="6406" max="6406" width="9.33203125" style="182"/>
    <col min="6407" max="6407" width="12.77734375" style="182" bestFit="1" customWidth="1"/>
    <col min="6408" max="6656" width="9.33203125" style="182"/>
    <col min="6657" max="6657" width="5" style="182" customWidth="1"/>
    <col min="6658" max="6658" width="76.33203125" style="182" customWidth="1"/>
    <col min="6659" max="6659" width="17.21875" style="182" customWidth="1"/>
    <col min="6660" max="6660" width="19.21875" style="182" customWidth="1"/>
    <col min="6661" max="6661" width="17.21875" style="182" customWidth="1"/>
    <col min="6662" max="6662" width="9.33203125" style="182"/>
    <col min="6663" max="6663" width="12.77734375" style="182" bestFit="1" customWidth="1"/>
    <col min="6664" max="6912" width="9.33203125" style="182"/>
    <col min="6913" max="6913" width="5" style="182" customWidth="1"/>
    <col min="6914" max="6914" width="76.33203125" style="182" customWidth="1"/>
    <col min="6915" max="6915" width="17.21875" style="182" customWidth="1"/>
    <col min="6916" max="6916" width="19.21875" style="182" customWidth="1"/>
    <col min="6917" max="6917" width="17.21875" style="182" customWidth="1"/>
    <col min="6918" max="6918" width="9.33203125" style="182"/>
    <col min="6919" max="6919" width="12.77734375" style="182" bestFit="1" customWidth="1"/>
    <col min="6920" max="7168" width="9.33203125" style="182"/>
    <col min="7169" max="7169" width="5" style="182" customWidth="1"/>
    <col min="7170" max="7170" width="76.33203125" style="182" customWidth="1"/>
    <col min="7171" max="7171" width="17.21875" style="182" customWidth="1"/>
    <col min="7172" max="7172" width="19.21875" style="182" customWidth="1"/>
    <col min="7173" max="7173" width="17.21875" style="182" customWidth="1"/>
    <col min="7174" max="7174" width="9.33203125" style="182"/>
    <col min="7175" max="7175" width="12.77734375" style="182" bestFit="1" customWidth="1"/>
    <col min="7176" max="7424" width="9.33203125" style="182"/>
    <col min="7425" max="7425" width="5" style="182" customWidth="1"/>
    <col min="7426" max="7426" width="76.33203125" style="182" customWidth="1"/>
    <col min="7427" max="7427" width="17.21875" style="182" customWidth="1"/>
    <col min="7428" max="7428" width="19.21875" style="182" customWidth="1"/>
    <col min="7429" max="7429" width="17.21875" style="182" customWidth="1"/>
    <col min="7430" max="7430" width="9.33203125" style="182"/>
    <col min="7431" max="7431" width="12.77734375" style="182" bestFit="1" customWidth="1"/>
    <col min="7432" max="7680" width="9.33203125" style="182"/>
    <col min="7681" max="7681" width="5" style="182" customWidth="1"/>
    <col min="7682" max="7682" width="76.33203125" style="182" customWidth="1"/>
    <col min="7683" max="7683" width="17.21875" style="182" customWidth="1"/>
    <col min="7684" max="7684" width="19.21875" style="182" customWidth="1"/>
    <col min="7685" max="7685" width="17.21875" style="182" customWidth="1"/>
    <col min="7686" max="7686" width="9.33203125" style="182"/>
    <col min="7687" max="7687" width="12.77734375" style="182" bestFit="1" customWidth="1"/>
    <col min="7688" max="7936" width="9.33203125" style="182"/>
    <col min="7937" max="7937" width="5" style="182" customWidth="1"/>
    <col min="7938" max="7938" width="76.33203125" style="182" customWidth="1"/>
    <col min="7939" max="7939" width="17.21875" style="182" customWidth="1"/>
    <col min="7940" max="7940" width="19.21875" style="182" customWidth="1"/>
    <col min="7941" max="7941" width="17.21875" style="182" customWidth="1"/>
    <col min="7942" max="7942" width="9.33203125" style="182"/>
    <col min="7943" max="7943" width="12.77734375" style="182" bestFit="1" customWidth="1"/>
    <col min="7944" max="8192" width="9.33203125" style="182"/>
    <col min="8193" max="8193" width="5" style="182" customWidth="1"/>
    <col min="8194" max="8194" width="76.33203125" style="182" customWidth="1"/>
    <col min="8195" max="8195" width="17.21875" style="182" customWidth="1"/>
    <col min="8196" max="8196" width="19.21875" style="182" customWidth="1"/>
    <col min="8197" max="8197" width="17.21875" style="182" customWidth="1"/>
    <col min="8198" max="8198" width="9.33203125" style="182"/>
    <col min="8199" max="8199" width="12.77734375" style="182" bestFit="1" customWidth="1"/>
    <col min="8200" max="8448" width="9.33203125" style="182"/>
    <col min="8449" max="8449" width="5" style="182" customWidth="1"/>
    <col min="8450" max="8450" width="76.33203125" style="182" customWidth="1"/>
    <col min="8451" max="8451" width="17.21875" style="182" customWidth="1"/>
    <col min="8452" max="8452" width="19.21875" style="182" customWidth="1"/>
    <col min="8453" max="8453" width="17.21875" style="182" customWidth="1"/>
    <col min="8454" max="8454" width="9.33203125" style="182"/>
    <col min="8455" max="8455" width="12.77734375" style="182" bestFit="1" customWidth="1"/>
    <col min="8456" max="8704" width="9.33203125" style="182"/>
    <col min="8705" max="8705" width="5" style="182" customWidth="1"/>
    <col min="8706" max="8706" width="76.33203125" style="182" customWidth="1"/>
    <col min="8707" max="8707" width="17.21875" style="182" customWidth="1"/>
    <col min="8708" max="8708" width="19.21875" style="182" customWidth="1"/>
    <col min="8709" max="8709" width="17.21875" style="182" customWidth="1"/>
    <col min="8710" max="8710" width="9.33203125" style="182"/>
    <col min="8711" max="8711" width="12.77734375" style="182" bestFit="1" customWidth="1"/>
    <col min="8712" max="8960" width="9.33203125" style="182"/>
    <col min="8961" max="8961" width="5" style="182" customWidth="1"/>
    <col min="8962" max="8962" width="76.33203125" style="182" customWidth="1"/>
    <col min="8963" max="8963" width="17.21875" style="182" customWidth="1"/>
    <col min="8964" max="8964" width="19.21875" style="182" customWidth="1"/>
    <col min="8965" max="8965" width="17.21875" style="182" customWidth="1"/>
    <col min="8966" max="8966" width="9.33203125" style="182"/>
    <col min="8967" max="8967" width="12.77734375" style="182" bestFit="1" customWidth="1"/>
    <col min="8968" max="9216" width="9.33203125" style="182"/>
    <col min="9217" max="9217" width="5" style="182" customWidth="1"/>
    <col min="9218" max="9218" width="76.33203125" style="182" customWidth="1"/>
    <col min="9219" max="9219" width="17.21875" style="182" customWidth="1"/>
    <col min="9220" max="9220" width="19.21875" style="182" customWidth="1"/>
    <col min="9221" max="9221" width="17.21875" style="182" customWidth="1"/>
    <col min="9222" max="9222" width="9.33203125" style="182"/>
    <col min="9223" max="9223" width="12.77734375" style="182" bestFit="1" customWidth="1"/>
    <col min="9224" max="9472" width="9.33203125" style="182"/>
    <col min="9473" max="9473" width="5" style="182" customWidth="1"/>
    <col min="9474" max="9474" width="76.33203125" style="182" customWidth="1"/>
    <col min="9475" max="9475" width="17.21875" style="182" customWidth="1"/>
    <col min="9476" max="9476" width="19.21875" style="182" customWidth="1"/>
    <col min="9477" max="9477" width="17.21875" style="182" customWidth="1"/>
    <col min="9478" max="9478" width="9.33203125" style="182"/>
    <col min="9479" max="9479" width="12.77734375" style="182" bestFit="1" customWidth="1"/>
    <col min="9480" max="9728" width="9.33203125" style="182"/>
    <col min="9729" max="9729" width="5" style="182" customWidth="1"/>
    <col min="9730" max="9730" width="76.33203125" style="182" customWidth="1"/>
    <col min="9731" max="9731" width="17.21875" style="182" customWidth="1"/>
    <col min="9732" max="9732" width="19.21875" style="182" customWidth="1"/>
    <col min="9733" max="9733" width="17.21875" style="182" customWidth="1"/>
    <col min="9734" max="9734" width="9.33203125" style="182"/>
    <col min="9735" max="9735" width="12.77734375" style="182" bestFit="1" customWidth="1"/>
    <col min="9736" max="9984" width="9.33203125" style="182"/>
    <col min="9985" max="9985" width="5" style="182" customWidth="1"/>
    <col min="9986" max="9986" width="76.33203125" style="182" customWidth="1"/>
    <col min="9987" max="9987" width="17.21875" style="182" customWidth="1"/>
    <col min="9988" max="9988" width="19.21875" style="182" customWidth="1"/>
    <col min="9989" max="9989" width="17.21875" style="182" customWidth="1"/>
    <col min="9990" max="9990" width="9.33203125" style="182"/>
    <col min="9991" max="9991" width="12.77734375" style="182" bestFit="1" customWidth="1"/>
    <col min="9992" max="10240" width="9.33203125" style="182"/>
    <col min="10241" max="10241" width="5" style="182" customWidth="1"/>
    <col min="10242" max="10242" width="76.33203125" style="182" customWidth="1"/>
    <col min="10243" max="10243" width="17.21875" style="182" customWidth="1"/>
    <col min="10244" max="10244" width="19.21875" style="182" customWidth="1"/>
    <col min="10245" max="10245" width="17.21875" style="182" customWidth="1"/>
    <col min="10246" max="10246" width="9.33203125" style="182"/>
    <col min="10247" max="10247" width="12.77734375" style="182" bestFit="1" customWidth="1"/>
    <col min="10248" max="10496" width="9.33203125" style="182"/>
    <col min="10497" max="10497" width="5" style="182" customWidth="1"/>
    <col min="10498" max="10498" width="76.33203125" style="182" customWidth="1"/>
    <col min="10499" max="10499" width="17.21875" style="182" customWidth="1"/>
    <col min="10500" max="10500" width="19.21875" style="182" customWidth="1"/>
    <col min="10501" max="10501" width="17.21875" style="182" customWidth="1"/>
    <col min="10502" max="10502" width="9.33203125" style="182"/>
    <col min="10503" max="10503" width="12.77734375" style="182" bestFit="1" customWidth="1"/>
    <col min="10504" max="10752" width="9.33203125" style="182"/>
    <col min="10753" max="10753" width="5" style="182" customWidth="1"/>
    <col min="10754" max="10754" width="76.33203125" style="182" customWidth="1"/>
    <col min="10755" max="10755" width="17.21875" style="182" customWidth="1"/>
    <col min="10756" max="10756" width="19.21875" style="182" customWidth="1"/>
    <col min="10757" max="10757" width="17.21875" style="182" customWidth="1"/>
    <col min="10758" max="10758" width="9.33203125" style="182"/>
    <col min="10759" max="10759" width="12.77734375" style="182" bestFit="1" customWidth="1"/>
    <col min="10760" max="11008" width="9.33203125" style="182"/>
    <col min="11009" max="11009" width="5" style="182" customWidth="1"/>
    <col min="11010" max="11010" width="76.33203125" style="182" customWidth="1"/>
    <col min="11011" max="11011" width="17.21875" style="182" customWidth="1"/>
    <col min="11012" max="11012" width="19.21875" style="182" customWidth="1"/>
    <col min="11013" max="11013" width="17.21875" style="182" customWidth="1"/>
    <col min="11014" max="11014" width="9.33203125" style="182"/>
    <col min="11015" max="11015" width="12.77734375" style="182" bestFit="1" customWidth="1"/>
    <col min="11016" max="11264" width="9.33203125" style="182"/>
    <col min="11265" max="11265" width="5" style="182" customWidth="1"/>
    <col min="11266" max="11266" width="76.33203125" style="182" customWidth="1"/>
    <col min="11267" max="11267" width="17.21875" style="182" customWidth="1"/>
    <col min="11268" max="11268" width="19.21875" style="182" customWidth="1"/>
    <col min="11269" max="11269" width="17.21875" style="182" customWidth="1"/>
    <col min="11270" max="11270" width="9.33203125" style="182"/>
    <col min="11271" max="11271" width="12.77734375" style="182" bestFit="1" customWidth="1"/>
    <col min="11272" max="11520" width="9.33203125" style="182"/>
    <col min="11521" max="11521" width="5" style="182" customWidth="1"/>
    <col min="11522" max="11522" width="76.33203125" style="182" customWidth="1"/>
    <col min="11523" max="11523" width="17.21875" style="182" customWidth="1"/>
    <col min="11524" max="11524" width="19.21875" style="182" customWidth="1"/>
    <col min="11525" max="11525" width="17.21875" style="182" customWidth="1"/>
    <col min="11526" max="11526" width="9.33203125" style="182"/>
    <col min="11527" max="11527" width="12.77734375" style="182" bestFit="1" customWidth="1"/>
    <col min="11528" max="11776" width="9.33203125" style="182"/>
    <col min="11777" max="11777" width="5" style="182" customWidth="1"/>
    <col min="11778" max="11778" width="76.33203125" style="182" customWidth="1"/>
    <col min="11779" max="11779" width="17.21875" style="182" customWidth="1"/>
    <col min="11780" max="11780" width="19.21875" style="182" customWidth="1"/>
    <col min="11781" max="11781" width="17.21875" style="182" customWidth="1"/>
    <col min="11782" max="11782" width="9.33203125" style="182"/>
    <col min="11783" max="11783" width="12.77734375" style="182" bestFit="1" customWidth="1"/>
    <col min="11784" max="12032" width="9.33203125" style="182"/>
    <col min="12033" max="12033" width="5" style="182" customWidth="1"/>
    <col min="12034" max="12034" width="76.33203125" style="182" customWidth="1"/>
    <col min="12035" max="12035" width="17.21875" style="182" customWidth="1"/>
    <col min="12036" max="12036" width="19.21875" style="182" customWidth="1"/>
    <col min="12037" max="12037" width="17.21875" style="182" customWidth="1"/>
    <col min="12038" max="12038" width="9.33203125" style="182"/>
    <col min="12039" max="12039" width="12.77734375" style="182" bestFit="1" customWidth="1"/>
    <col min="12040" max="12288" width="9.33203125" style="182"/>
    <col min="12289" max="12289" width="5" style="182" customWidth="1"/>
    <col min="12290" max="12290" width="76.33203125" style="182" customWidth="1"/>
    <col min="12291" max="12291" width="17.21875" style="182" customWidth="1"/>
    <col min="12292" max="12292" width="19.21875" style="182" customWidth="1"/>
    <col min="12293" max="12293" width="17.21875" style="182" customWidth="1"/>
    <col min="12294" max="12294" width="9.33203125" style="182"/>
    <col min="12295" max="12295" width="12.77734375" style="182" bestFit="1" customWidth="1"/>
    <col min="12296" max="12544" width="9.33203125" style="182"/>
    <col min="12545" max="12545" width="5" style="182" customWidth="1"/>
    <col min="12546" max="12546" width="76.33203125" style="182" customWidth="1"/>
    <col min="12547" max="12547" width="17.21875" style="182" customWidth="1"/>
    <col min="12548" max="12548" width="19.21875" style="182" customWidth="1"/>
    <col min="12549" max="12549" width="17.21875" style="182" customWidth="1"/>
    <col min="12550" max="12550" width="9.33203125" style="182"/>
    <col min="12551" max="12551" width="12.77734375" style="182" bestFit="1" customWidth="1"/>
    <col min="12552" max="12800" width="9.33203125" style="182"/>
    <col min="12801" max="12801" width="5" style="182" customWidth="1"/>
    <col min="12802" max="12802" width="76.33203125" style="182" customWidth="1"/>
    <col min="12803" max="12803" width="17.21875" style="182" customWidth="1"/>
    <col min="12804" max="12804" width="19.21875" style="182" customWidth="1"/>
    <col min="12805" max="12805" width="17.21875" style="182" customWidth="1"/>
    <col min="12806" max="12806" width="9.33203125" style="182"/>
    <col min="12807" max="12807" width="12.77734375" style="182" bestFit="1" customWidth="1"/>
    <col min="12808" max="13056" width="9.33203125" style="182"/>
    <col min="13057" max="13057" width="5" style="182" customWidth="1"/>
    <col min="13058" max="13058" width="76.33203125" style="182" customWidth="1"/>
    <col min="13059" max="13059" width="17.21875" style="182" customWidth="1"/>
    <col min="13060" max="13060" width="19.21875" style="182" customWidth="1"/>
    <col min="13061" max="13061" width="17.21875" style="182" customWidth="1"/>
    <col min="13062" max="13062" width="9.33203125" style="182"/>
    <col min="13063" max="13063" width="12.77734375" style="182" bestFit="1" customWidth="1"/>
    <col min="13064" max="13312" width="9.33203125" style="182"/>
    <col min="13313" max="13313" width="5" style="182" customWidth="1"/>
    <col min="13314" max="13314" width="76.33203125" style="182" customWidth="1"/>
    <col min="13315" max="13315" width="17.21875" style="182" customWidth="1"/>
    <col min="13316" max="13316" width="19.21875" style="182" customWidth="1"/>
    <col min="13317" max="13317" width="17.21875" style="182" customWidth="1"/>
    <col min="13318" max="13318" width="9.33203125" style="182"/>
    <col min="13319" max="13319" width="12.77734375" style="182" bestFit="1" customWidth="1"/>
    <col min="13320" max="13568" width="9.33203125" style="182"/>
    <col min="13569" max="13569" width="5" style="182" customWidth="1"/>
    <col min="13570" max="13570" width="76.33203125" style="182" customWidth="1"/>
    <col min="13571" max="13571" width="17.21875" style="182" customWidth="1"/>
    <col min="13572" max="13572" width="19.21875" style="182" customWidth="1"/>
    <col min="13573" max="13573" width="17.21875" style="182" customWidth="1"/>
    <col min="13574" max="13574" width="9.33203125" style="182"/>
    <col min="13575" max="13575" width="12.77734375" style="182" bestFit="1" customWidth="1"/>
    <col min="13576" max="13824" width="9.33203125" style="182"/>
    <col min="13825" max="13825" width="5" style="182" customWidth="1"/>
    <col min="13826" max="13826" width="76.33203125" style="182" customWidth="1"/>
    <col min="13827" max="13827" width="17.21875" style="182" customWidth="1"/>
    <col min="13828" max="13828" width="19.21875" style="182" customWidth="1"/>
    <col min="13829" max="13829" width="17.21875" style="182" customWidth="1"/>
    <col min="13830" max="13830" width="9.33203125" style="182"/>
    <col min="13831" max="13831" width="12.77734375" style="182" bestFit="1" customWidth="1"/>
    <col min="13832" max="14080" width="9.33203125" style="182"/>
    <col min="14081" max="14081" width="5" style="182" customWidth="1"/>
    <col min="14082" max="14082" width="76.33203125" style="182" customWidth="1"/>
    <col min="14083" max="14083" width="17.21875" style="182" customWidth="1"/>
    <col min="14084" max="14084" width="19.21875" style="182" customWidth="1"/>
    <col min="14085" max="14085" width="17.21875" style="182" customWidth="1"/>
    <col min="14086" max="14086" width="9.33203125" style="182"/>
    <col min="14087" max="14087" width="12.77734375" style="182" bestFit="1" customWidth="1"/>
    <col min="14088" max="14336" width="9.33203125" style="182"/>
    <col min="14337" max="14337" width="5" style="182" customWidth="1"/>
    <col min="14338" max="14338" width="76.33203125" style="182" customWidth="1"/>
    <col min="14339" max="14339" width="17.21875" style="182" customWidth="1"/>
    <col min="14340" max="14340" width="19.21875" style="182" customWidth="1"/>
    <col min="14341" max="14341" width="17.21875" style="182" customWidth="1"/>
    <col min="14342" max="14342" width="9.33203125" style="182"/>
    <col min="14343" max="14343" width="12.77734375" style="182" bestFit="1" customWidth="1"/>
    <col min="14344" max="14592" width="9.33203125" style="182"/>
    <col min="14593" max="14593" width="5" style="182" customWidth="1"/>
    <col min="14594" max="14594" width="76.33203125" style="182" customWidth="1"/>
    <col min="14595" max="14595" width="17.21875" style="182" customWidth="1"/>
    <col min="14596" max="14596" width="19.21875" style="182" customWidth="1"/>
    <col min="14597" max="14597" width="17.21875" style="182" customWidth="1"/>
    <col min="14598" max="14598" width="9.33203125" style="182"/>
    <col min="14599" max="14599" width="12.77734375" style="182" bestFit="1" customWidth="1"/>
    <col min="14600" max="14848" width="9.33203125" style="182"/>
    <col min="14849" max="14849" width="5" style="182" customWidth="1"/>
    <col min="14850" max="14850" width="76.33203125" style="182" customWidth="1"/>
    <col min="14851" max="14851" width="17.21875" style="182" customWidth="1"/>
    <col min="14852" max="14852" width="19.21875" style="182" customWidth="1"/>
    <col min="14853" max="14853" width="17.21875" style="182" customWidth="1"/>
    <col min="14854" max="14854" width="9.33203125" style="182"/>
    <col min="14855" max="14855" width="12.77734375" style="182" bestFit="1" customWidth="1"/>
    <col min="14856" max="15104" width="9.33203125" style="182"/>
    <col min="15105" max="15105" width="5" style="182" customWidth="1"/>
    <col min="15106" max="15106" width="76.33203125" style="182" customWidth="1"/>
    <col min="15107" max="15107" width="17.21875" style="182" customWidth="1"/>
    <col min="15108" max="15108" width="19.21875" style="182" customWidth="1"/>
    <col min="15109" max="15109" width="17.21875" style="182" customWidth="1"/>
    <col min="15110" max="15110" width="9.33203125" style="182"/>
    <col min="15111" max="15111" width="12.77734375" style="182" bestFit="1" customWidth="1"/>
    <col min="15112" max="15360" width="9.33203125" style="182"/>
    <col min="15361" max="15361" width="5" style="182" customWidth="1"/>
    <col min="15362" max="15362" width="76.33203125" style="182" customWidth="1"/>
    <col min="15363" max="15363" width="17.21875" style="182" customWidth="1"/>
    <col min="15364" max="15364" width="19.21875" style="182" customWidth="1"/>
    <col min="15365" max="15365" width="17.21875" style="182" customWidth="1"/>
    <col min="15366" max="15366" width="9.33203125" style="182"/>
    <col min="15367" max="15367" width="12.77734375" style="182" bestFit="1" customWidth="1"/>
    <col min="15368" max="15616" width="9.33203125" style="182"/>
    <col min="15617" max="15617" width="5" style="182" customWidth="1"/>
    <col min="15618" max="15618" width="76.33203125" style="182" customWidth="1"/>
    <col min="15619" max="15619" width="17.21875" style="182" customWidth="1"/>
    <col min="15620" max="15620" width="19.21875" style="182" customWidth="1"/>
    <col min="15621" max="15621" width="17.21875" style="182" customWidth="1"/>
    <col min="15622" max="15622" width="9.33203125" style="182"/>
    <col min="15623" max="15623" width="12.77734375" style="182" bestFit="1" customWidth="1"/>
    <col min="15624" max="15872" width="9.33203125" style="182"/>
    <col min="15873" max="15873" width="5" style="182" customWidth="1"/>
    <col min="15874" max="15874" width="76.33203125" style="182" customWidth="1"/>
    <col min="15875" max="15875" width="17.21875" style="182" customWidth="1"/>
    <col min="15876" max="15876" width="19.21875" style="182" customWidth="1"/>
    <col min="15877" max="15877" width="17.21875" style="182" customWidth="1"/>
    <col min="15878" max="15878" width="9.33203125" style="182"/>
    <col min="15879" max="15879" width="12.77734375" style="182" bestFit="1" customWidth="1"/>
    <col min="15880" max="16128" width="9.33203125" style="182"/>
    <col min="16129" max="16129" width="5" style="182" customWidth="1"/>
    <col min="16130" max="16130" width="76.33203125" style="182" customWidth="1"/>
    <col min="16131" max="16131" width="17.21875" style="182" customWidth="1"/>
    <col min="16132" max="16132" width="19.21875" style="182" customWidth="1"/>
    <col min="16133" max="16133" width="17.21875" style="182" customWidth="1"/>
    <col min="16134" max="16134" width="9.33203125" style="182"/>
    <col min="16135" max="16135" width="12.77734375" style="182" bestFit="1" customWidth="1"/>
    <col min="16136" max="16384" width="9.33203125" style="182"/>
  </cols>
  <sheetData>
    <row r="1" spans="1:7" ht="36.75" customHeight="1">
      <c r="A1" s="945" t="s">
        <v>637</v>
      </c>
      <c r="B1" s="945"/>
      <c r="C1" s="945"/>
      <c r="D1" s="945"/>
      <c r="E1" s="945"/>
    </row>
    <row r="2" spans="1:7" ht="15" customHeight="1">
      <c r="A2" s="179"/>
      <c r="B2" s="179"/>
      <c r="C2" s="179" t="s">
        <v>624</v>
      </c>
      <c r="D2" s="179"/>
      <c r="E2" s="179"/>
    </row>
    <row r="3" spans="1:7">
      <c r="A3" s="35"/>
      <c r="B3" s="35"/>
      <c r="C3" s="183"/>
      <c r="D3" s="183"/>
      <c r="E3" s="190" t="s">
        <v>561</v>
      </c>
    </row>
    <row r="4" spans="1:7" s="184" customFormat="1" ht="55.2">
      <c r="A4" s="586" t="s">
        <v>407</v>
      </c>
      <c r="B4" s="586" t="s">
        <v>615</v>
      </c>
      <c r="C4" s="587" t="s">
        <v>621</v>
      </c>
      <c r="D4" s="587" t="s">
        <v>622</v>
      </c>
      <c r="E4" s="587" t="s">
        <v>616</v>
      </c>
      <c r="G4" s="185"/>
    </row>
    <row r="5" spans="1:7" s="184" customFormat="1" ht="12" customHeight="1">
      <c r="A5" s="588">
        <v>1</v>
      </c>
      <c r="B5" s="588">
        <v>2</v>
      </c>
      <c r="C5" s="589">
        <v>3</v>
      </c>
      <c r="D5" s="589">
        <v>4</v>
      </c>
      <c r="E5" s="589">
        <v>5</v>
      </c>
    </row>
    <row r="6" spans="1:7" s="184" customFormat="1" ht="18" customHeight="1">
      <c r="A6" s="590" t="s">
        <v>10</v>
      </c>
      <c r="B6" s="591"/>
      <c r="C6" s="592">
        <v>0</v>
      </c>
      <c r="D6" s="592">
        <v>0</v>
      </c>
      <c r="E6" s="593"/>
    </row>
    <row r="7" spans="1:7" s="184" customFormat="1" ht="18" customHeight="1">
      <c r="A7" s="590" t="s">
        <v>13</v>
      </c>
      <c r="B7" s="591"/>
      <c r="C7" s="592">
        <v>0</v>
      </c>
      <c r="D7" s="592">
        <v>0</v>
      </c>
      <c r="E7" s="593"/>
    </row>
    <row r="8" spans="1:7" s="184" customFormat="1" ht="18" customHeight="1">
      <c r="A8" s="590" t="s">
        <v>16</v>
      </c>
      <c r="B8" s="594"/>
      <c r="C8" s="592"/>
      <c r="D8" s="592"/>
      <c r="E8" s="593"/>
    </row>
    <row r="9" spans="1:7" s="184" customFormat="1" ht="18" customHeight="1">
      <c r="A9" s="590" t="s">
        <v>19</v>
      </c>
      <c r="B9" s="591"/>
      <c r="C9" s="595"/>
      <c r="D9" s="595"/>
      <c r="E9" s="593"/>
    </row>
    <row r="10" spans="1:7" s="184" customFormat="1" ht="18" customHeight="1">
      <c r="A10" s="590" t="s">
        <v>22</v>
      </c>
      <c r="B10" s="596"/>
      <c r="C10" s="597"/>
      <c r="D10" s="597"/>
      <c r="E10" s="593"/>
    </row>
    <row r="11" spans="1:7" s="184" customFormat="1" ht="18" customHeight="1">
      <c r="A11" s="590" t="s">
        <v>25</v>
      </c>
      <c r="B11" s="598"/>
      <c r="C11" s="595"/>
      <c r="D11" s="595"/>
      <c r="E11" s="593"/>
    </row>
    <row r="12" spans="1:7" s="184" customFormat="1" ht="18" customHeight="1">
      <c r="A12" s="590" t="s">
        <v>28</v>
      </c>
      <c r="B12" s="598"/>
      <c r="C12" s="595"/>
      <c r="D12" s="595"/>
      <c r="E12" s="593"/>
    </row>
    <row r="13" spans="1:7" s="184" customFormat="1" ht="18" customHeight="1">
      <c r="A13" s="590" t="s">
        <v>31</v>
      </c>
      <c r="B13" s="598"/>
      <c r="C13" s="595"/>
      <c r="D13" s="595"/>
      <c r="E13" s="593"/>
    </row>
    <row r="14" spans="1:7" s="184" customFormat="1" ht="18" customHeight="1">
      <c r="A14" s="590" t="s">
        <v>34</v>
      </c>
      <c r="B14" s="598"/>
      <c r="C14" s="595"/>
      <c r="D14" s="595"/>
      <c r="E14" s="593"/>
    </row>
    <row r="15" spans="1:7" s="184" customFormat="1" ht="18" customHeight="1">
      <c r="A15" s="590" t="s">
        <v>37</v>
      </c>
      <c r="B15" s="598"/>
      <c r="C15" s="595"/>
      <c r="D15" s="595"/>
      <c r="E15" s="593"/>
    </row>
    <row r="16" spans="1:7" s="184" customFormat="1">
      <c r="A16" s="599" t="s">
        <v>39</v>
      </c>
      <c r="B16" s="600" t="s">
        <v>617</v>
      </c>
      <c r="C16" s="601">
        <f>SUM(C6:C15)</f>
        <v>0</v>
      </c>
      <c r="D16" s="601">
        <f>SUM(D6:D15)</f>
        <v>0</v>
      </c>
      <c r="E16" s="601">
        <f>SUM(E6:E15)</f>
        <v>0</v>
      </c>
    </row>
    <row r="17" spans="1:6" s="184" customFormat="1">
      <c r="A17" s="590" t="s">
        <v>41</v>
      </c>
      <c r="B17" s="602"/>
      <c r="C17" s="603"/>
      <c r="D17" s="603"/>
      <c r="E17" s="593"/>
    </row>
    <row r="18" spans="1:6" s="184" customFormat="1">
      <c r="A18" s="599" t="s">
        <v>43</v>
      </c>
      <c r="B18" s="600" t="s">
        <v>618</v>
      </c>
      <c r="C18" s="601">
        <f>SUM(C17:C17)</f>
        <v>0</v>
      </c>
      <c r="D18" s="601">
        <f>SUM(D17:D17)</f>
        <v>0</v>
      </c>
      <c r="E18" s="601">
        <f>SUM(E17:E17)</f>
        <v>0</v>
      </c>
    </row>
    <row r="19" spans="1:6" s="184" customFormat="1">
      <c r="A19" s="590" t="s">
        <v>45</v>
      </c>
      <c r="B19" s="604"/>
      <c r="C19" s="603"/>
      <c r="D19" s="603"/>
      <c r="E19" s="593"/>
    </row>
    <row r="20" spans="1:6" s="184" customFormat="1">
      <c r="A20" s="590" t="s">
        <v>47</v>
      </c>
      <c r="B20" s="604"/>
      <c r="C20" s="605"/>
      <c r="D20" s="605"/>
      <c r="E20" s="593"/>
    </row>
    <row r="21" spans="1:6" s="184" customFormat="1">
      <c r="A21" s="590" t="s">
        <v>49</v>
      </c>
      <c r="B21" s="602"/>
      <c r="C21" s="603"/>
      <c r="D21" s="603"/>
      <c r="E21" s="593"/>
    </row>
    <row r="22" spans="1:6" s="184" customFormat="1">
      <c r="A22" s="590" t="s">
        <v>51</v>
      </c>
      <c r="B22" s="602"/>
      <c r="C22" s="603"/>
      <c r="D22" s="603"/>
      <c r="E22" s="593"/>
    </row>
    <row r="23" spans="1:6" s="184" customFormat="1">
      <c r="A23" s="590" t="s">
        <v>54</v>
      </c>
      <c r="B23" s="602"/>
      <c r="C23" s="606"/>
      <c r="D23" s="606"/>
      <c r="E23" s="593"/>
    </row>
    <row r="24" spans="1:6" s="184" customFormat="1">
      <c r="A24" s="599" t="s">
        <v>57</v>
      </c>
      <c r="B24" s="600" t="s">
        <v>619</v>
      </c>
      <c r="C24" s="601">
        <f>SUM(C19:C23)</f>
        <v>0</v>
      </c>
      <c r="D24" s="601">
        <f>SUM(D19:D23)</f>
        <v>0</v>
      </c>
      <c r="E24" s="601">
        <f>SUM(E19:E23)</f>
        <v>0</v>
      </c>
    </row>
    <row r="25" spans="1:6" s="184" customFormat="1" ht="27" customHeight="1">
      <c r="A25" s="599" t="s">
        <v>60</v>
      </c>
      <c r="B25" s="258" t="s">
        <v>620</v>
      </c>
      <c r="C25" s="607">
        <f>SUM(C24,C18,C16)</f>
        <v>0</v>
      </c>
      <c r="D25" s="607">
        <f>SUM(D24,D18,D16)</f>
        <v>0</v>
      </c>
      <c r="E25" s="607">
        <f>SUM(E24,E18,E16)</f>
        <v>0</v>
      </c>
    </row>
    <row r="28" spans="1:6">
      <c r="A28" s="186"/>
      <c r="B28" s="187"/>
      <c r="C28" s="186"/>
      <c r="D28" s="186"/>
      <c r="E28" s="186"/>
    </row>
    <row r="29" spans="1:6">
      <c r="A29" s="186"/>
      <c r="B29" s="187"/>
      <c r="C29" s="186"/>
      <c r="D29" s="186"/>
      <c r="E29" s="186"/>
    </row>
    <row r="30" spans="1:6">
      <c r="A30" s="186"/>
      <c r="B30" s="187"/>
      <c r="C30" s="186"/>
      <c r="D30" s="186"/>
      <c r="E30" s="186"/>
      <c r="F30" s="188"/>
    </row>
    <row r="31" spans="1:6">
      <c r="A31" s="186"/>
      <c r="B31" s="187"/>
      <c r="C31" s="186"/>
      <c r="D31" s="186"/>
      <c r="E31" s="186"/>
    </row>
    <row r="32" spans="1:6">
      <c r="A32" s="186"/>
      <c r="B32" s="187"/>
      <c r="C32" s="186"/>
      <c r="D32" s="186"/>
      <c r="E32" s="186"/>
    </row>
    <row r="33" spans="1:5">
      <c r="A33" s="186"/>
      <c r="B33" s="187"/>
      <c r="C33" s="186"/>
      <c r="D33" s="186"/>
      <c r="E33" s="186"/>
    </row>
    <row r="34" spans="1:5">
      <c r="A34" s="186"/>
      <c r="B34" s="187"/>
      <c r="C34" s="186"/>
      <c r="D34" s="186"/>
      <c r="E34" s="186"/>
    </row>
    <row r="35" spans="1:5">
      <c r="A35" s="186"/>
      <c r="B35" s="187"/>
      <c r="C35" s="186"/>
      <c r="D35" s="186"/>
      <c r="E35" s="186"/>
    </row>
    <row r="36" spans="1:5">
      <c r="A36" s="186"/>
      <c r="B36" s="187"/>
      <c r="C36" s="186"/>
      <c r="D36" s="186"/>
      <c r="E36" s="186"/>
    </row>
    <row r="37" spans="1:5">
      <c r="A37" s="186"/>
      <c r="B37" s="186"/>
      <c r="C37" s="186"/>
      <c r="D37" s="186"/>
      <c r="E37" s="186"/>
    </row>
    <row r="38" spans="1:5">
      <c r="A38" s="186"/>
      <c r="B38" s="186"/>
      <c r="C38" s="186"/>
      <c r="D38" s="186"/>
      <c r="E38" s="186"/>
    </row>
    <row r="39" spans="1:5">
      <c r="A39" s="186"/>
      <c r="B39" s="186"/>
      <c r="C39" s="186"/>
      <c r="D39" s="186"/>
      <c r="E39" s="186"/>
    </row>
    <row r="40" spans="1:5">
      <c r="A40" s="186"/>
      <c r="B40" s="186"/>
      <c r="C40" s="186"/>
      <c r="D40" s="186"/>
      <c r="E40" s="186"/>
    </row>
    <row r="41" spans="1:5">
      <c r="A41" s="186"/>
      <c r="B41" s="186"/>
      <c r="C41" s="186"/>
      <c r="D41" s="186"/>
      <c r="E41" s="186"/>
    </row>
    <row r="42" spans="1:5">
      <c r="A42" s="186"/>
      <c r="B42" s="186"/>
      <c r="C42" s="186"/>
      <c r="D42" s="186"/>
      <c r="E42" s="186"/>
    </row>
    <row r="43" spans="1:5">
      <c r="A43" s="186"/>
      <c r="B43" s="186"/>
      <c r="C43" s="186"/>
      <c r="D43" s="186"/>
      <c r="E43" s="186"/>
    </row>
    <row r="44" spans="1:5">
      <c r="A44" s="186"/>
      <c r="B44" s="186"/>
      <c r="C44" s="186"/>
      <c r="D44" s="186"/>
      <c r="E44" s="186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22/2017. (XII.04.)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5" sqref="E5"/>
    </sheetView>
  </sheetViews>
  <sheetFormatPr defaultRowHeight="13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view="pageLayout" topLeftCell="I1" zoomScaleSheetLayoutView="100" workbookViewId="0">
      <selection sqref="A1:O1"/>
    </sheetView>
  </sheetViews>
  <sheetFormatPr defaultColWidth="9.33203125" defaultRowHeight="13.2"/>
  <cols>
    <col min="1" max="1" width="7" style="12" customWidth="1"/>
    <col min="2" max="2" width="58" style="13" customWidth="1"/>
    <col min="3" max="7" width="18.33203125" style="12" customWidth="1"/>
    <col min="8" max="8" width="11.21875" style="729" customWidth="1"/>
    <col min="9" max="9" width="56" style="12" customWidth="1"/>
    <col min="10" max="10" width="19.21875" style="12" customWidth="1"/>
    <col min="11" max="11" width="15.21875" style="679" bestFit="1" customWidth="1"/>
    <col min="12" max="12" width="15.21875" style="12" customWidth="1"/>
    <col min="13" max="13" width="14.44140625" style="12" bestFit="1" customWidth="1"/>
    <col min="14" max="14" width="14.44140625" style="12" customWidth="1"/>
    <col min="15" max="15" width="13.6640625" style="729" customWidth="1"/>
    <col min="16" max="16384" width="9.33203125" style="12"/>
  </cols>
  <sheetData>
    <row r="1" spans="1:15" ht="44.25" customHeight="1">
      <c r="A1" s="868" t="s">
        <v>647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</row>
    <row r="2" spans="1:15">
      <c r="K2" s="676"/>
      <c r="L2" s="11"/>
      <c r="M2" s="14"/>
      <c r="N2" s="647" t="s">
        <v>861</v>
      </c>
      <c r="O2" s="734" t="s">
        <v>1</v>
      </c>
    </row>
    <row r="3" spans="1:15" ht="18" customHeight="1">
      <c r="A3" s="864" t="s">
        <v>2</v>
      </c>
      <c r="B3" s="865" t="s">
        <v>265</v>
      </c>
      <c r="C3" s="866"/>
      <c r="D3" s="866"/>
      <c r="E3" s="866"/>
      <c r="F3" s="866"/>
      <c r="G3" s="866"/>
      <c r="H3" s="867"/>
      <c r="I3" s="865" t="s">
        <v>266</v>
      </c>
      <c r="J3" s="866"/>
      <c r="K3" s="866"/>
      <c r="L3" s="866"/>
      <c r="M3" s="866"/>
      <c r="N3" s="866"/>
      <c r="O3" s="867"/>
    </row>
    <row r="4" spans="1:15" s="15" customFormat="1" ht="35.25" customHeight="1">
      <c r="A4" s="864"/>
      <c r="B4" s="16" t="s">
        <v>267</v>
      </c>
      <c r="C4" s="16" t="s">
        <v>268</v>
      </c>
      <c r="D4" s="16" t="s">
        <v>1002</v>
      </c>
      <c r="E4" s="630" t="s">
        <v>1003</v>
      </c>
      <c r="F4" s="16" t="s">
        <v>857</v>
      </c>
      <c r="G4" s="630" t="s">
        <v>1004</v>
      </c>
      <c r="H4" s="730" t="s">
        <v>1005</v>
      </c>
      <c r="I4" s="16" t="s">
        <v>267</v>
      </c>
      <c r="J4" s="16" t="str">
        <f>+C4</f>
        <v>2017. évi előirányzat</v>
      </c>
      <c r="K4" s="645" t="s">
        <v>1002</v>
      </c>
      <c r="L4" s="630" t="s">
        <v>1003</v>
      </c>
      <c r="M4" s="16" t="s">
        <v>857</v>
      </c>
      <c r="N4" s="630" t="s">
        <v>1004</v>
      </c>
      <c r="O4" s="735" t="s">
        <v>1005</v>
      </c>
    </row>
    <row r="5" spans="1:15" s="17" customFormat="1" ht="12" customHeight="1">
      <c r="A5" s="16" t="s">
        <v>6</v>
      </c>
      <c r="B5" s="16" t="s">
        <v>7</v>
      </c>
      <c r="C5" s="16" t="s">
        <v>8</v>
      </c>
      <c r="D5" s="16" t="s">
        <v>9</v>
      </c>
      <c r="E5" s="630" t="s">
        <v>269</v>
      </c>
      <c r="F5" s="16" t="s">
        <v>479</v>
      </c>
      <c r="G5" s="630" t="s">
        <v>855</v>
      </c>
      <c r="H5" s="730" t="s">
        <v>859</v>
      </c>
      <c r="I5" s="16" t="s">
        <v>860</v>
      </c>
      <c r="J5" s="16" t="s">
        <v>1008</v>
      </c>
      <c r="K5" s="646" t="s">
        <v>1009</v>
      </c>
      <c r="L5" s="646" t="s">
        <v>1010</v>
      </c>
      <c r="M5" s="20" t="s">
        <v>1013</v>
      </c>
      <c r="N5" s="20" t="s">
        <v>1011</v>
      </c>
      <c r="O5" s="736" t="s">
        <v>1012</v>
      </c>
    </row>
    <row r="6" spans="1:15" ht="15.75" customHeight="1">
      <c r="A6" s="279" t="s">
        <v>10</v>
      </c>
      <c r="B6" s="271" t="s">
        <v>472</v>
      </c>
      <c r="C6" s="272">
        <f>'1.sz.mell.'!D12</f>
        <v>847167451</v>
      </c>
      <c r="D6" s="272">
        <v>31012643</v>
      </c>
      <c r="E6" s="272">
        <f>F6-C6-D6</f>
        <v>25044581</v>
      </c>
      <c r="F6" s="272">
        <v>903224675</v>
      </c>
      <c r="G6" s="272">
        <v>707140318</v>
      </c>
      <c r="H6" s="731">
        <f>G6/F6</f>
        <v>0.78290633280141508</v>
      </c>
      <c r="I6" s="271" t="str">
        <f>'1.sz.mell.'!B82</f>
        <v>Személyi  juttatások</v>
      </c>
      <c r="J6" s="272">
        <f>'1.sz.mell.'!D82</f>
        <v>323812114</v>
      </c>
      <c r="K6" s="677">
        <v>179565122</v>
      </c>
      <c r="L6" s="284">
        <f>M6-J6-K6</f>
        <v>2656731</v>
      </c>
      <c r="M6" s="273">
        <v>506033967</v>
      </c>
      <c r="N6" s="273">
        <v>343362035</v>
      </c>
      <c r="O6" s="737">
        <f>N6/M6</f>
        <v>0.67853554779258518</v>
      </c>
    </row>
    <row r="7" spans="1:15" ht="15.75" customHeight="1">
      <c r="A7" s="279" t="s">
        <v>13</v>
      </c>
      <c r="B7" s="271" t="s">
        <v>575</v>
      </c>
      <c r="C7" s="272">
        <f>'1.sz.mell.'!D13+'1.sz.mell.'!D14</f>
        <v>110724067</v>
      </c>
      <c r="D7" s="272">
        <v>279338329</v>
      </c>
      <c r="E7" s="272">
        <f t="shared" ref="E7:E12" si="0">F7-C7-D7</f>
        <v>14486590</v>
      </c>
      <c r="F7" s="272">
        <v>404548986</v>
      </c>
      <c r="G7" s="272">
        <v>283733774</v>
      </c>
      <c r="H7" s="731">
        <f t="shared" ref="H7:H20" si="1">G7/F7</f>
        <v>0.7013582627049274</v>
      </c>
      <c r="I7" s="271" t="str">
        <f>'1.sz.mell.'!B83</f>
        <v>Munkaadókat terhelő járulékok és szociális hozzájárulási adó</v>
      </c>
      <c r="J7" s="272">
        <f>'1.sz.mell.'!D83</f>
        <v>73417889</v>
      </c>
      <c r="K7" s="677">
        <v>20323809</v>
      </c>
      <c r="L7" s="284">
        <f t="shared" ref="L7:L12" si="2">M7-J7-K7</f>
        <v>389415</v>
      </c>
      <c r="M7" s="273">
        <v>94131113</v>
      </c>
      <c r="N7" s="273">
        <v>63020963</v>
      </c>
      <c r="O7" s="737">
        <f t="shared" ref="O7:O20" si="3">N7/M7</f>
        <v>0.66950194246614292</v>
      </c>
    </row>
    <row r="8" spans="1:15" ht="15.75" customHeight="1">
      <c r="A8" s="279" t="s">
        <v>16</v>
      </c>
      <c r="B8" s="271" t="s">
        <v>108</v>
      </c>
      <c r="C8" s="272">
        <f>'1.sz.mell.'!D45</f>
        <v>751000000</v>
      </c>
      <c r="D8" s="272">
        <v>1263353</v>
      </c>
      <c r="E8" s="272">
        <f t="shared" si="0"/>
        <v>528927</v>
      </c>
      <c r="F8" s="272">
        <v>752792280</v>
      </c>
      <c r="G8" s="272">
        <v>667893599</v>
      </c>
      <c r="H8" s="731">
        <f t="shared" si="1"/>
        <v>0.88722163702316392</v>
      </c>
      <c r="I8" s="271" t="str">
        <f>'1.sz.mell.'!B84</f>
        <v>Dologi  kiadások</v>
      </c>
      <c r="J8" s="272">
        <f>'1.sz.mell.'!D84</f>
        <v>574940083</v>
      </c>
      <c r="K8" s="677">
        <v>1231814034</v>
      </c>
      <c r="L8" s="284">
        <f t="shared" si="2"/>
        <v>7040473</v>
      </c>
      <c r="M8" s="273">
        <v>1813794590</v>
      </c>
      <c r="N8" s="273">
        <v>405281734</v>
      </c>
      <c r="O8" s="737">
        <f t="shared" si="3"/>
        <v>0.22344411888448734</v>
      </c>
    </row>
    <row r="9" spans="1:15" ht="15.75" customHeight="1">
      <c r="A9" s="279" t="s">
        <v>19</v>
      </c>
      <c r="B9" s="271" t="s">
        <v>457</v>
      </c>
      <c r="C9" s="272">
        <f>'1.sz.mell.'!D57</f>
        <v>184636916</v>
      </c>
      <c r="D9" s="272">
        <v>5048495</v>
      </c>
      <c r="E9" s="272">
        <f t="shared" si="0"/>
        <v>7264944</v>
      </c>
      <c r="F9" s="272">
        <v>196950355</v>
      </c>
      <c r="G9" s="272">
        <v>81693417</v>
      </c>
      <c r="H9" s="731">
        <f t="shared" si="1"/>
        <v>0.41479192560988276</v>
      </c>
      <c r="I9" s="271" t="str">
        <f>'1.sz.mell.'!B85</f>
        <v>Ellátottak pénzbeli juttatásai</v>
      </c>
      <c r="J9" s="272">
        <f>'1.sz.mell.'!D85</f>
        <v>66820160</v>
      </c>
      <c r="K9" s="677">
        <v>-6650969</v>
      </c>
      <c r="L9" s="284">
        <f t="shared" si="2"/>
        <v>5164840</v>
      </c>
      <c r="M9" s="273">
        <v>65334031</v>
      </c>
      <c r="N9" s="273">
        <v>48388943</v>
      </c>
      <c r="O9" s="737">
        <f t="shared" si="3"/>
        <v>0.74063917776633126</v>
      </c>
    </row>
    <row r="10" spans="1:15" ht="15.75" customHeight="1">
      <c r="A10" s="279" t="s">
        <v>22</v>
      </c>
      <c r="B10" s="271" t="s">
        <v>427</v>
      </c>
      <c r="C10" s="272">
        <f>'1.sz.mell.'!D66</f>
        <v>0</v>
      </c>
      <c r="D10" s="272">
        <v>2358497</v>
      </c>
      <c r="E10" s="272">
        <f t="shared" si="0"/>
        <v>0</v>
      </c>
      <c r="F10" s="272">
        <v>2358497</v>
      </c>
      <c r="G10" s="272">
        <v>2355997</v>
      </c>
      <c r="H10" s="731">
        <f t="shared" si="1"/>
        <v>0.99894000289167206</v>
      </c>
      <c r="I10" s="271" t="str">
        <f>'1.sz.mell.'!B86</f>
        <v>Egyéb működési célú kiadások</v>
      </c>
      <c r="J10" s="272">
        <v>965514977</v>
      </c>
      <c r="K10" s="677">
        <v>106055249</v>
      </c>
      <c r="L10" s="284">
        <f t="shared" si="2"/>
        <v>12092987</v>
      </c>
      <c r="M10" s="273">
        <v>1083663213</v>
      </c>
      <c r="N10" s="273">
        <v>704923416</v>
      </c>
      <c r="O10" s="737">
        <f t="shared" si="3"/>
        <v>0.65050045765464215</v>
      </c>
    </row>
    <row r="11" spans="1:15" ht="15.75" customHeight="1">
      <c r="A11" s="279" t="s">
        <v>25</v>
      </c>
      <c r="B11" s="271"/>
      <c r="C11" s="272"/>
      <c r="D11" s="272">
        <f t="shared" ref="D11" si="4">F11-C11</f>
        <v>0</v>
      </c>
      <c r="E11" s="272">
        <f t="shared" si="0"/>
        <v>0</v>
      </c>
      <c r="F11" s="272"/>
      <c r="G11" s="272"/>
      <c r="H11" s="731"/>
      <c r="I11" s="274" t="s">
        <v>270</v>
      </c>
      <c r="J11" s="275">
        <v>70000000</v>
      </c>
      <c r="K11" s="677">
        <v>51623759</v>
      </c>
      <c r="L11" s="284">
        <f t="shared" si="2"/>
        <v>-17146343</v>
      </c>
      <c r="M11" s="273">
        <v>104477416</v>
      </c>
      <c r="N11" s="273"/>
      <c r="O11" s="737">
        <f t="shared" si="3"/>
        <v>0</v>
      </c>
    </row>
    <row r="12" spans="1:15" ht="15.75" customHeight="1">
      <c r="A12" s="279" t="s">
        <v>28</v>
      </c>
      <c r="B12" s="279"/>
      <c r="C12" s="272"/>
      <c r="D12" s="272"/>
      <c r="E12" s="272">
        <f t="shared" si="0"/>
        <v>0</v>
      </c>
      <c r="F12" s="272"/>
      <c r="G12" s="272"/>
      <c r="H12" s="731"/>
      <c r="I12" s="276" t="s">
        <v>271</v>
      </c>
      <c r="J12" s="275">
        <v>17146343</v>
      </c>
      <c r="K12" s="677">
        <f t="shared" ref="K12" si="5">M12-J12</f>
        <v>0</v>
      </c>
      <c r="L12" s="284">
        <f t="shared" si="2"/>
        <v>0</v>
      </c>
      <c r="M12" s="273">
        <v>17146343</v>
      </c>
      <c r="N12" s="273"/>
      <c r="O12" s="737">
        <f t="shared" si="3"/>
        <v>0</v>
      </c>
    </row>
    <row r="13" spans="1:15" ht="15.75" customHeight="1">
      <c r="A13" s="21" t="s">
        <v>31</v>
      </c>
      <c r="B13" s="229" t="s">
        <v>730</v>
      </c>
      <c r="C13" s="18">
        <f>SUM(C6:C12)</f>
        <v>1893528434</v>
      </c>
      <c r="D13" s="18">
        <f t="shared" ref="D13:G13" si="6">SUM(D6:D12)</f>
        <v>319021317</v>
      </c>
      <c r="E13" s="18">
        <f t="shared" si="6"/>
        <v>47325042</v>
      </c>
      <c r="F13" s="18">
        <f t="shared" si="6"/>
        <v>2259874793</v>
      </c>
      <c r="G13" s="18">
        <f t="shared" si="6"/>
        <v>1742817105</v>
      </c>
      <c r="H13" s="731">
        <f t="shared" si="1"/>
        <v>0.7712007366064727</v>
      </c>
      <c r="I13" s="229" t="s">
        <v>272</v>
      </c>
      <c r="J13" s="18">
        <f>SUM(J6:J10)</f>
        <v>2004505223</v>
      </c>
      <c r="K13" s="18">
        <f t="shared" ref="K13:N13" si="7">SUM(K6:K10)</f>
        <v>1531107245</v>
      </c>
      <c r="L13" s="18">
        <f t="shared" si="7"/>
        <v>27344446</v>
      </c>
      <c r="M13" s="18">
        <f t="shared" si="7"/>
        <v>3562956914</v>
      </c>
      <c r="N13" s="18">
        <f t="shared" si="7"/>
        <v>1564977091</v>
      </c>
      <c r="O13" s="737">
        <f t="shared" si="3"/>
        <v>0.43923548018520886</v>
      </c>
    </row>
    <row r="14" spans="1:15" ht="15.75" customHeight="1">
      <c r="A14" s="279" t="s">
        <v>34</v>
      </c>
      <c r="B14" s="278" t="str">
        <f>'1.sz.mell.'!B71</f>
        <v xml:space="preserve">Hitel-, kölcsönfelvétel államháztartáson kívülről </v>
      </c>
      <c r="C14" s="280">
        <f>'[15]1.1.sz.mell.'!D71</f>
        <v>0</v>
      </c>
      <c r="D14" s="280"/>
      <c r="E14" s="280"/>
      <c r="F14" s="280"/>
      <c r="G14" s="280"/>
      <c r="H14" s="731" t="s">
        <v>861</v>
      </c>
      <c r="I14" s="277" t="s">
        <v>251</v>
      </c>
      <c r="J14" s="272"/>
      <c r="K14" s="678"/>
      <c r="L14" s="270"/>
      <c r="M14" s="273"/>
      <c r="N14" s="273"/>
      <c r="O14" s="737" t="s">
        <v>861</v>
      </c>
    </row>
    <row r="15" spans="1:15" ht="15.75" customHeight="1">
      <c r="A15" s="279" t="s">
        <v>37</v>
      </c>
      <c r="B15" s="281" t="s">
        <v>189</v>
      </c>
      <c r="C15" s="631">
        <f>SUM(C16:C17)</f>
        <v>229723597</v>
      </c>
      <c r="D15" s="732">
        <v>107029296</v>
      </c>
      <c r="E15" s="732">
        <f>F15-C15-D15</f>
        <v>0</v>
      </c>
      <c r="F15" s="732">
        <v>336752893</v>
      </c>
      <c r="G15" s="732">
        <v>336752893</v>
      </c>
      <c r="H15" s="731">
        <f t="shared" si="1"/>
        <v>1</v>
      </c>
      <c r="I15" s="278" t="s">
        <v>253</v>
      </c>
      <c r="J15" s="272"/>
      <c r="K15" s="678"/>
      <c r="L15" s="270"/>
      <c r="M15" s="273"/>
      <c r="N15" s="273"/>
      <c r="O15" s="737" t="s">
        <v>861</v>
      </c>
    </row>
    <row r="16" spans="1:15" ht="15.75" customHeight="1">
      <c r="A16" s="282" t="s">
        <v>273</v>
      </c>
      <c r="B16" s="283" t="str">
        <f>'1.sz.mell.'!B73</f>
        <v>Előző év költségvetési maradványának igénybevétele</v>
      </c>
      <c r="C16" s="632">
        <f>30364900+52858697+2000000+140000000</f>
        <v>225223597</v>
      </c>
      <c r="D16" s="732">
        <v>107029296</v>
      </c>
      <c r="E16" s="732">
        <f>F16-C16-D16</f>
        <v>-5500000</v>
      </c>
      <c r="F16" s="733">
        <v>326752893</v>
      </c>
      <c r="G16" s="733">
        <v>326178583</v>
      </c>
      <c r="H16" s="731">
        <f t="shared" si="1"/>
        <v>0.99824237210349653</v>
      </c>
      <c r="I16" s="278" t="s">
        <v>255</v>
      </c>
      <c r="J16" s="272">
        <f>'1.sz.mell.'!D110</f>
        <v>30364900</v>
      </c>
      <c r="K16" s="678">
        <f>M16-J16</f>
        <v>0</v>
      </c>
      <c r="L16" s="270">
        <f>M16-J16-K16</f>
        <v>0</v>
      </c>
      <c r="M16" s="273">
        <v>30364900</v>
      </c>
      <c r="N16" s="273">
        <v>30364900</v>
      </c>
      <c r="O16" s="737">
        <f t="shared" si="3"/>
        <v>1</v>
      </c>
    </row>
    <row r="17" spans="1:15" ht="15.75" customHeight="1">
      <c r="A17" s="282" t="s">
        <v>274</v>
      </c>
      <c r="B17" s="283" t="str">
        <f>'1.sz.mell.'!B74</f>
        <v>Előző év vállalkozási maradványának igénybevétele</v>
      </c>
      <c r="C17" s="632">
        <v>4500000</v>
      </c>
      <c r="D17" s="732" t="s">
        <v>861</v>
      </c>
      <c r="E17" s="732" t="s">
        <v>861</v>
      </c>
      <c r="F17" s="733">
        <v>10574310</v>
      </c>
      <c r="G17" s="733">
        <v>10574310</v>
      </c>
      <c r="H17" s="731">
        <f t="shared" si="1"/>
        <v>1</v>
      </c>
      <c r="I17" s="278" t="s">
        <v>257</v>
      </c>
      <c r="J17" s="272"/>
      <c r="K17" s="678"/>
      <c r="L17" s="270">
        <f t="shared" ref="L17:L18" si="8">M17-J17-K17</f>
        <v>0</v>
      </c>
      <c r="M17" s="273"/>
      <c r="N17" s="273"/>
      <c r="O17" s="737" t="s">
        <v>861</v>
      </c>
    </row>
    <row r="18" spans="1:15" ht="15.75" customHeight="1">
      <c r="A18" s="279" t="s">
        <v>39</v>
      </c>
      <c r="B18" s="278"/>
      <c r="C18" s="272">
        <f>'[15]1.1.sz.mell.'!D75</f>
        <v>0</v>
      </c>
      <c r="D18" s="272"/>
      <c r="E18" s="631">
        <f t="shared" ref="E18" si="9">F18-C18-D18</f>
        <v>0</v>
      </c>
      <c r="F18" s="272"/>
      <c r="G18" s="272"/>
      <c r="H18" s="731" t="s">
        <v>861</v>
      </c>
      <c r="I18" s="279"/>
      <c r="J18" s="272"/>
      <c r="K18" s="678"/>
      <c r="L18" s="270">
        <f t="shared" si="8"/>
        <v>0</v>
      </c>
      <c r="M18" s="273"/>
      <c r="N18" s="273"/>
      <c r="O18" s="737" t="s">
        <v>861</v>
      </c>
    </row>
    <row r="19" spans="1:15" ht="27" customHeight="1">
      <c r="A19" s="279" t="s">
        <v>41</v>
      </c>
      <c r="B19" s="229" t="s">
        <v>275</v>
      </c>
      <c r="C19" s="18">
        <f>SUM(C14+C15+C18)</f>
        <v>229723597</v>
      </c>
      <c r="D19" s="18">
        <f t="shared" ref="D19:G19" si="10">SUM(D14+D15+D18)</f>
        <v>107029296</v>
      </c>
      <c r="E19" s="18">
        <f t="shared" si="10"/>
        <v>0</v>
      </c>
      <c r="F19" s="18">
        <f t="shared" si="10"/>
        <v>336752893</v>
      </c>
      <c r="G19" s="18">
        <f t="shared" si="10"/>
        <v>336752893</v>
      </c>
      <c r="H19" s="731">
        <f t="shared" si="1"/>
        <v>1</v>
      </c>
      <c r="I19" s="229" t="s">
        <v>276</v>
      </c>
      <c r="J19" s="18">
        <f>SUM(J14:J18)</f>
        <v>30364900</v>
      </c>
      <c r="K19" s="18">
        <f t="shared" ref="K19:N19" si="11">SUM(K14:K18)</f>
        <v>0</v>
      </c>
      <c r="L19" s="18">
        <f t="shared" si="11"/>
        <v>0</v>
      </c>
      <c r="M19" s="18">
        <f t="shared" si="11"/>
        <v>30364900</v>
      </c>
      <c r="N19" s="18">
        <f t="shared" si="11"/>
        <v>30364900</v>
      </c>
      <c r="O19" s="737">
        <f t="shared" si="3"/>
        <v>1</v>
      </c>
    </row>
    <row r="20" spans="1:15" ht="24" customHeight="1">
      <c r="A20" s="279" t="s">
        <v>43</v>
      </c>
      <c r="B20" s="229" t="s">
        <v>277</v>
      </c>
      <c r="C20" s="18">
        <f>SUM(C13+C19)</f>
        <v>2123252031</v>
      </c>
      <c r="D20" s="18">
        <f t="shared" ref="D20:G20" si="12">SUM(D13+D19)</f>
        <v>426050613</v>
      </c>
      <c r="E20" s="18">
        <f t="shared" si="12"/>
        <v>47325042</v>
      </c>
      <c r="F20" s="18">
        <f t="shared" si="12"/>
        <v>2596627686</v>
      </c>
      <c r="G20" s="18">
        <f t="shared" si="12"/>
        <v>2079569998</v>
      </c>
      <c r="H20" s="731">
        <f t="shared" si="1"/>
        <v>0.80087338250771467</v>
      </c>
      <c r="I20" s="229" t="s">
        <v>278</v>
      </c>
      <c r="J20" s="18">
        <f>SUM(J13+J19)</f>
        <v>2034870123</v>
      </c>
      <c r="K20" s="18">
        <f t="shared" ref="K20:N20" si="13">SUM(K13+K19)</f>
        <v>1531107245</v>
      </c>
      <c r="L20" s="18">
        <f t="shared" si="13"/>
        <v>27344446</v>
      </c>
      <c r="M20" s="18">
        <f t="shared" si="13"/>
        <v>3593321814</v>
      </c>
      <c r="N20" s="18">
        <f t="shared" si="13"/>
        <v>1595341991</v>
      </c>
      <c r="O20" s="737">
        <f t="shared" si="3"/>
        <v>0.4439741480388319</v>
      </c>
    </row>
    <row r="21" spans="1:15" ht="18" customHeight="1">
      <c r="A21" s="16" t="s">
        <v>45</v>
      </c>
      <c r="B21" s="229" t="s">
        <v>723</v>
      </c>
      <c r="C21" s="18">
        <f>IF(C13-J13&lt;0,J13-C13,"-")</f>
        <v>110976789</v>
      </c>
      <c r="D21" s="18">
        <f>IF(D13-K13&lt;0,K13-D13,"-")</f>
        <v>1212085928</v>
      </c>
      <c r="E21" s="18" t="str">
        <f t="shared" ref="E21:G21" si="14">IF(E13-L13&lt;0,L13-E13,"-")</f>
        <v>-</v>
      </c>
      <c r="F21" s="18">
        <f t="shared" si="14"/>
        <v>1303082121</v>
      </c>
      <c r="G21" s="18" t="str">
        <f t="shared" si="14"/>
        <v>-</v>
      </c>
      <c r="H21" s="731" t="s">
        <v>861</v>
      </c>
      <c r="I21" s="229" t="s">
        <v>724</v>
      </c>
      <c r="J21" s="18" t="str">
        <f>IF(C13-J13&gt;0,C13-J13,"-")</f>
        <v>-</v>
      </c>
      <c r="K21" s="18" t="str">
        <f>IF(D13-K13&gt;0,D13-K13,"-")</f>
        <v>-</v>
      </c>
      <c r="L21" s="18">
        <f t="shared" ref="L21:N21" si="15">IF(E13-L13&gt;0,E13-L13,"-")</f>
        <v>19980596</v>
      </c>
      <c r="M21" s="18" t="str">
        <f t="shared" si="15"/>
        <v>-</v>
      </c>
      <c r="N21" s="18">
        <f t="shared" si="15"/>
        <v>177840014</v>
      </c>
      <c r="O21" s="737" t="s">
        <v>861</v>
      </c>
    </row>
    <row r="22" spans="1:15" ht="18" customHeight="1">
      <c r="A22" s="16" t="s">
        <v>47</v>
      </c>
      <c r="B22" s="229" t="s">
        <v>725</v>
      </c>
      <c r="C22" s="18" t="str">
        <f>IF(C13+C19-J20&lt;0,J20-(C13+C19),"-")</f>
        <v>-</v>
      </c>
      <c r="D22" s="18">
        <f>IF(D13+D19-K20&lt;0,K20-(D13+D19),"-")</f>
        <v>1105056632</v>
      </c>
      <c r="E22" s="18" t="str">
        <f t="shared" ref="E22:G22" si="16">IF(E13+E19-L20&lt;0,L20-(E13+E19),"-")</f>
        <v>-</v>
      </c>
      <c r="F22" s="18">
        <f t="shared" si="16"/>
        <v>996694128</v>
      </c>
      <c r="G22" s="18" t="str">
        <f t="shared" si="16"/>
        <v>-</v>
      </c>
      <c r="H22" s="731" t="s">
        <v>861</v>
      </c>
      <c r="I22" s="229" t="s">
        <v>726</v>
      </c>
      <c r="J22" s="18">
        <f>IF(C13+C19-J20&gt;0,C13+C19-J20,"-")</f>
        <v>88381908</v>
      </c>
      <c r="K22" s="18" t="str">
        <f>IF(D13+D19-K20&gt;0,D13+D19-K20,"-")</f>
        <v>-</v>
      </c>
      <c r="L22" s="18">
        <f t="shared" ref="L22:N22" si="17">IF(E13+E19-L20&gt;0,E13+E19-L20,"-")</f>
        <v>19980596</v>
      </c>
      <c r="M22" s="18" t="str">
        <f t="shared" si="17"/>
        <v>-</v>
      </c>
      <c r="N22" s="18">
        <f t="shared" si="17"/>
        <v>484228007</v>
      </c>
      <c r="O22" s="737" t="s">
        <v>861</v>
      </c>
    </row>
    <row r="23" spans="1:15" ht="15.6">
      <c r="B23" s="19"/>
    </row>
  </sheetData>
  <mergeCells count="4">
    <mergeCell ref="A3:A4"/>
    <mergeCell ref="B3:H3"/>
    <mergeCell ref="I3:O3"/>
    <mergeCell ref="A1:O1"/>
  </mergeCells>
  <printOptions horizontalCentered="1" verticalCentered="1"/>
  <pageMargins left="0.59055118110236227" right="0.59055118110236227" top="0.9055118110236221" bottom="0.78740157480314965" header="0.59055118110236227" footer="0.55118110236220474"/>
  <pageSetup paperSize="9" scale="47" orientation="landscape" r:id="rId1"/>
  <headerFooter>
    <oddHeader xml:space="preserve">&amp;R&amp;"Times New Roman CE,Félkövér dőlt"&amp;11 2.1. melléklet a 22/2017. (XII.04.) önkormányzati rendelethez  </oddHeader>
  </headerFooter>
  <colBreaks count="1" manualBreakCount="1">
    <brk id="14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view="pageLayout" topLeftCell="I10" zoomScaleSheetLayoutView="59" workbookViewId="0">
      <selection sqref="A1:O1"/>
    </sheetView>
  </sheetViews>
  <sheetFormatPr defaultColWidth="9.33203125" defaultRowHeight="13.2"/>
  <cols>
    <col min="1" max="1" width="6.77734375" style="12" customWidth="1"/>
    <col min="2" max="2" width="56.6640625" style="13" customWidth="1"/>
    <col min="3" max="7" width="16.6640625" style="12" customWidth="1"/>
    <col min="8" max="8" width="16.6640625" style="738" customWidth="1"/>
    <col min="9" max="9" width="55.21875" style="12" customWidth="1"/>
    <col min="10" max="10" width="16.6640625" style="12" customWidth="1"/>
    <col min="11" max="11" width="16" style="287" bestFit="1" customWidth="1"/>
    <col min="12" max="12" width="14.33203125" style="287" bestFit="1" customWidth="1"/>
    <col min="13" max="13" width="14.33203125" style="285" bestFit="1" customWidth="1"/>
    <col min="14" max="14" width="16" style="12" bestFit="1" customWidth="1"/>
    <col min="15" max="15" width="13.6640625" style="729" customWidth="1"/>
    <col min="16" max="16384" width="9.33203125" style="12"/>
  </cols>
  <sheetData>
    <row r="1" spans="1:15" ht="44.25" customHeight="1">
      <c r="A1" s="869" t="s">
        <v>648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</row>
    <row r="2" spans="1:15">
      <c r="K2" s="286"/>
      <c r="L2" s="286"/>
      <c r="M2" s="12"/>
      <c r="N2" s="14" t="s">
        <v>861</v>
      </c>
      <c r="O2" s="743" t="s">
        <v>1</v>
      </c>
    </row>
    <row r="3" spans="1:15" ht="15.75" customHeight="1">
      <c r="A3" s="864" t="s">
        <v>2</v>
      </c>
      <c r="B3" s="865" t="s">
        <v>265</v>
      </c>
      <c r="C3" s="866"/>
      <c r="D3" s="866"/>
      <c r="E3" s="866"/>
      <c r="F3" s="866"/>
      <c r="G3" s="866"/>
      <c r="H3" s="867"/>
      <c r="I3" s="865" t="s">
        <v>266</v>
      </c>
      <c r="J3" s="866"/>
      <c r="K3" s="866"/>
      <c r="L3" s="866"/>
      <c r="M3" s="866"/>
      <c r="N3" s="866"/>
      <c r="O3" s="867"/>
    </row>
    <row r="4" spans="1:15" s="15" customFormat="1" ht="26.4">
      <c r="A4" s="864"/>
      <c r="B4" s="317" t="s">
        <v>267</v>
      </c>
      <c r="C4" s="317" t="s">
        <v>268</v>
      </c>
      <c r="D4" s="317" t="s">
        <v>1002</v>
      </c>
      <c r="E4" s="644" t="s">
        <v>1003</v>
      </c>
      <c r="F4" s="317" t="s">
        <v>858</v>
      </c>
      <c r="G4" s="644" t="s">
        <v>1004</v>
      </c>
      <c r="H4" s="739" t="s">
        <v>1005</v>
      </c>
      <c r="I4" s="317" t="s">
        <v>267</v>
      </c>
      <c r="J4" s="317" t="str">
        <f>+C4</f>
        <v>2017. évi előirányzat</v>
      </c>
      <c r="K4" s="289" t="s">
        <v>1002</v>
      </c>
      <c r="L4" s="289" t="s">
        <v>1003</v>
      </c>
      <c r="M4" s="289" t="s">
        <v>858</v>
      </c>
      <c r="N4" s="635" t="s">
        <v>1004</v>
      </c>
      <c r="O4" s="735" t="s">
        <v>1005</v>
      </c>
    </row>
    <row r="5" spans="1:15" s="15" customFormat="1">
      <c r="A5" s="20" t="s">
        <v>6</v>
      </c>
      <c r="B5" s="20" t="s">
        <v>7</v>
      </c>
      <c r="C5" s="20" t="s">
        <v>8</v>
      </c>
      <c r="D5" s="20" t="s">
        <v>9</v>
      </c>
      <c r="E5" s="20" t="s">
        <v>269</v>
      </c>
      <c r="F5" s="20" t="s">
        <v>479</v>
      </c>
      <c r="G5" s="20" t="s">
        <v>855</v>
      </c>
      <c r="H5" s="740" t="s">
        <v>859</v>
      </c>
      <c r="I5" s="20" t="s">
        <v>860</v>
      </c>
      <c r="J5" s="20" t="s">
        <v>1008</v>
      </c>
      <c r="K5" s="290" t="s">
        <v>1009</v>
      </c>
      <c r="L5" s="290" t="s">
        <v>1010</v>
      </c>
      <c r="M5" s="292" t="s">
        <v>1013</v>
      </c>
      <c r="N5" s="635" t="s">
        <v>1011</v>
      </c>
      <c r="O5" s="735" t="s">
        <v>1012</v>
      </c>
    </row>
    <row r="6" spans="1:15" ht="16.5" customHeight="1">
      <c r="A6" s="372" t="s">
        <v>10</v>
      </c>
      <c r="B6" s="271" t="s">
        <v>576</v>
      </c>
      <c r="C6" s="272">
        <f>'1.sz.mell.'!D31</f>
        <v>50000000</v>
      </c>
      <c r="D6" s="272">
        <v>1157803187</v>
      </c>
      <c r="E6" s="272">
        <f>F6-C6-D6</f>
        <v>594482000</v>
      </c>
      <c r="F6" s="272">
        <v>1802285187</v>
      </c>
      <c r="G6" s="272">
        <v>1802279187</v>
      </c>
      <c r="H6" s="741">
        <f>G6/F6</f>
        <v>0.99999667089312871</v>
      </c>
      <c r="I6" s="271" t="str">
        <f>'1.sz.mell.'!B97</f>
        <v>Beruházások</v>
      </c>
      <c r="J6" s="272">
        <f>'1.sz.mell.'!D97</f>
        <v>62504500</v>
      </c>
      <c r="K6" s="288">
        <v>27593139</v>
      </c>
      <c r="L6" s="288"/>
      <c r="M6" s="291">
        <v>684464792</v>
      </c>
      <c r="N6" s="273">
        <v>6280019</v>
      </c>
      <c r="O6" s="737">
        <f>N6/M6</f>
        <v>9.1750796730535114E-3</v>
      </c>
    </row>
    <row r="7" spans="1:15" ht="16.5" customHeight="1">
      <c r="A7" s="372" t="s">
        <v>13</v>
      </c>
      <c r="B7" s="271" t="s">
        <v>727</v>
      </c>
      <c r="C7" s="272">
        <f>'1.sz.mell.'!D63</f>
        <v>2160072</v>
      </c>
      <c r="D7" s="272">
        <v>101065</v>
      </c>
      <c r="E7" s="272">
        <f t="shared" ref="E7:E11" si="0">F7-C7-D7</f>
        <v>4889074</v>
      </c>
      <c r="F7" s="272">
        <v>7150211</v>
      </c>
      <c r="G7" s="272">
        <v>7149437</v>
      </c>
      <c r="H7" s="741">
        <f t="shared" ref="H7:H18" si="1">G7/F7</f>
        <v>0.99989175144621611</v>
      </c>
      <c r="I7" s="271" t="str">
        <f>'1.sz.mell.'!B98</f>
        <v>Felújítások</v>
      </c>
      <c r="J7" s="272">
        <f>'1.sz.mell.'!D98</f>
        <v>123810571</v>
      </c>
      <c r="K7" s="288">
        <v>29261542</v>
      </c>
      <c r="L7" s="288"/>
      <c r="M7" s="291">
        <v>158012708</v>
      </c>
      <c r="N7" s="273">
        <v>32504475</v>
      </c>
      <c r="O7" s="737">
        <f t="shared" ref="O7:O18" si="2">N7/M7</f>
        <v>0.20570798014549563</v>
      </c>
    </row>
    <row r="8" spans="1:15" ht="16.5" customHeight="1">
      <c r="A8" s="372" t="s">
        <v>16</v>
      </c>
      <c r="B8" s="271" t="s">
        <v>728</v>
      </c>
      <c r="C8" s="272">
        <f>'1.sz.mell.'!D69</f>
        <v>0</v>
      </c>
      <c r="D8" s="272">
        <v>926787</v>
      </c>
      <c r="E8" s="272">
        <f t="shared" si="0"/>
        <v>644000</v>
      </c>
      <c r="F8" s="272">
        <v>1570787</v>
      </c>
      <c r="G8" s="272">
        <v>1155284</v>
      </c>
      <c r="H8" s="741">
        <f t="shared" si="1"/>
        <v>0.73548100410813178</v>
      </c>
      <c r="I8" s="271" t="str">
        <f>'1.sz.mell.'!B99</f>
        <v>Egyéb felhalmozási kiadások</v>
      </c>
      <c r="J8" s="272">
        <f>'1.sz.mell.'!D99+J9</f>
        <v>5000000</v>
      </c>
      <c r="K8" s="288">
        <v>1075000</v>
      </c>
      <c r="L8" s="288"/>
      <c r="M8" s="291">
        <v>22606648</v>
      </c>
      <c r="N8" s="273">
        <v>22006648</v>
      </c>
      <c r="O8" s="737">
        <f t="shared" si="2"/>
        <v>0.97345913467578205</v>
      </c>
    </row>
    <row r="9" spans="1:15" ht="19.5" customHeight="1">
      <c r="A9" s="372" t="s">
        <v>19</v>
      </c>
      <c r="B9" s="373" t="s">
        <v>861</v>
      </c>
      <c r="C9" s="275"/>
      <c r="D9" s="272" t="s">
        <v>861</v>
      </c>
      <c r="E9" s="272" t="s">
        <v>861</v>
      </c>
      <c r="F9" s="275" t="s">
        <v>861</v>
      </c>
      <c r="G9" s="275" t="s">
        <v>861</v>
      </c>
      <c r="H9" s="741"/>
      <c r="I9" s="274"/>
      <c r="J9" s="275"/>
      <c r="K9" s="288">
        <f>M9-J9</f>
        <v>0</v>
      </c>
      <c r="L9" s="288"/>
      <c r="M9" s="291"/>
      <c r="N9" s="273"/>
      <c r="O9" s="737"/>
    </row>
    <row r="10" spans="1:15" ht="16.5" customHeight="1">
      <c r="A10" s="372" t="s">
        <v>22</v>
      </c>
      <c r="B10" s="271"/>
      <c r="C10" s="272"/>
      <c r="D10" s="272">
        <f t="shared" ref="D10:D11" si="3">F10-C10</f>
        <v>0</v>
      </c>
      <c r="E10" s="272">
        <f t="shared" si="0"/>
        <v>0</v>
      </c>
      <c r="F10" s="272"/>
      <c r="G10" s="272"/>
      <c r="H10" s="741"/>
      <c r="I10" s="276"/>
      <c r="J10" s="275"/>
      <c r="K10" s="288">
        <f>M10-J10</f>
        <v>0</v>
      </c>
      <c r="L10" s="288"/>
      <c r="M10" s="291"/>
      <c r="N10" s="273"/>
      <c r="O10" s="737"/>
    </row>
    <row r="11" spans="1:15" ht="16.5" customHeight="1">
      <c r="A11" s="372" t="s">
        <v>25</v>
      </c>
      <c r="B11" s="374"/>
      <c r="C11" s="272"/>
      <c r="D11" s="272">
        <f t="shared" si="3"/>
        <v>0</v>
      </c>
      <c r="E11" s="272">
        <f t="shared" si="0"/>
        <v>0</v>
      </c>
      <c r="F11" s="272"/>
      <c r="G11" s="272"/>
      <c r="H11" s="741"/>
      <c r="I11" s="276"/>
      <c r="J11" s="272"/>
      <c r="K11" s="288"/>
      <c r="L11" s="288"/>
      <c r="M11" s="291"/>
      <c r="N11" s="273"/>
      <c r="O11" s="737"/>
    </row>
    <row r="12" spans="1:15" s="22" customFormat="1" ht="16.5" customHeight="1">
      <c r="A12" s="317" t="s">
        <v>28</v>
      </c>
      <c r="B12" s="229" t="s">
        <v>729</v>
      </c>
      <c r="C12" s="18">
        <f>SUM(C6:C11)</f>
        <v>52160072</v>
      </c>
      <c r="D12" s="18">
        <f t="shared" ref="D12:G12" si="4">SUM(D6:D11)</f>
        <v>1158831039</v>
      </c>
      <c r="E12" s="18">
        <f t="shared" si="4"/>
        <v>600015074</v>
      </c>
      <c r="F12" s="18">
        <f t="shared" si="4"/>
        <v>1811006185</v>
      </c>
      <c r="G12" s="18">
        <f t="shared" si="4"/>
        <v>1810583908</v>
      </c>
      <c r="H12" s="741">
        <f t="shared" si="1"/>
        <v>0.99976682741147016</v>
      </c>
      <c r="I12" s="229" t="s">
        <v>279</v>
      </c>
      <c r="J12" s="18">
        <f>SUM(J6:J8)</f>
        <v>191315071</v>
      </c>
      <c r="K12" s="18">
        <f t="shared" ref="K12:N12" si="5">SUM(K6:K8)</f>
        <v>57929681</v>
      </c>
      <c r="L12" s="18">
        <f t="shared" si="5"/>
        <v>0</v>
      </c>
      <c r="M12" s="18">
        <f t="shared" si="5"/>
        <v>865084148</v>
      </c>
      <c r="N12" s="18">
        <f t="shared" si="5"/>
        <v>60791142</v>
      </c>
      <c r="O12" s="737">
        <f t="shared" si="2"/>
        <v>7.0271940759224272E-2</v>
      </c>
    </row>
    <row r="13" spans="1:15" ht="16.5" customHeight="1">
      <c r="A13" s="279" t="s">
        <v>31</v>
      </c>
      <c r="B13" s="277" t="s">
        <v>280</v>
      </c>
      <c r="C13" s="375"/>
      <c r="D13" s="375"/>
      <c r="E13" s="375"/>
      <c r="F13" s="375"/>
      <c r="G13" s="375"/>
      <c r="H13" s="741"/>
      <c r="I13" s="277" t="s">
        <v>251</v>
      </c>
      <c r="J13" s="253">
        <f>'1.sz.mell.'!D108</f>
        <v>23997938</v>
      </c>
      <c r="K13" s="288"/>
      <c r="L13" s="288"/>
      <c r="M13" s="291">
        <v>23997938</v>
      </c>
      <c r="N13" s="273">
        <v>22289499</v>
      </c>
      <c r="O13" s="737">
        <f t="shared" si="2"/>
        <v>0.92880892516682056</v>
      </c>
    </row>
    <row r="14" spans="1:15" ht="16.5" customHeight="1">
      <c r="A14" s="279" t="s">
        <v>34</v>
      </c>
      <c r="B14" s="281" t="s">
        <v>189</v>
      </c>
      <c r="C14" s="253">
        <f>SUM(C15:C16)</f>
        <v>74771029</v>
      </c>
      <c r="D14" s="253"/>
      <c r="E14" s="253">
        <f>F14-C14-D14</f>
        <v>0</v>
      </c>
      <c r="F14" s="253">
        <v>74771029</v>
      </c>
      <c r="G14" s="253">
        <v>74771029</v>
      </c>
      <c r="H14" s="741">
        <f t="shared" si="1"/>
        <v>1</v>
      </c>
      <c r="I14" s="278" t="s">
        <v>257</v>
      </c>
      <c r="J14" s="253"/>
      <c r="K14" s="288"/>
      <c r="L14" s="288"/>
      <c r="M14" s="291"/>
      <c r="N14" s="273"/>
      <c r="O14" s="737"/>
    </row>
    <row r="15" spans="1:15" ht="16.5" customHeight="1">
      <c r="A15" s="282" t="s">
        <v>281</v>
      </c>
      <c r="B15" s="633" t="s">
        <v>282</v>
      </c>
      <c r="C15" s="634">
        <f>32320000+16951029</f>
        <v>49271029</v>
      </c>
      <c r="D15" s="634"/>
      <c r="E15" s="253">
        <f t="shared" ref="E15:E16" si="6">F15-C15-D15</f>
        <v>0</v>
      </c>
      <c r="F15" s="634">
        <v>49271029</v>
      </c>
      <c r="G15" s="634">
        <v>49271029</v>
      </c>
      <c r="H15" s="741">
        <f t="shared" si="1"/>
        <v>1</v>
      </c>
      <c r="I15" s="271"/>
      <c r="J15" s="253"/>
      <c r="K15" s="288"/>
      <c r="L15" s="288"/>
      <c r="M15" s="291"/>
      <c r="N15" s="273"/>
      <c r="O15" s="737"/>
    </row>
    <row r="16" spans="1:15" ht="16.5" customHeight="1">
      <c r="A16" s="282" t="s">
        <v>283</v>
      </c>
      <c r="B16" s="633" t="s">
        <v>284</v>
      </c>
      <c r="C16" s="634">
        <v>25500000</v>
      </c>
      <c r="D16" s="634"/>
      <c r="E16" s="253">
        <f t="shared" si="6"/>
        <v>0</v>
      </c>
      <c r="F16" s="634">
        <v>25500000</v>
      </c>
      <c r="G16" s="634">
        <v>25500000</v>
      </c>
      <c r="H16" s="741">
        <f t="shared" si="1"/>
        <v>1</v>
      </c>
      <c r="I16" s="271"/>
      <c r="J16" s="253"/>
      <c r="K16" s="288"/>
      <c r="L16" s="288"/>
      <c r="M16" s="291"/>
      <c r="N16" s="273"/>
      <c r="O16" s="737"/>
    </row>
    <row r="17" spans="1:15" ht="16.5" customHeight="1">
      <c r="A17" s="21" t="s">
        <v>37</v>
      </c>
      <c r="B17" s="229" t="s">
        <v>285</v>
      </c>
      <c r="C17" s="376">
        <f>SUM(C13:C14)</f>
        <v>74771029</v>
      </c>
      <c r="D17" s="376">
        <f t="shared" ref="D17:G17" si="7">SUM(D13:D14)</f>
        <v>0</v>
      </c>
      <c r="E17" s="376">
        <f t="shared" si="7"/>
        <v>0</v>
      </c>
      <c r="F17" s="376">
        <f t="shared" si="7"/>
        <v>74771029</v>
      </c>
      <c r="G17" s="376">
        <f t="shared" si="7"/>
        <v>74771029</v>
      </c>
      <c r="H17" s="741">
        <f t="shared" si="1"/>
        <v>1</v>
      </c>
      <c r="I17" s="229" t="s">
        <v>286</v>
      </c>
      <c r="J17" s="376">
        <f>SUM(J13:J16)</f>
        <v>23997938</v>
      </c>
      <c r="K17" s="376">
        <f t="shared" ref="K17:N17" si="8">SUM(K13:K16)</f>
        <v>0</v>
      </c>
      <c r="L17" s="376">
        <f t="shared" si="8"/>
        <v>0</v>
      </c>
      <c r="M17" s="376">
        <f t="shared" si="8"/>
        <v>23997938</v>
      </c>
      <c r="N17" s="376">
        <f t="shared" si="8"/>
        <v>22289499</v>
      </c>
      <c r="O17" s="737">
        <f t="shared" si="2"/>
        <v>0.92880892516682056</v>
      </c>
    </row>
    <row r="18" spans="1:15" ht="22.5" customHeight="1">
      <c r="A18" s="21" t="s">
        <v>39</v>
      </c>
      <c r="B18" s="229" t="s">
        <v>287</v>
      </c>
      <c r="C18" s="18">
        <f>+C12+C17</f>
        <v>126931101</v>
      </c>
      <c r="D18" s="18">
        <f t="shared" ref="D18:G18" si="9">+D12+D17</f>
        <v>1158831039</v>
      </c>
      <c r="E18" s="18">
        <f t="shared" si="9"/>
        <v>600015074</v>
      </c>
      <c r="F18" s="18">
        <f t="shared" si="9"/>
        <v>1885777214</v>
      </c>
      <c r="G18" s="18">
        <f t="shared" si="9"/>
        <v>1885354937</v>
      </c>
      <c r="H18" s="741">
        <f t="shared" si="1"/>
        <v>0.99977607269996427</v>
      </c>
      <c r="I18" s="229" t="s">
        <v>288</v>
      </c>
      <c r="J18" s="18">
        <f>SUM(J12+J17)</f>
        <v>215313009</v>
      </c>
      <c r="K18" s="18">
        <f t="shared" ref="K18:N18" si="10">SUM(K12+K17)</f>
        <v>57929681</v>
      </c>
      <c r="L18" s="18">
        <f t="shared" si="10"/>
        <v>0</v>
      </c>
      <c r="M18" s="18">
        <f t="shared" si="10"/>
        <v>889082086</v>
      </c>
      <c r="N18" s="18">
        <f t="shared" si="10"/>
        <v>83080641</v>
      </c>
      <c r="O18" s="737">
        <f t="shared" si="2"/>
        <v>9.3445411068601825E-2</v>
      </c>
    </row>
    <row r="19" spans="1:15" ht="18" customHeight="1">
      <c r="A19" s="317" t="s">
        <v>41</v>
      </c>
      <c r="B19" s="229" t="s">
        <v>723</v>
      </c>
      <c r="C19" s="18">
        <f>IF(C12-J12&lt;0,J12-C12,"-")</f>
        <v>139154999</v>
      </c>
      <c r="D19" s="18" t="str">
        <f t="shared" ref="D19:G19" si="11">IF(D12-K12&lt;0,K12-D12,"-")</f>
        <v>-</v>
      </c>
      <c r="E19" s="18" t="str">
        <f t="shared" si="11"/>
        <v>-</v>
      </c>
      <c r="F19" s="18" t="str">
        <f t="shared" si="11"/>
        <v>-</v>
      </c>
      <c r="G19" s="18" t="str">
        <f t="shared" si="11"/>
        <v>-</v>
      </c>
      <c r="H19" s="742"/>
      <c r="I19" s="229" t="s">
        <v>724</v>
      </c>
      <c r="J19" s="230" t="str">
        <f>IF(C12-J12&gt;0,C12-J12,"-")</f>
        <v>-</v>
      </c>
      <c r="K19" s="230">
        <f t="shared" ref="K19:N19" si="12">IF(D12-K12&gt;0,D12-K12,"-")</f>
        <v>1100901358</v>
      </c>
      <c r="L19" s="230">
        <f t="shared" si="12"/>
        <v>600015074</v>
      </c>
      <c r="M19" s="230">
        <f t="shared" si="12"/>
        <v>945922037</v>
      </c>
      <c r="N19" s="230">
        <f t="shared" si="12"/>
        <v>1749792766</v>
      </c>
      <c r="O19" s="737"/>
    </row>
    <row r="20" spans="1:15" ht="18" customHeight="1">
      <c r="A20" s="317" t="s">
        <v>43</v>
      </c>
      <c r="B20" s="229" t="s">
        <v>725</v>
      </c>
      <c r="C20" s="18">
        <f>IF(C12+C17-J18&lt;0,J18-(C12+C17),"-")</f>
        <v>88381908</v>
      </c>
      <c r="D20" s="18" t="str">
        <f t="shared" ref="D20:G20" si="13">IF(D12+D17-K18&lt;0,K18-(D12+D17),"-")</f>
        <v>-</v>
      </c>
      <c r="E20" s="18" t="str">
        <f t="shared" si="13"/>
        <v>-</v>
      </c>
      <c r="F20" s="18" t="str">
        <f t="shared" si="13"/>
        <v>-</v>
      </c>
      <c r="G20" s="18" t="str">
        <f t="shared" si="13"/>
        <v>-</v>
      </c>
      <c r="H20" s="742"/>
      <c r="I20" s="229" t="s">
        <v>726</v>
      </c>
      <c r="J20" s="230" t="str">
        <f>IF(C12+C17-J18&gt;0,C12+C17-J18,"-")</f>
        <v>-</v>
      </c>
      <c r="K20" s="230">
        <f t="shared" ref="K20:N20" si="14">IF(D12+D17-K18&gt;0,D12+D17-K18,"-")</f>
        <v>1100901358</v>
      </c>
      <c r="L20" s="230">
        <f t="shared" si="14"/>
        <v>600015074</v>
      </c>
      <c r="M20" s="230">
        <f t="shared" si="14"/>
        <v>996695128</v>
      </c>
      <c r="N20" s="230">
        <f t="shared" si="14"/>
        <v>1802274296</v>
      </c>
      <c r="O20" s="737"/>
    </row>
  </sheetData>
  <mergeCells count="4">
    <mergeCell ref="A3:A4"/>
    <mergeCell ref="B3:H3"/>
    <mergeCell ref="I3:O3"/>
    <mergeCell ref="A1:O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6" orientation="landscape" verticalDpi="300" r:id="rId1"/>
  <headerFooter alignWithMargins="0">
    <oddHeader>&amp;R&amp;"Times New Roman CE,Félkövér dőlt"&amp;12 2.2. melléklet a 22/2017. (XII.04.)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9"/>
  <sheetViews>
    <sheetView view="pageLayout" topLeftCell="C1" workbookViewId="0">
      <selection activeCell="H66" sqref="H66"/>
    </sheetView>
  </sheetViews>
  <sheetFormatPr defaultColWidth="18.33203125" defaultRowHeight="13.2"/>
  <cols>
    <col min="1" max="1" width="9.33203125" style="23" customWidth="1"/>
    <col min="2" max="2" width="61" style="24" customWidth="1"/>
    <col min="3" max="3" width="16" style="23" customWidth="1"/>
    <col min="4" max="5" width="13.77734375" style="25" customWidth="1"/>
    <col min="6" max="6" width="13.77734375" style="24" customWidth="1"/>
    <col min="7" max="9" width="18.33203125" style="625"/>
    <col min="10" max="10" width="18.33203125" style="24"/>
    <col min="11" max="11" width="13.44140625" style="748" customWidth="1"/>
    <col min="12" max="16384" width="18.33203125" style="24"/>
  </cols>
  <sheetData>
    <row r="1" spans="1:11" ht="43.5" customHeight="1">
      <c r="A1" s="873" t="s">
        <v>406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</row>
    <row r="2" spans="1:11" ht="15.75" customHeight="1">
      <c r="A2" s="653"/>
      <c r="B2" s="653"/>
      <c r="C2" s="653"/>
      <c r="D2" s="653"/>
      <c r="E2" s="653"/>
      <c r="F2" s="653"/>
      <c r="G2" s="653"/>
      <c r="H2" s="653"/>
      <c r="I2" s="24"/>
      <c r="J2" s="653" t="s">
        <v>861</v>
      </c>
      <c r="K2" s="744" t="s">
        <v>1</v>
      </c>
    </row>
    <row r="3" spans="1:11" s="28" customFormat="1" ht="22.5" customHeight="1">
      <c r="A3" s="870" t="s">
        <v>289</v>
      </c>
      <c r="B3" s="870" t="s">
        <v>290</v>
      </c>
      <c r="C3" s="377"/>
      <c r="D3" s="871" t="s">
        <v>405</v>
      </c>
      <c r="E3" s="872"/>
      <c r="F3" s="872"/>
      <c r="G3" s="872"/>
      <c r="H3" s="872"/>
      <c r="I3" s="872"/>
      <c r="J3" s="651"/>
      <c r="K3" s="745"/>
    </row>
    <row r="4" spans="1:11" s="29" customFormat="1" ht="25.5" customHeight="1">
      <c r="A4" s="870"/>
      <c r="B4" s="870"/>
      <c r="C4" s="378" t="s">
        <v>291</v>
      </c>
      <c r="D4" s="377" t="s">
        <v>292</v>
      </c>
      <c r="E4" s="378" t="s">
        <v>293</v>
      </c>
      <c r="F4" s="377" t="s">
        <v>410</v>
      </c>
      <c r="G4" s="621" t="s">
        <v>1002</v>
      </c>
      <c r="H4" s="621" t="s">
        <v>1003</v>
      </c>
      <c r="I4" s="648" t="s">
        <v>883</v>
      </c>
      <c r="J4" s="377" t="s">
        <v>1004</v>
      </c>
      <c r="K4" s="746" t="s">
        <v>1005</v>
      </c>
    </row>
    <row r="5" spans="1:11" ht="28.5" customHeight="1">
      <c r="A5" s="379" t="s">
        <v>294</v>
      </c>
      <c r="B5" s="380" t="s">
        <v>295</v>
      </c>
      <c r="C5" s="381" t="s">
        <v>296</v>
      </c>
      <c r="D5" s="382">
        <v>44.75</v>
      </c>
      <c r="E5" s="383">
        <v>4580000</v>
      </c>
      <c r="F5" s="384">
        <f>D5*E5</f>
        <v>204955000</v>
      </c>
      <c r="G5" s="623">
        <f>I5-F5</f>
        <v>0</v>
      </c>
      <c r="H5" s="623">
        <f>I5-F5-G5</f>
        <v>0</v>
      </c>
      <c r="I5" s="649">
        <v>204955000</v>
      </c>
      <c r="J5" s="652"/>
      <c r="K5" s="747"/>
    </row>
    <row r="6" spans="1:11" ht="29.25" customHeight="1">
      <c r="A6" s="381" t="s">
        <v>297</v>
      </c>
      <c r="B6" s="380" t="s">
        <v>298</v>
      </c>
      <c r="C6" s="379"/>
      <c r="D6" s="385"/>
      <c r="E6" s="385"/>
      <c r="F6" s="384">
        <f>SUM(F7:F10)</f>
        <v>43969616</v>
      </c>
      <c r="G6" s="623">
        <f t="shared" ref="G6:G54" si="0">I6-F6</f>
        <v>0</v>
      </c>
      <c r="H6" s="623">
        <f t="shared" ref="H6:H58" si="1">I6-F6-G6</f>
        <v>0</v>
      </c>
      <c r="I6" s="649">
        <v>43969616</v>
      </c>
      <c r="J6" s="652"/>
      <c r="K6" s="747"/>
    </row>
    <row r="7" spans="1:11" ht="28.5" customHeight="1">
      <c r="A7" s="386" t="s">
        <v>299</v>
      </c>
      <c r="B7" s="387" t="s">
        <v>300</v>
      </c>
      <c r="C7" s="386" t="s">
        <v>301</v>
      </c>
      <c r="D7" s="388"/>
      <c r="E7" s="389">
        <v>22300</v>
      </c>
      <c r="F7" s="389">
        <v>0</v>
      </c>
      <c r="G7" s="623">
        <f t="shared" si="0"/>
        <v>0</v>
      </c>
      <c r="H7" s="623">
        <f t="shared" si="1"/>
        <v>0</v>
      </c>
      <c r="I7" s="649"/>
      <c r="J7" s="652"/>
      <c r="K7" s="747"/>
    </row>
    <row r="8" spans="1:11" ht="29.25" customHeight="1">
      <c r="A8" s="386" t="s">
        <v>302</v>
      </c>
      <c r="B8" s="387" t="s">
        <v>303</v>
      </c>
      <c r="C8" s="386" t="s">
        <v>304</v>
      </c>
      <c r="D8" s="388"/>
      <c r="E8" s="388"/>
      <c r="F8" s="389">
        <v>15582166</v>
      </c>
      <c r="G8" s="623">
        <f t="shared" si="0"/>
        <v>0</v>
      </c>
      <c r="H8" s="623">
        <f t="shared" si="1"/>
        <v>0</v>
      </c>
      <c r="I8" s="649">
        <v>15582166</v>
      </c>
      <c r="J8" s="652"/>
      <c r="K8" s="747"/>
    </row>
    <row r="9" spans="1:11" ht="23.25" customHeight="1">
      <c r="A9" s="386" t="s">
        <v>305</v>
      </c>
      <c r="B9" s="387" t="s">
        <v>306</v>
      </c>
      <c r="C9" s="386" t="s">
        <v>307</v>
      </c>
      <c r="D9" s="388"/>
      <c r="E9" s="388"/>
      <c r="F9" s="389">
        <v>524700</v>
      </c>
      <c r="G9" s="623">
        <f t="shared" si="0"/>
        <v>0</v>
      </c>
      <c r="H9" s="623">
        <f t="shared" si="1"/>
        <v>0</v>
      </c>
      <c r="I9" s="649">
        <v>524700</v>
      </c>
      <c r="J9" s="652"/>
      <c r="K9" s="747"/>
    </row>
    <row r="10" spans="1:11" ht="18.75" customHeight="1">
      <c r="A10" s="386" t="s">
        <v>308</v>
      </c>
      <c r="B10" s="387" t="s">
        <v>309</v>
      </c>
      <c r="C10" s="386" t="s">
        <v>304</v>
      </c>
      <c r="D10" s="388"/>
      <c r="E10" s="388"/>
      <c r="F10" s="389">
        <v>27862750</v>
      </c>
      <c r="G10" s="623">
        <f t="shared" si="0"/>
        <v>0</v>
      </c>
      <c r="H10" s="623">
        <f t="shared" si="1"/>
        <v>0</v>
      </c>
      <c r="I10" s="649">
        <v>27862750</v>
      </c>
      <c r="J10" s="652"/>
      <c r="K10" s="747"/>
    </row>
    <row r="11" spans="1:11" ht="24" customHeight="1">
      <c r="A11" s="379" t="s">
        <v>310</v>
      </c>
      <c r="B11" s="380" t="s">
        <v>311</v>
      </c>
      <c r="C11" s="379" t="s">
        <v>312</v>
      </c>
      <c r="D11" s="385"/>
      <c r="E11" s="383">
        <v>2700</v>
      </c>
      <c r="F11" s="383">
        <v>47055600</v>
      </c>
      <c r="G11" s="623">
        <f t="shared" si="0"/>
        <v>0</v>
      </c>
      <c r="H11" s="623">
        <f t="shared" si="1"/>
        <v>0</v>
      </c>
      <c r="I11" s="649">
        <v>47055600</v>
      </c>
      <c r="J11" s="652"/>
      <c r="K11" s="747"/>
    </row>
    <row r="12" spans="1:11" ht="35.25" customHeight="1">
      <c r="A12" s="379" t="s">
        <v>313</v>
      </c>
      <c r="B12" s="380" t="s">
        <v>314</v>
      </c>
      <c r="C12" s="381" t="s">
        <v>315</v>
      </c>
      <c r="D12" s="385"/>
      <c r="E12" s="383">
        <v>2550</v>
      </c>
      <c r="F12" s="383">
        <v>2144550</v>
      </c>
      <c r="G12" s="623">
        <f t="shared" si="0"/>
        <v>0</v>
      </c>
      <c r="H12" s="623">
        <f t="shared" si="1"/>
        <v>0</v>
      </c>
      <c r="I12" s="649">
        <v>2144550</v>
      </c>
      <c r="J12" s="652"/>
      <c r="K12" s="747"/>
    </row>
    <row r="13" spans="1:11" ht="24.75" customHeight="1">
      <c r="A13" s="379" t="s">
        <v>316</v>
      </c>
      <c r="B13" s="380" t="s">
        <v>317</v>
      </c>
      <c r="C13" s="381" t="s">
        <v>318</v>
      </c>
      <c r="D13" s="385"/>
      <c r="E13" s="382">
        <v>1</v>
      </c>
      <c r="F13" s="384">
        <v>1078000</v>
      </c>
      <c r="G13" s="623">
        <f t="shared" si="0"/>
        <v>0</v>
      </c>
      <c r="H13" s="623">
        <f t="shared" si="1"/>
        <v>0</v>
      </c>
      <c r="I13" s="649">
        <v>1078000</v>
      </c>
      <c r="J13" s="652"/>
      <c r="K13" s="747"/>
    </row>
    <row r="14" spans="1:11" ht="24.75" customHeight="1">
      <c r="A14" s="379"/>
      <c r="B14" s="380" t="s">
        <v>409</v>
      </c>
      <c r="C14" s="381"/>
      <c r="D14" s="385"/>
      <c r="E14" s="382"/>
      <c r="F14" s="383">
        <v>119555894</v>
      </c>
      <c r="G14" s="623">
        <f t="shared" si="0"/>
        <v>0</v>
      </c>
      <c r="H14" s="623">
        <f t="shared" si="1"/>
        <v>0</v>
      </c>
      <c r="I14" s="649">
        <v>119555894</v>
      </c>
      <c r="J14" s="652"/>
      <c r="K14" s="747"/>
    </row>
    <row r="15" spans="1:11" s="28" customFormat="1" ht="31.5" customHeight="1">
      <c r="A15" s="390" t="s">
        <v>319</v>
      </c>
      <c r="B15" s="391" t="s">
        <v>320</v>
      </c>
      <c r="C15" s="390" t="s">
        <v>321</v>
      </c>
      <c r="D15" s="392"/>
      <c r="E15" s="392"/>
      <c r="F15" s="393">
        <f>SUM(F5+F6+F13)</f>
        <v>250002616</v>
      </c>
      <c r="G15" s="851">
        <f t="shared" ref="G15:J15" si="2">SUM(G5+G6+G13)</f>
        <v>0</v>
      </c>
      <c r="H15" s="851">
        <f t="shared" si="2"/>
        <v>0</v>
      </c>
      <c r="I15" s="851">
        <f t="shared" si="2"/>
        <v>250002616</v>
      </c>
      <c r="J15" s="393">
        <f t="shared" si="2"/>
        <v>0</v>
      </c>
      <c r="K15" s="745"/>
    </row>
    <row r="16" spans="1:11" s="28" customFormat="1" ht="18.75" customHeight="1">
      <c r="A16" s="390" t="s">
        <v>322</v>
      </c>
      <c r="B16" s="392" t="s">
        <v>404</v>
      </c>
      <c r="C16" s="390" t="s">
        <v>321</v>
      </c>
      <c r="D16" s="392" t="s">
        <v>323</v>
      </c>
      <c r="E16" s="392" t="s">
        <v>323</v>
      </c>
      <c r="F16" s="394">
        <v>948944</v>
      </c>
      <c r="G16" s="623">
        <f t="shared" si="0"/>
        <v>0</v>
      </c>
      <c r="H16" s="623">
        <f t="shared" si="1"/>
        <v>0</v>
      </c>
      <c r="I16" s="650">
        <v>948944</v>
      </c>
      <c r="J16" s="651"/>
      <c r="K16" s="745"/>
    </row>
    <row r="17" spans="1:11" s="622" customFormat="1" ht="30" customHeight="1">
      <c r="A17" s="390" t="s">
        <v>324</v>
      </c>
      <c r="B17" s="391" t="s">
        <v>325</v>
      </c>
      <c r="C17" s="390" t="s">
        <v>321</v>
      </c>
      <c r="D17" s="392"/>
      <c r="E17" s="392"/>
      <c r="F17" s="394">
        <f>SUM(F15:F16)</f>
        <v>250951560</v>
      </c>
      <c r="G17" s="624">
        <f t="shared" ref="G17:I17" si="3">SUM(G15:G16)</f>
        <v>0</v>
      </c>
      <c r="H17" s="624">
        <f t="shared" si="3"/>
        <v>0</v>
      </c>
      <c r="I17" s="624">
        <f t="shared" si="3"/>
        <v>250951560</v>
      </c>
      <c r="J17" s="394">
        <v>190950930</v>
      </c>
      <c r="K17" s="767">
        <f>J17/I17</f>
        <v>0.76090752334833067</v>
      </c>
    </row>
    <row r="18" spans="1:11" ht="34.5" customHeight="1">
      <c r="A18" s="379" t="s">
        <v>326</v>
      </c>
      <c r="B18" s="380" t="s">
        <v>327</v>
      </c>
      <c r="C18" s="379"/>
      <c r="D18" s="385"/>
      <c r="E18" s="385"/>
      <c r="F18" s="850">
        <f>SUM(F19:F24)</f>
        <v>207374883.33333337</v>
      </c>
      <c r="G18" s="850">
        <f t="shared" ref="G18:I18" si="4">SUM(G19:G24)</f>
        <v>0.3333333283662796</v>
      </c>
      <c r="H18" s="850">
        <f t="shared" si="4"/>
        <v>8194488</v>
      </c>
      <c r="I18" s="850">
        <f t="shared" si="4"/>
        <v>215569371.33333334</v>
      </c>
      <c r="J18" s="652"/>
      <c r="K18" s="747"/>
    </row>
    <row r="19" spans="1:11" ht="18.75" customHeight="1">
      <c r="A19" s="386" t="s">
        <v>328</v>
      </c>
      <c r="B19" s="388" t="s">
        <v>329</v>
      </c>
      <c r="C19" s="386" t="s">
        <v>312</v>
      </c>
      <c r="D19" s="395">
        <v>36.5</v>
      </c>
      <c r="E19" s="389">
        <v>4469900</v>
      </c>
      <c r="F19" s="389">
        <f>D19*E19/12*8</f>
        <v>108767566.66666667</v>
      </c>
      <c r="G19" s="623">
        <f t="shared" si="0"/>
        <v>0.3333333283662796</v>
      </c>
      <c r="H19" s="623">
        <f t="shared" si="1"/>
        <v>0</v>
      </c>
      <c r="I19" s="649">
        <v>108767567</v>
      </c>
      <c r="J19" s="652"/>
      <c r="K19" s="747"/>
    </row>
    <row r="20" spans="1:11" ht="49.5" customHeight="1">
      <c r="A20" s="386" t="s">
        <v>330</v>
      </c>
      <c r="B20" s="387" t="s">
        <v>331</v>
      </c>
      <c r="C20" s="386" t="s">
        <v>312</v>
      </c>
      <c r="D20" s="395">
        <v>24</v>
      </c>
      <c r="E20" s="389">
        <v>1800000</v>
      </c>
      <c r="F20" s="389">
        <f>D20*E20/12*8</f>
        <v>28800000</v>
      </c>
      <c r="G20" s="623">
        <f t="shared" si="0"/>
        <v>0</v>
      </c>
      <c r="H20" s="623">
        <f t="shared" si="1"/>
        <v>0</v>
      </c>
      <c r="I20" s="649">
        <v>28800000</v>
      </c>
      <c r="J20" s="652"/>
      <c r="K20" s="747"/>
    </row>
    <row r="21" spans="1:11" ht="45.75" customHeight="1">
      <c r="A21" s="386" t="s">
        <v>332</v>
      </c>
      <c r="B21" s="387" t="s">
        <v>333</v>
      </c>
      <c r="C21" s="386" t="s">
        <v>312</v>
      </c>
      <c r="D21" s="395">
        <v>1</v>
      </c>
      <c r="E21" s="389">
        <v>4469900</v>
      </c>
      <c r="F21" s="389">
        <f>D21*E21/12*8</f>
        <v>2979933.3333333335</v>
      </c>
      <c r="G21" s="623">
        <v>0</v>
      </c>
      <c r="H21" s="623">
        <v>1489967</v>
      </c>
      <c r="I21" s="649">
        <f>F21+H21</f>
        <v>4469900.333333334</v>
      </c>
      <c r="J21" s="652"/>
      <c r="K21" s="747"/>
    </row>
    <row r="22" spans="1:11" ht="18.75" customHeight="1">
      <c r="A22" s="386" t="s">
        <v>334</v>
      </c>
      <c r="B22" s="388" t="s">
        <v>329</v>
      </c>
      <c r="C22" s="386" t="s">
        <v>312</v>
      </c>
      <c r="D22" s="395">
        <v>34.700000000000003</v>
      </c>
      <c r="E22" s="389">
        <v>4469900</v>
      </c>
      <c r="F22" s="389">
        <f>D22*E22/12*4</f>
        <v>51701843.333333336</v>
      </c>
      <c r="G22" s="623">
        <v>0</v>
      </c>
      <c r="H22" s="623">
        <v>5989921</v>
      </c>
      <c r="I22" s="649">
        <v>57691764</v>
      </c>
      <c r="J22" s="652"/>
      <c r="K22" s="747"/>
    </row>
    <row r="23" spans="1:11" ht="45" customHeight="1">
      <c r="A23" s="386" t="s">
        <v>335</v>
      </c>
      <c r="B23" s="387" t="s">
        <v>331</v>
      </c>
      <c r="C23" s="386" t="s">
        <v>312</v>
      </c>
      <c r="D23" s="395">
        <v>23</v>
      </c>
      <c r="E23" s="389">
        <v>1800000</v>
      </c>
      <c r="F23" s="389">
        <f>D23*E23/12*4</f>
        <v>13800000</v>
      </c>
      <c r="G23" s="623">
        <v>0</v>
      </c>
      <c r="H23" s="623">
        <v>600000</v>
      </c>
      <c r="I23" s="649">
        <v>14400000</v>
      </c>
      <c r="J23" s="652"/>
      <c r="K23" s="747"/>
    </row>
    <row r="24" spans="1:11" ht="24.75" customHeight="1">
      <c r="A24" s="386" t="s">
        <v>336</v>
      </c>
      <c r="B24" s="387" t="s">
        <v>337</v>
      </c>
      <c r="C24" s="386" t="s">
        <v>312</v>
      </c>
      <c r="D24" s="395">
        <v>34.700000000000003</v>
      </c>
      <c r="E24" s="389">
        <v>38200</v>
      </c>
      <c r="F24" s="389">
        <f>D24*E24</f>
        <v>1325540</v>
      </c>
      <c r="G24" s="623">
        <v>0</v>
      </c>
      <c r="H24" s="623">
        <f>76400+38200</f>
        <v>114600</v>
      </c>
      <c r="I24" s="649">
        <f>F24+H24</f>
        <v>1440140</v>
      </c>
      <c r="J24" s="652"/>
      <c r="K24" s="747"/>
    </row>
    <row r="25" spans="1:11" ht="18.75" customHeight="1">
      <c r="A25" s="379" t="s">
        <v>338</v>
      </c>
      <c r="B25" s="380" t="s">
        <v>339</v>
      </c>
      <c r="C25" s="379" t="s">
        <v>312</v>
      </c>
      <c r="D25" s="383"/>
      <c r="E25" s="383">
        <v>80000</v>
      </c>
      <c r="F25" s="383"/>
      <c r="G25" s="623">
        <f t="shared" si="0"/>
        <v>0</v>
      </c>
      <c r="H25" s="623">
        <f t="shared" si="1"/>
        <v>0</v>
      </c>
      <c r="I25" s="649"/>
      <c r="J25" s="652"/>
      <c r="K25" s="747"/>
    </row>
    <row r="26" spans="1:11" ht="18.75" customHeight="1">
      <c r="A26" s="379" t="s">
        <v>340</v>
      </c>
      <c r="B26" s="380" t="s">
        <v>341</v>
      </c>
      <c r="C26" s="379" t="s">
        <v>312</v>
      </c>
      <c r="D26" s="383">
        <v>403</v>
      </c>
      <c r="E26" s="383">
        <v>81700</v>
      </c>
      <c r="F26" s="383">
        <f>D26*E26/12*8</f>
        <v>21950066.666666668</v>
      </c>
      <c r="G26" s="623">
        <f t="shared" si="0"/>
        <v>0.3333333320915699</v>
      </c>
      <c r="H26" s="623">
        <f t="shared" si="1"/>
        <v>0</v>
      </c>
      <c r="I26" s="649">
        <v>21950067</v>
      </c>
      <c r="J26" s="652"/>
      <c r="K26" s="747"/>
    </row>
    <row r="27" spans="1:11" ht="18.75" customHeight="1">
      <c r="A27" s="379" t="s">
        <v>342</v>
      </c>
      <c r="B27" s="380" t="s">
        <v>339</v>
      </c>
      <c r="C27" s="379" t="s">
        <v>312</v>
      </c>
      <c r="D27" s="383"/>
      <c r="E27" s="383">
        <v>80000</v>
      </c>
      <c r="F27" s="383"/>
      <c r="G27" s="623">
        <f t="shared" si="0"/>
        <v>0</v>
      </c>
      <c r="H27" s="623">
        <f t="shared" si="1"/>
        <v>0</v>
      </c>
      <c r="I27" s="649"/>
      <c r="J27" s="652"/>
      <c r="K27" s="747"/>
    </row>
    <row r="28" spans="1:11" ht="18.75" customHeight="1">
      <c r="A28" s="379" t="s">
        <v>343</v>
      </c>
      <c r="B28" s="380" t="s">
        <v>341</v>
      </c>
      <c r="C28" s="379" t="s">
        <v>312</v>
      </c>
      <c r="D28" s="383">
        <v>383</v>
      </c>
      <c r="E28" s="383">
        <v>81700</v>
      </c>
      <c r="F28" s="383">
        <f>D28*E28/12*4</f>
        <v>10430366.666666666</v>
      </c>
      <c r="G28" s="623">
        <v>0</v>
      </c>
      <c r="H28" s="623">
        <v>626366</v>
      </c>
      <c r="I28" s="649">
        <v>11056733</v>
      </c>
      <c r="J28" s="652"/>
      <c r="K28" s="747"/>
    </row>
    <row r="29" spans="1:11" ht="18.75" customHeight="1">
      <c r="A29" s="390" t="s">
        <v>344</v>
      </c>
      <c r="B29" s="391" t="s">
        <v>345</v>
      </c>
      <c r="C29" s="390" t="s">
        <v>321</v>
      </c>
      <c r="D29" s="383"/>
      <c r="E29" s="383"/>
      <c r="F29" s="383"/>
      <c r="G29" s="623">
        <f t="shared" si="0"/>
        <v>0</v>
      </c>
      <c r="H29" s="623">
        <f t="shared" si="1"/>
        <v>0</v>
      </c>
      <c r="I29" s="649"/>
      <c r="J29" s="652"/>
      <c r="K29" s="747"/>
    </row>
    <row r="30" spans="1:11" ht="33.75" customHeight="1">
      <c r="A30" s="381" t="s">
        <v>344</v>
      </c>
      <c r="B30" s="380" t="s">
        <v>346</v>
      </c>
      <c r="C30" s="390"/>
      <c r="D30" s="392"/>
      <c r="E30" s="392"/>
      <c r="F30" s="394">
        <f>SUM(F31:F32)</f>
        <v>2932300</v>
      </c>
      <c r="G30" s="624">
        <f t="shared" ref="G30:J30" si="5">SUM(G31:G32)</f>
        <v>0</v>
      </c>
      <c r="H30" s="624">
        <f>SUM(H31:H32)</f>
        <v>1284628</v>
      </c>
      <c r="I30" s="624">
        <f t="shared" si="5"/>
        <v>4216928</v>
      </c>
      <c r="J30" s="624">
        <f t="shared" si="5"/>
        <v>0</v>
      </c>
      <c r="K30" s="747"/>
    </row>
    <row r="31" spans="1:11" ht="37.5" customHeight="1">
      <c r="A31" s="379" t="s">
        <v>347</v>
      </c>
      <c r="B31" s="380" t="s">
        <v>348</v>
      </c>
      <c r="C31" s="379" t="s">
        <v>312</v>
      </c>
      <c r="D31" s="383">
        <v>7</v>
      </c>
      <c r="E31" s="383">
        <v>418900</v>
      </c>
      <c r="F31" s="383">
        <f>D31*E31</f>
        <v>2932300</v>
      </c>
      <c r="G31" s="623">
        <v>0</v>
      </c>
      <c r="H31" s="623">
        <v>-251340</v>
      </c>
      <c r="I31" s="649">
        <v>2680960</v>
      </c>
      <c r="J31" s="652"/>
      <c r="K31" s="747"/>
    </row>
    <row r="32" spans="1:11" ht="44.25" customHeight="1">
      <c r="A32" s="379" t="s">
        <v>349</v>
      </c>
      <c r="B32" s="380" t="s">
        <v>350</v>
      </c>
      <c r="C32" s="379" t="s">
        <v>312</v>
      </c>
      <c r="D32" s="383"/>
      <c r="E32" s="383">
        <v>383992</v>
      </c>
      <c r="F32" s="383"/>
      <c r="G32" s="623">
        <v>0</v>
      </c>
      <c r="H32" s="623">
        <f t="shared" si="1"/>
        <v>1535968</v>
      </c>
      <c r="I32" s="649">
        <v>1535968</v>
      </c>
      <c r="J32" s="652"/>
      <c r="K32" s="747"/>
    </row>
    <row r="33" spans="1:11" s="28" customFormat="1" ht="30.75" customHeight="1">
      <c r="A33" s="390" t="s">
        <v>351</v>
      </c>
      <c r="B33" s="391" t="s">
        <v>352</v>
      </c>
      <c r="C33" s="390" t="s">
        <v>321</v>
      </c>
      <c r="D33" s="392"/>
      <c r="E33" s="392"/>
      <c r="F33" s="394">
        <f>SUM(F18+F25+F26+F27+F28+F30)</f>
        <v>242687616.66666669</v>
      </c>
      <c r="G33" s="624">
        <v>0</v>
      </c>
      <c r="H33" s="624">
        <f t="shared" ref="H33:I33" si="6">SUM(H18+H25+H26+H27+H28+H30)</f>
        <v>10105482</v>
      </c>
      <c r="I33" s="624">
        <f t="shared" si="6"/>
        <v>252793099.33333334</v>
      </c>
      <c r="J33" s="624">
        <v>192446853</v>
      </c>
      <c r="K33" s="746">
        <f>J33/I33</f>
        <v>0.76128206627285855</v>
      </c>
    </row>
    <row r="34" spans="1:11" s="28" customFormat="1" ht="29.25" customHeight="1">
      <c r="A34" s="390" t="s">
        <v>353</v>
      </c>
      <c r="B34" s="391" t="s">
        <v>354</v>
      </c>
      <c r="C34" s="390" t="s">
        <v>321</v>
      </c>
      <c r="D34" s="392"/>
      <c r="E34" s="392"/>
      <c r="F34" s="394">
        <v>71143000</v>
      </c>
      <c r="G34" s="623">
        <f t="shared" si="0"/>
        <v>0</v>
      </c>
      <c r="H34" s="623">
        <f t="shared" si="1"/>
        <v>0</v>
      </c>
      <c r="I34" s="650">
        <v>71143000</v>
      </c>
      <c r="J34" s="651"/>
      <c r="K34" s="745"/>
    </row>
    <row r="35" spans="1:11" ht="22.5" customHeight="1">
      <c r="A35" s="379" t="s">
        <v>355</v>
      </c>
      <c r="B35" s="380" t="s">
        <v>356</v>
      </c>
      <c r="C35" s="381" t="s">
        <v>357</v>
      </c>
      <c r="D35" s="385"/>
      <c r="E35" s="383">
        <v>3000000</v>
      </c>
      <c r="F35" s="383">
        <f>E35*4.2</f>
        <v>12600000</v>
      </c>
      <c r="G35" s="623">
        <f t="shared" si="0"/>
        <v>0</v>
      </c>
      <c r="H35" s="623">
        <f t="shared" si="1"/>
        <v>0</v>
      </c>
      <c r="I35" s="649">
        <v>12600000</v>
      </c>
      <c r="J35" s="652"/>
      <c r="K35" s="747"/>
    </row>
    <row r="36" spans="1:11" ht="22.5" customHeight="1">
      <c r="A36" s="379" t="s">
        <v>358</v>
      </c>
      <c r="B36" s="380" t="s">
        <v>359</v>
      </c>
      <c r="C36" s="381" t="s">
        <v>357</v>
      </c>
      <c r="D36" s="385"/>
      <c r="E36" s="383">
        <v>3000000</v>
      </c>
      <c r="F36" s="383">
        <f>E36*4.4</f>
        <v>13200000.000000002</v>
      </c>
      <c r="G36" s="623">
        <f t="shared" si="0"/>
        <v>0</v>
      </c>
      <c r="H36" s="623">
        <f t="shared" si="1"/>
        <v>-1.862645149230957E-9</v>
      </c>
      <c r="I36" s="649">
        <v>13200000</v>
      </c>
      <c r="J36" s="749"/>
      <c r="K36" s="747"/>
    </row>
    <row r="37" spans="1:11" ht="18.75" customHeight="1">
      <c r="A37" s="379" t="s">
        <v>360</v>
      </c>
      <c r="B37" s="380" t="s">
        <v>361</v>
      </c>
      <c r="C37" s="379" t="s">
        <v>312</v>
      </c>
      <c r="D37" s="383"/>
      <c r="E37" s="383">
        <v>55360</v>
      </c>
      <c r="F37" s="383"/>
      <c r="G37" s="623">
        <f t="shared" si="0"/>
        <v>0</v>
      </c>
      <c r="H37" s="623">
        <f t="shared" si="1"/>
        <v>0</v>
      </c>
      <c r="I37" s="649"/>
      <c r="J37" s="652"/>
      <c r="K37" s="747"/>
    </row>
    <row r="38" spans="1:11" ht="18.75" customHeight="1">
      <c r="A38" s="379" t="s">
        <v>362</v>
      </c>
      <c r="B38" s="380" t="s">
        <v>363</v>
      </c>
      <c r="C38" s="379" t="s">
        <v>312</v>
      </c>
      <c r="D38" s="383">
        <v>208</v>
      </c>
      <c r="E38" s="383">
        <v>60896</v>
      </c>
      <c r="F38" s="383">
        <f>D38*E38</f>
        <v>12666368</v>
      </c>
      <c r="G38" s="623">
        <v>60896</v>
      </c>
      <c r="H38" s="623">
        <f>I38-F38-G38</f>
        <v>182688</v>
      </c>
      <c r="I38" s="649">
        <v>12909952</v>
      </c>
      <c r="J38" s="652"/>
      <c r="K38" s="747"/>
    </row>
    <row r="39" spans="1:11" ht="18.75" customHeight="1">
      <c r="A39" s="379" t="s">
        <v>364</v>
      </c>
      <c r="B39" s="380" t="s">
        <v>365</v>
      </c>
      <c r="C39" s="379" t="s">
        <v>312</v>
      </c>
      <c r="D39" s="383"/>
      <c r="E39" s="383"/>
      <c r="F39" s="383"/>
      <c r="G39" s="623">
        <f t="shared" si="0"/>
        <v>0</v>
      </c>
      <c r="H39" s="623">
        <f t="shared" si="1"/>
        <v>0</v>
      </c>
      <c r="I39" s="649"/>
      <c r="J39" s="652"/>
      <c r="K39" s="747"/>
    </row>
    <row r="40" spans="1:11" ht="18.75" customHeight="1">
      <c r="A40" s="379" t="s">
        <v>366</v>
      </c>
      <c r="B40" s="380" t="s">
        <v>367</v>
      </c>
      <c r="C40" s="379" t="s">
        <v>312</v>
      </c>
      <c r="D40" s="383"/>
      <c r="E40" s="383"/>
      <c r="F40" s="383"/>
      <c r="G40" s="623">
        <f t="shared" si="0"/>
        <v>0</v>
      </c>
      <c r="H40" s="623">
        <f t="shared" si="1"/>
        <v>0</v>
      </c>
      <c r="I40" s="649"/>
      <c r="J40" s="652"/>
      <c r="K40" s="747"/>
    </row>
    <row r="41" spans="1:11" ht="18.75" customHeight="1">
      <c r="A41" s="379" t="s">
        <v>368</v>
      </c>
      <c r="B41" s="380" t="s">
        <v>369</v>
      </c>
      <c r="C41" s="379" t="s">
        <v>312</v>
      </c>
      <c r="D41" s="383">
        <v>4</v>
      </c>
      <c r="E41" s="383">
        <v>25000</v>
      </c>
      <c r="F41" s="383">
        <f>D41*E41</f>
        <v>100000</v>
      </c>
      <c r="G41" s="623">
        <v>25000</v>
      </c>
      <c r="H41" s="623">
        <f t="shared" si="1"/>
        <v>-25000</v>
      </c>
      <c r="I41" s="649">
        <v>100000</v>
      </c>
      <c r="J41" s="652"/>
      <c r="K41" s="747"/>
    </row>
    <row r="42" spans="1:11" ht="18.75" customHeight="1">
      <c r="A42" s="379" t="s">
        <v>370</v>
      </c>
      <c r="B42" s="380" t="s">
        <v>371</v>
      </c>
      <c r="C42" s="379" t="s">
        <v>312</v>
      </c>
      <c r="D42" s="383"/>
      <c r="E42" s="383">
        <v>210000</v>
      </c>
      <c r="F42" s="383"/>
      <c r="G42" s="623">
        <f t="shared" si="0"/>
        <v>0</v>
      </c>
      <c r="H42" s="623">
        <f t="shared" si="1"/>
        <v>0</v>
      </c>
      <c r="I42" s="649"/>
      <c r="J42" s="652"/>
      <c r="K42" s="747"/>
    </row>
    <row r="43" spans="1:11" ht="25.5" customHeight="1">
      <c r="A43" s="379" t="s">
        <v>372</v>
      </c>
      <c r="B43" s="380" t="s">
        <v>373</v>
      </c>
      <c r="C43" s="379" t="s">
        <v>312</v>
      </c>
      <c r="D43" s="383">
        <v>67</v>
      </c>
      <c r="E43" s="383">
        <v>273000</v>
      </c>
      <c r="F43" s="383">
        <f>D43*E43</f>
        <v>18291000</v>
      </c>
      <c r="G43" s="623">
        <v>-1365000</v>
      </c>
      <c r="H43" s="623">
        <f t="shared" si="1"/>
        <v>-273000</v>
      </c>
      <c r="I43" s="649">
        <v>16653000</v>
      </c>
      <c r="J43" s="652"/>
      <c r="K43" s="747"/>
    </row>
    <row r="44" spans="1:11" ht="30" customHeight="1">
      <c r="A44" s="379" t="s">
        <v>374</v>
      </c>
      <c r="B44" s="380" t="s">
        <v>375</v>
      </c>
      <c r="C44" s="379" t="s">
        <v>312</v>
      </c>
      <c r="D44" s="383">
        <v>100</v>
      </c>
      <c r="E44" s="383">
        <v>163500</v>
      </c>
      <c r="F44" s="383">
        <f>D44*E44</f>
        <v>16350000</v>
      </c>
      <c r="G44" s="623">
        <f t="shared" si="0"/>
        <v>0</v>
      </c>
      <c r="H44" s="623">
        <f t="shared" si="1"/>
        <v>0</v>
      </c>
      <c r="I44" s="649">
        <v>16350000</v>
      </c>
      <c r="J44" s="652"/>
      <c r="K44" s="747"/>
    </row>
    <row r="45" spans="1:11" ht="22.5" customHeight="1">
      <c r="A45" s="379" t="s">
        <v>376</v>
      </c>
      <c r="B45" s="380" t="s">
        <v>377</v>
      </c>
      <c r="C45" s="379" t="s">
        <v>312</v>
      </c>
      <c r="D45" s="383"/>
      <c r="E45" s="383">
        <v>500000</v>
      </c>
      <c r="F45" s="383"/>
      <c r="G45" s="623">
        <f t="shared" si="0"/>
        <v>0</v>
      </c>
      <c r="H45" s="623">
        <f t="shared" si="1"/>
        <v>0</v>
      </c>
      <c r="I45" s="649"/>
      <c r="J45" s="652"/>
      <c r="K45" s="747"/>
    </row>
    <row r="46" spans="1:11" ht="33.75" customHeight="1">
      <c r="A46" s="379" t="s">
        <v>378</v>
      </c>
      <c r="B46" s="380" t="s">
        <v>379</v>
      </c>
      <c r="C46" s="379" t="s">
        <v>312</v>
      </c>
      <c r="D46" s="383">
        <v>10</v>
      </c>
      <c r="E46" s="383">
        <v>550000</v>
      </c>
      <c r="F46" s="383">
        <f>D46*E46</f>
        <v>5500000</v>
      </c>
      <c r="G46" s="623">
        <f t="shared" si="0"/>
        <v>0</v>
      </c>
      <c r="H46" s="623">
        <f t="shared" si="1"/>
        <v>0</v>
      </c>
      <c r="I46" s="649">
        <v>5500000</v>
      </c>
      <c r="J46" s="652"/>
      <c r="K46" s="747"/>
    </row>
    <row r="47" spans="1:11" ht="33.75" customHeight="1">
      <c r="A47" s="379" t="s">
        <v>380</v>
      </c>
      <c r="B47" s="380" t="s">
        <v>381</v>
      </c>
      <c r="C47" s="379" t="s">
        <v>312</v>
      </c>
      <c r="D47" s="382">
        <v>15</v>
      </c>
      <c r="E47" s="383">
        <v>2606400</v>
      </c>
      <c r="F47" s="383">
        <v>39090600</v>
      </c>
      <c r="G47" s="623">
        <f t="shared" si="0"/>
        <v>0</v>
      </c>
      <c r="H47" s="623">
        <f t="shared" si="1"/>
        <v>0</v>
      </c>
      <c r="I47" s="649">
        <v>39090600</v>
      </c>
      <c r="J47" s="652"/>
      <c r="K47" s="747"/>
    </row>
    <row r="48" spans="1:11" ht="18.75" customHeight="1">
      <c r="A48" s="379" t="s">
        <v>382</v>
      </c>
      <c r="B48" s="380" t="s">
        <v>383</v>
      </c>
      <c r="C48" s="379" t="s">
        <v>321</v>
      </c>
      <c r="D48" s="385" t="s">
        <v>323</v>
      </c>
      <c r="E48" s="383"/>
      <c r="F48" s="383">
        <v>17270000</v>
      </c>
      <c r="G48" s="623">
        <v>0</v>
      </c>
      <c r="H48" s="623">
        <f>I48-F48-G48</f>
        <v>-1957000</v>
      </c>
      <c r="I48" s="649">
        <v>15313000</v>
      </c>
      <c r="J48" s="652"/>
      <c r="K48" s="747"/>
    </row>
    <row r="49" spans="1:11" ht="27" customHeight="1">
      <c r="A49" s="379" t="s">
        <v>385</v>
      </c>
      <c r="B49" s="380" t="s">
        <v>386</v>
      </c>
      <c r="C49" s="379" t="s">
        <v>312</v>
      </c>
      <c r="D49" s="382">
        <v>27.17</v>
      </c>
      <c r="E49" s="383">
        <v>1632000</v>
      </c>
      <c r="F49" s="383">
        <f>D49*E49</f>
        <v>44341440</v>
      </c>
      <c r="G49" s="623">
        <v>2660160</v>
      </c>
      <c r="H49" s="623">
        <v>16149105</v>
      </c>
      <c r="I49" s="649">
        <f>F49+G49+H49</f>
        <v>63150705</v>
      </c>
      <c r="J49" s="652"/>
      <c r="K49" s="747"/>
    </row>
    <row r="50" spans="1:11" ht="18.75" customHeight="1">
      <c r="A50" s="379" t="s">
        <v>387</v>
      </c>
      <c r="B50" s="380" t="s">
        <v>388</v>
      </c>
      <c r="C50" s="379" t="s">
        <v>321</v>
      </c>
      <c r="D50" s="383">
        <v>1106</v>
      </c>
      <c r="E50" s="385"/>
      <c r="F50" s="383">
        <v>67864670</v>
      </c>
      <c r="G50" s="623">
        <v>0</v>
      </c>
      <c r="H50" s="623">
        <f t="shared" si="1"/>
        <v>13473702</v>
      </c>
      <c r="I50" s="649">
        <v>81338372</v>
      </c>
      <c r="J50" s="652"/>
      <c r="K50" s="747"/>
    </row>
    <row r="51" spans="1:11" ht="29.25" customHeight="1">
      <c r="A51" s="379" t="s">
        <v>389</v>
      </c>
      <c r="B51" s="380" t="s">
        <v>390</v>
      </c>
      <c r="C51" s="379" t="s">
        <v>321</v>
      </c>
      <c r="D51" s="383">
        <v>16252</v>
      </c>
      <c r="E51" s="383">
        <v>513</v>
      </c>
      <c r="F51" s="383">
        <f>D51*E51</f>
        <v>8337276</v>
      </c>
      <c r="G51" s="623">
        <v>-149796</v>
      </c>
      <c r="H51" s="623">
        <f t="shared" si="1"/>
        <v>-2822013</v>
      </c>
      <c r="I51" s="649">
        <v>5365467</v>
      </c>
      <c r="J51" s="652"/>
      <c r="K51" s="747"/>
    </row>
    <row r="52" spans="1:11" s="28" customFormat="1" ht="31.5" customHeight="1">
      <c r="A52" s="390" t="s">
        <v>391</v>
      </c>
      <c r="B52" s="391" t="s">
        <v>392</v>
      </c>
      <c r="C52" s="390" t="s">
        <v>321</v>
      </c>
      <c r="D52" s="392"/>
      <c r="E52" s="392"/>
      <c r="F52" s="624">
        <f>SUM(F34:F51)</f>
        <v>326754354</v>
      </c>
      <c r="G52" s="624">
        <f t="shared" ref="G52:I52" si="7">SUM(G34:G51)</f>
        <v>1231260</v>
      </c>
      <c r="H52" s="624">
        <f t="shared" si="7"/>
        <v>24728482</v>
      </c>
      <c r="I52" s="624">
        <f t="shared" si="7"/>
        <v>352714096</v>
      </c>
      <c r="J52" s="394">
        <v>283981500</v>
      </c>
      <c r="K52" s="746">
        <f>J52/I52</f>
        <v>0.80513226780706826</v>
      </c>
    </row>
    <row r="53" spans="1:11" ht="38.25" customHeight="1">
      <c r="A53" s="379" t="s">
        <v>393</v>
      </c>
      <c r="B53" s="380" t="s">
        <v>394</v>
      </c>
      <c r="C53" s="379" t="s">
        <v>395</v>
      </c>
      <c r="D53" s="383">
        <v>17428</v>
      </c>
      <c r="E53" s="383">
        <v>1140</v>
      </c>
      <c r="F53" s="383">
        <f>D53*E53</f>
        <v>19867920</v>
      </c>
      <c r="G53" s="623">
        <f t="shared" si="0"/>
        <v>0</v>
      </c>
      <c r="H53" s="623">
        <f t="shared" si="1"/>
        <v>0</v>
      </c>
      <c r="I53" s="649">
        <v>19867920</v>
      </c>
      <c r="J53" s="652"/>
      <c r="K53" s="769"/>
    </row>
    <row r="54" spans="1:11" ht="37.5" customHeight="1">
      <c r="A54" s="379" t="s">
        <v>396</v>
      </c>
      <c r="B54" s="380" t="s">
        <v>397</v>
      </c>
      <c r="C54" s="379" t="s">
        <v>395</v>
      </c>
      <c r="D54" s="385"/>
      <c r="E54" s="385"/>
      <c r="F54" s="383">
        <v>6906000</v>
      </c>
      <c r="G54" s="623">
        <f t="shared" si="0"/>
        <v>0</v>
      </c>
      <c r="H54" s="623">
        <f t="shared" si="1"/>
        <v>0</v>
      </c>
      <c r="I54" s="649">
        <v>6906000</v>
      </c>
      <c r="J54" s="652"/>
      <c r="K54" s="747"/>
    </row>
    <row r="55" spans="1:11" ht="37.5" customHeight="1">
      <c r="A55" s="379" t="s">
        <v>1029</v>
      </c>
      <c r="B55" s="380" t="s">
        <v>1030</v>
      </c>
      <c r="C55" s="379" t="s">
        <v>395</v>
      </c>
      <c r="D55" s="385"/>
      <c r="E55" s="385"/>
      <c r="F55" s="850">
        <v>0</v>
      </c>
      <c r="G55" s="623">
        <v>0</v>
      </c>
      <c r="H55" s="623">
        <v>2450621</v>
      </c>
      <c r="I55" s="649">
        <v>2450621</v>
      </c>
      <c r="J55" s="652"/>
      <c r="K55" s="747"/>
    </row>
    <row r="56" spans="1:11" ht="39" customHeight="1">
      <c r="A56" s="379" t="s">
        <v>398</v>
      </c>
      <c r="B56" s="380" t="s">
        <v>399</v>
      </c>
      <c r="C56" s="379" t="s">
        <v>395</v>
      </c>
      <c r="D56" s="385"/>
      <c r="E56" s="385"/>
      <c r="F56" s="850">
        <f>SUM(F53:F55)</f>
        <v>26773920</v>
      </c>
      <c r="G56" s="850">
        <f t="shared" ref="G56:I56" si="8">SUM(G53:G55)</f>
        <v>0</v>
      </c>
      <c r="H56" s="850">
        <f t="shared" si="8"/>
        <v>2450621</v>
      </c>
      <c r="I56" s="850">
        <f t="shared" si="8"/>
        <v>29224541</v>
      </c>
      <c r="J56" s="652"/>
      <c r="K56" s="747"/>
    </row>
    <row r="57" spans="1:11" s="28" customFormat="1" ht="18" customHeight="1">
      <c r="A57" s="390" t="s">
        <v>400</v>
      </c>
      <c r="B57" s="391" t="s">
        <v>401</v>
      </c>
      <c r="C57" s="390" t="s">
        <v>395</v>
      </c>
      <c r="D57" s="392"/>
      <c r="E57" s="392"/>
      <c r="F57" s="394">
        <f>F56</f>
        <v>26773920</v>
      </c>
      <c r="G57" s="394">
        <f t="shared" ref="G57:I57" si="9">G56</f>
        <v>0</v>
      </c>
      <c r="H57" s="394">
        <f t="shared" si="9"/>
        <v>2450621</v>
      </c>
      <c r="I57" s="394">
        <f t="shared" si="9"/>
        <v>29224541</v>
      </c>
      <c r="J57" s="394">
        <v>24456244</v>
      </c>
      <c r="K57" s="746">
        <f>J57/I57</f>
        <v>0.83683928517474404</v>
      </c>
    </row>
    <row r="58" spans="1:11" s="28" customFormat="1" ht="18" customHeight="1">
      <c r="A58" s="390" t="s">
        <v>884</v>
      </c>
      <c r="B58" s="391" t="s">
        <v>885</v>
      </c>
      <c r="C58" s="390" t="s">
        <v>395</v>
      </c>
      <c r="D58" s="392"/>
      <c r="E58" s="392"/>
      <c r="F58" s="394"/>
      <c r="G58" s="623">
        <v>28245415</v>
      </c>
      <c r="H58" s="623">
        <f t="shared" si="1"/>
        <v>-10704036</v>
      </c>
      <c r="I58" s="768">
        <v>17541379</v>
      </c>
      <c r="J58" s="768">
        <v>15304791</v>
      </c>
      <c r="K58" s="746">
        <f>J58/I58</f>
        <v>0.87249645538130149</v>
      </c>
    </row>
    <row r="59" spans="1:11" s="28" customFormat="1" ht="21.75" customHeight="1">
      <c r="A59" s="390"/>
      <c r="B59" s="392" t="s">
        <v>402</v>
      </c>
      <c r="C59" s="396"/>
      <c r="D59" s="397"/>
      <c r="E59" s="397"/>
      <c r="F59" s="394">
        <f>F17+F33+F52+F57+F58</f>
        <v>847167450.66666675</v>
      </c>
      <c r="G59" s="394">
        <f t="shared" ref="G59:J59" si="10">G17+G33+G52+G57+G58</f>
        <v>29476675</v>
      </c>
      <c r="H59" s="394">
        <f t="shared" si="10"/>
        <v>26580549</v>
      </c>
      <c r="I59" s="394">
        <f t="shared" si="10"/>
        <v>903224675.33333337</v>
      </c>
      <c r="J59" s="394">
        <f t="shared" si="10"/>
        <v>707140318</v>
      </c>
      <c r="K59" s="745"/>
    </row>
    <row r="63" spans="1:11" ht="18.75" customHeight="1">
      <c r="C63" s="231"/>
      <c r="D63" s="231"/>
      <c r="E63" s="231"/>
      <c r="F63" s="26"/>
    </row>
    <row r="64" spans="1:11" ht="18.75" customHeight="1">
      <c r="C64" s="232"/>
      <c r="D64" s="232"/>
      <c r="E64" s="232"/>
      <c r="F64" s="27"/>
    </row>
    <row r="65" spans="1:6" ht="18.75" customHeight="1">
      <c r="C65" s="231"/>
      <c r="D65" s="231"/>
      <c r="E65" s="231"/>
      <c r="F65" s="26"/>
    </row>
    <row r="66" spans="1:6" ht="18.75" customHeight="1">
      <c r="A66" s="24"/>
      <c r="C66" s="231"/>
      <c r="D66" s="231"/>
      <c r="E66" s="231"/>
      <c r="F66" s="26"/>
    </row>
    <row r="67" spans="1:6" ht="18.75" customHeight="1">
      <c r="A67" s="24"/>
      <c r="C67" s="231"/>
      <c r="D67" s="231"/>
      <c r="E67" s="231"/>
      <c r="F67" s="26"/>
    </row>
    <row r="68" spans="1:6" ht="18.75" customHeight="1">
      <c r="A68" s="24"/>
      <c r="C68" s="233"/>
      <c r="D68" s="233"/>
      <c r="E68" s="233"/>
      <c r="F68" s="27"/>
    </row>
    <row r="69" spans="1:6">
      <c r="A69" s="24"/>
      <c r="D69" s="23"/>
    </row>
  </sheetData>
  <mergeCells count="4">
    <mergeCell ref="A3:A4"/>
    <mergeCell ref="B3:B4"/>
    <mergeCell ref="D3:I3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Header>&amp;R&amp;"Times New Roman CE,Félkövér dőlt"&amp;11 3. melléklet a 22/2017.(XII.04.)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view="pageLayout" topLeftCell="D1" workbookViewId="0">
      <selection activeCell="I3" sqref="I3:N3"/>
    </sheetView>
  </sheetViews>
  <sheetFormatPr defaultColWidth="9.33203125" defaultRowHeight="13.2"/>
  <cols>
    <col min="1" max="1" width="6.77734375" style="173" customWidth="1"/>
    <col min="2" max="2" width="32" style="173" customWidth="1"/>
    <col min="3" max="3" width="10.33203125" style="174" customWidth="1"/>
    <col min="4" max="4" width="10.33203125" style="173" customWidth="1"/>
    <col min="5" max="5" width="12.33203125" style="173" customWidth="1"/>
    <col min="6" max="6" width="12.77734375" style="173" customWidth="1"/>
    <col min="7" max="7" width="14.33203125" style="173" customWidth="1"/>
    <col min="8" max="8" width="13.21875" style="173" customWidth="1"/>
    <col min="9" max="9" width="12.44140625" style="173" customWidth="1"/>
    <col min="10" max="11" width="13.21875" style="173" customWidth="1"/>
    <col min="12" max="12" width="16.44140625" style="173" customWidth="1"/>
    <col min="13" max="13" width="14.21875" style="173" customWidth="1"/>
    <col min="14" max="14" width="16.77734375" style="173" customWidth="1"/>
    <col min="15" max="16384" width="9.33203125" style="173"/>
  </cols>
  <sheetData>
    <row r="1" spans="1:14" ht="37.5" customHeight="1">
      <c r="A1" s="874" t="s">
        <v>678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</row>
    <row r="2" spans="1:14" ht="15.75" customHeight="1">
      <c r="M2" s="875" t="s">
        <v>1</v>
      </c>
      <c r="N2" s="875"/>
    </row>
    <row r="3" spans="1:14" ht="18" customHeight="1">
      <c r="A3" s="876" t="s">
        <v>407</v>
      </c>
      <c r="B3" s="876" t="s">
        <v>267</v>
      </c>
      <c r="C3" s="876" t="s">
        <v>664</v>
      </c>
      <c r="D3" s="876" t="s">
        <v>665</v>
      </c>
      <c r="E3" s="876" t="s">
        <v>666</v>
      </c>
      <c r="F3" s="876" t="s">
        <v>667</v>
      </c>
      <c r="G3" s="876"/>
      <c r="H3" s="876"/>
      <c r="I3" s="877" t="s">
        <v>668</v>
      </c>
      <c r="J3" s="877"/>
      <c r="K3" s="877"/>
      <c r="L3" s="877"/>
      <c r="M3" s="877"/>
      <c r="N3" s="877"/>
    </row>
    <row r="4" spans="1:14" ht="18" customHeight="1">
      <c r="A4" s="876"/>
      <c r="B4" s="876"/>
      <c r="C4" s="876"/>
      <c r="D4" s="876"/>
      <c r="E4" s="876"/>
      <c r="F4" s="876"/>
      <c r="G4" s="876"/>
      <c r="H4" s="876"/>
      <c r="I4" s="876" t="s">
        <v>669</v>
      </c>
      <c r="J4" s="876"/>
      <c r="K4" s="876"/>
      <c r="L4" s="876"/>
      <c r="M4" s="876" t="s">
        <v>670</v>
      </c>
      <c r="N4" s="876"/>
    </row>
    <row r="5" spans="1:14" ht="18.75" customHeight="1">
      <c r="A5" s="876"/>
      <c r="B5" s="876"/>
      <c r="C5" s="876"/>
      <c r="D5" s="876"/>
      <c r="E5" s="876"/>
      <c r="F5" s="876" t="s">
        <v>671</v>
      </c>
      <c r="G5" s="876" t="s">
        <v>437</v>
      </c>
      <c r="H5" s="876" t="s">
        <v>672</v>
      </c>
      <c r="I5" s="876" t="s">
        <v>673</v>
      </c>
      <c r="J5" s="876"/>
      <c r="K5" s="876" t="s">
        <v>740</v>
      </c>
      <c r="L5" s="876" t="s">
        <v>674</v>
      </c>
      <c r="M5" s="876" t="s">
        <v>673</v>
      </c>
      <c r="N5" s="876" t="s">
        <v>674</v>
      </c>
    </row>
    <row r="6" spans="1:14" ht="58.5" customHeight="1">
      <c r="A6" s="876"/>
      <c r="B6" s="876"/>
      <c r="C6" s="876" t="s">
        <v>675</v>
      </c>
      <c r="D6" s="876"/>
      <c r="E6" s="876"/>
      <c r="F6" s="876"/>
      <c r="G6" s="876"/>
      <c r="H6" s="876"/>
      <c r="I6" s="398" t="s">
        <v>408</v>
      </c>
      <c r="J6" s="398" t="s">
        <v>676</v>
      </c>
      <c r="K6" s="876"/>
      <c r="L6" s="876"/>
      <c r="M6" s="876"/>
      <c r="N6" s="876"/>
    </row>
    <row r="7" spans="1:14" ht="25.5" customHeight="1">
      <c r="A7" s="399" t="s">
        <v>10</v>
      </c>
      <c r="B7" s="400" t="s">
        <v>602</v>
      </c>
      <c r="C7" s="401" t="s">
        <v>738</v>
      </c>
      <c r="D7" s="401" t="s">
        <v>737</v>
      </c>
      <c r="E7" s="402">
        <v>32320000</v>
      </c>
      <c r="F7" s="402"/>
      <c r="G7" s="402">
        <v>32320000</v>
      </c>
      <c r="H7" s="402"/>
      <c r="J7" s="402">
        <v>32320000</v>
      </c>
      <c r="K7" s="402">
        <v>32320000</v>
      </c>
      <c r="L7" s="402"/>
      <c r="M7" s="402"/>
      <c r="N7" s="402"/>
    </row>
    <row r="8" spans="1:14" ht="25.5" customHeight="1">
      <c r="A8" s="399" t="s">
        <v>13</v>
      </c>
      <c r="B8" s="403" t="s">
        <v>662</v>
      </c>
      <c r="C8" s="401" t="s">
        <v>737</v>
      </c>
      <c r="D8" s="401" t="s">
        <v>737</v>
      </c>
      <c r="E8" s="402">
        <v>3000000</v>
      </c>
      <c r="F8" s="402"/>
      <c r="G8" s="402">
        <v>3000000</v>
      </c>
      <c r="H8" s="402"/>
      <c r="I8" s="402">
        <v>3000000</v>
      </c>
      <c r="J8" s="402"/>
      <c r="K8" s="402"/>
      <c r="L8" s="402">
        <v>3000000</v>
      </c>
      <c r="M8" s="402"/>
      <c r="N8" s="402"/>
    </row>
    <row r="9" spans="1:14" ht="25.5" customHeight="1">
      <c r="A9" s="399" t="s">
        <v>16</v>
      </c>
      <c r="B9" s="403" t="s">
        <v>663</v>
      </c>
      <c r="C9" s="401">
        <v>2017</v>
      </c>
      <c r="D9" s="401">
        <v>2017</v>
      </c>
      <c r="E9" s="402">
        <v>10000000</v>
      </c>
      <c r="F9" s="402"/>
      <c r="G9" s="402">
        <v>10000000</v>
      </c>
      <c r="H9" s="402"/>
      <c r="I9" s="402">
        <v>10000000</v>
      </c>
      <c r="J9" s="402"/>
      <c r="K9" s="402"/>
      <c r="L9" s="402">
        <v>10000000</v>
      </c>
      <c r="M9" s="402"/>
      <c r="N9" s="402"/>
    </row>
    <row r="10" spans="1:14" ht="25.5" customHeight="1">
      <c r="A10" s="399" t="s">
        <v>19</v>
      </c>
      <c r="B10" s="403" t="s">
        <v>753</v>
      </c>
      <c r="C10" s="401">
        <v>2017</v>
      </c>
      <c r="D10" s="401">
        <v>2017</v>
      </c>
      <c r="E10" s="402">
        <v>8000000</v>
      </c>
      <c r="F10" s="402"/>
      <c r="G10" s="402">
        <v>8000000</v>
      </c>
      <c r="H10" s="402"/>
      <c r="I10" s="402">
        <v>8000000</v>
      </c>
      <c r="J10" s="402"/>
      <c r="K10" s="402"/>
      <c r="L10" s="402">
        <v>8000000</v>
      </c>
      <c r="M10" s="402"/>
      <c r="N10" s="402"/>
    </row>
    <row r="11" spans="1:14" ht="25.5" customHeight="1">
      <c r="A11" s="399" t="s">
        <v>22</v>
      </c>
      <c r="B11" s="403" t="s">
        <v>754</v>
      </c>
      <c r="C11" s="401">
        <v>2017</v>
      </c>
      <c r="D11" s="401">
        <v>2017</v>
      </c>
      <c r="E11" s="402">
        <v>4000000</v>
      </c>
      <c r="F11" s="402"/>
      <c r="G11" s="402">
        <v>4000000</v>
      </c>
      <c r="H11" s="402"/>
      <c r="I11" s="402">
        <v>4000000</v>
      </c>
      <c r="J11" s="402"/>
      <c r="K11" s="402"/>
      <c r="L11" s="402">
        <v>4000000</v>
      </c>
      <c r="M11" s="402"/>
      <c r="N11" s="402"/>
    </row>
    <row r="12" spans="1:14" ht="38.25" customHeight="1">
      <c r="A12" s="399" t="s">
        <v>25</v>
      </c>
      <c r="B12" s="402" t="s">
        <v>752</v>
      </c>
      <c r="C12" s="401" t="s">
        <v>737</v>
      </c>
      <c r="D12" s="401" t="s">
        <v>751</v>
      </c>
      <c r="E12" s="402">
        <v>1120500</v>
      </c>
      <c r="F12" s="402"/>
      <c r="G12" s="402">
        <v>1120500</v>
      </c>
      <c r="H12" s="402"/>
      <c r="I12" s="402">
        <v>1120500</v>
      </c>
      <c r="J12" s="402">
        <v>1120500</v>
      </c>
      <c r="K12" s="402"/>
      <c r="L12" s="402"/>
      <c r="M12" s="402"/>
      <c r="N12" s="402"/>
    </row>
    <row r="13" spans="1:14" ht="38.25" customHeight="1">
      <c r="A13" s="399" t="s">
        <v>28</v>
      </c>
      <c r="B13" s="402" t="s">
        <v>1035</v>
      </c>
      <c r="C13" s="401" t="s">
        <v>737</v>
      </c>
      <c r="D13" s="401" t="s">
        <v>739</v>
      </c>
      <c r="E13" s="402">
        <v>2476500</v>
      </c>
      <c r="F13" s="402"/>
      <c r="G13" s="402">
        <v>2476500</v>
      </c>
      <c r="H13" s="402"/>
      <c r="I13" s="402">
        <v>2476500</v>
      </c>
      <c r="J13" s="402">
        <v>2476500</v>
      </c>
      <c r="K13" s="402"/>
      <c r="L13" s="402"/>
      <c r="M13" s="402"/>
      <c r="N13" s="402"/>
    </row>
    <row r="14" spans="1:14" ht="38.25" customHeight="1">
      <c r="A14" s="399" t="s">
        <v>31</v>
      </c>
      <c r="B14" s="402" t="s">
        <v>1037</v>
      </c>
      <c r="C14" s="401" t="s">
        <v>737</v>
      </c>
      <c r="D14" s="401" t="s">
        <v>739</v>
      </c>
      <c r="E14" s="402">
        <v>13445514</v>
      </c>
      <c r="F14" s="402"/>
      <c r="G14" s="402">
        <v>13445514</v>
      </c>
      <c r="H14" s="402"/>
      <c r="I14" s="402">
        <v>13445514</v>
      </c>
      <c r="J14" s="402">
        <v>13445514</v>
      </c>
      <c r="K14" s="402"/>
      <c r="L14" s="402"/>
      <c r="M14" s="402"/>
      <c r="N14" s="402"/>
    </row>
    <row r="15" spans="1:14" ht="38.25" customHeight="1">
      <c r="A15" s="399" t="s">
        <v>34</v>
      </c>
      <c r="B15" s="402" t="s">
        <v>1038</v>
      </c>
      <c r="C15" s="401" t="s">
        <v>737</v>
      </c>
      <c r="D15" s="401"/>
      <c r="E15" s="402">
        <v>610102278</v>
      </c>
      <c r="F15" s="402"/>
      <c r="G15" s="402">
        <v>610102278</v>
      </c>
      <c r="H15" s="402"/>
      <c r="I15" s="402">
        <v>610102278</v>
      </c>
      <c r="J15" s="402">
        <v>610102278</v>
      </c>
      <c r="K15" s="402"/>
      <c r="L15" s="402"/>
      <c r="M15" s="402"/>
      <c r="N15" s="402"/>
    </row>
    <row r="16" spans="1:14" ht="25.5" customHeight="1">
      <c r="A16" s="247" t="s">
        <v>37</v>
      </c>
      <c r="B16" s="404" t="s">
        <v>677</v>
      </c>
      <c r="C16" s="405"/>
      <c r="D16" s="406"/>
      <c r="E16" s="404">
        <f>SUM(E7:E15)</f>
        <v>684464792</v>
      </c>
      <c r="F16" s="404">
        <f>SUM(F7:F12)</f>
        <v>0</v>
      </c>
      <c r="G16" s="404">
        <f>SUM(G7:G15)</f>
        <v>684464792</v>
      </c>
      <c r="H16" s="404">
        <f>SUM(H7:H12)</f>
        <v>0</v>
      </c>
      <c r="I16" s="404">
        <f>SUM(I7:I15)</f>
        <v>652144792</v>
      </c>
      <c r="J16" s="404">
        <f>SUM(J7:J12)</f>
        <v>33440500</v>
      </c>
      <c r="K16" s="404">
        <f>SUM(K7:K12)</f>
        <v>32320000</v>
      </c>
      <c r="L16" s="404">
        <f>SUM(L7:L12)</f>
        <v>25000000</v>
      </c>
      <c r="M16" s="404">
        <f>SUM(M7:M12)</f>
        <v>0</v>
      </c>
      <c r="N16" s="404">
        <f>SUM(N7:N12)</f>
        <v>0</v>
      </c>
    </row>
    <row r="17" spans="1:14" ht="25.5" customHeight="1">
      <c r="A17" s="399" t="s">
        <v>39</v>
      </c>
      <c r="B17" s="403" t="s">
        <v>750</v>
      </c>
      <c r="C17" s="401">
        <v>2017</v>
      </c>
      <c r="D17" s="401" t="s">
        <v>739</v>
      </c>
      <c r="E17" s="402">
        <v>50000000</v>
      </c>
      <c r="F17" s="402"/>
      <c r="G17" s="402">
        <v>50000000</v>
      </c>
      <c r="H17" s="402"/>
      <c r="I17" s="402">
        <v>50000000</v>
      </c>
      <c r="J17" s="402">
        <v>50000000</v>
      </c>
      <c r="K17" s="402"/>
      <c r="L17" s="402"/>
      <c r="M17" s="402"/>
      <c r="N17" s="402"/>
    </row>
    <row r="18" spans="1:14" ht="25.5" customHeight="1">
      <c r="A18" s="399" t="s">
        <v>41</v>
      </c>
      <c r="B18" s="403" t="s">
        <v>603</v>
      </c>
      <c r="C18" s="401" t="s">
        <v>737</v>
      </c>
      <c r="D18" s="401" t="s">
        <v>739</v>
      </c>
      <c r="E18" s="402">
        <v>25500000</v>
      </c>
      <c r="F18" s="402"/>
      <c r="G18" s="402">
        <v>25500000</v>
      </c>
      <c r="H18" s="402"/>
      <c r="I18" s="402">
        <v>25500000</v>
      </c>
      <c r="J18" s="402"/>
      <c r="K18" s="402">
        <v>25500000</v>
      </c>
      <c r="L18" s="402"/>
      <c r="M18" s="402"/>
      <c r="N18" s="402"/>
    </row>
    <row r="19" spans="1:14" ht="25.5" customHeight="1">
      <c r="A19" s="399" t="s">
        <v>43</v>
      </c>
      <c r="B19" s="403" t="s">
        <v>604</v>
      </c>
      <c r="C19" s="401" t="s">
        <v>738</v>
      </c>
      <c r="D19" s="401" t="s">
        <v>737</v>
      </c>
      <c r="E19" s="402">
        <v>16951029</v>
      </c>
      <c r="F19" s="402"/>
      <c r="G19" s="402">
        <v>16951029</v>
      </c>
      <c r="H19" s="402"/>
      <c r="I19" s="402">
        <v>16951029</v>
      </c>
      <c r="J19" s="402"/>
      <c r="K19" s="402">
        <v>16951029</v>
      </c>
      <c r="L19" s="402"/>
      <c r="M19" s="402"/>
      <c r="N19" s="402"/>
    </row>
    <row r="20" spans="1:14" ht="25.5" customHeight="1">
      <c r="A20" s="399" t="s">
        <v>45</v>
      </c>
      <c r="B20" s="403" t="s">
        <v>604</v>
      </c>
      <c r="C20" s="401" t="s">
        <v>737</v>
      </c>
      <c r="D20" s="401" t="s">
        <v>739</v>
      </c>
      <c r="E20" s="402">
        <v>5578475</v>
      </c>
      <c r="F20" s="402"/>
      <c r="G20" s="402">
        <v>5578475</v>
      </c>
      <c r="H20" s="402"/>
      <c r="I20" s="402">
        <v>5578475</v>
      </c>
      <c r="J20" s="402"/>
      <c r="K20" s="402">
        <v>5578475</v>
      </c>
      <c r="L20" s="402"/>
      <c r="M20" s="402"/>
      <c r="N20" s="402"/>
    </row>
    <row r="21" spans="1:14" ht="25.5" customHeight="1">
      <c r="A21" s="399" t="s">
        <v>47</v>
      </c>
      <c r="B21" s="403" t="s">
        <v>660</v>
      </c>
      <c r="C21" s="401" t="s">
        <v>737</v>
      </c>
      <c r="D21" s="401" t="s">
        <v>737</v>
      </c>
      <c r="E21" s="402">
        <v>1800000</v>
      </c>
      <c r="F21" s="402"/>
      <c r="G21" s="402">
        <v>1800000</v>
      </c>
      <c r="H21" s="402"/>
      <c r="I21" s="402">
        <v>1800000</v>
      </c>
      <c r="J21" s="402"/>
      <c r="K21" s="402"/>
      <c r="L21" s="402">
        <v>1800000</v>
      </c>
      <c r="M21" s="402"/>
      <c r="N21" s="402"/>
    </row>
    <row r="22" spans="1:14" ht="25.5" customHeight="1">
      <c r="A22" s="399" t="s">
        <v>49</v>
      </c>
      <c r="B22" s="403" t="s">
        <v>755</v>
      </c>
      <c r="C22" s="401" t="s">
        <v>737</v>
      </c>
      <c r="D22" s="401" t="s">
        <v>737</v>
      </c>
      <c r="E22" s="402">
        <v>29559542</v>
      </c>
      <c r="F22" s="404"/>
      <c r="G22" s="402">
        <v>29559542</v>
      </c>
      <c r="H22" s="404"/>
      <c r="I22" s="404">
        <v>29559542</v>
      </c>
      <c r="J22" s="404"/>
      <c r="K22" s="404"/>
      <c r="L22" s="402">
        <v>29559542</v>
      </c>
      <c r="M22" s="404"/>
      <c r="N22" s="404"/>
    </row>
    <row r="23" spans="1:14" ht="25.5" customHeight="1">
      <c r="A23" s="399" t="s">
        <v>51</v>
      </c>
      <c r="B23" s="403" t="s">
        <v>1040</v>
      </c>
      <c r="C23" s="401" t="s">
        <v>737</v>
      </c>
      <c r="D23" s="401" t="s">
        <v>737</v>
      </c>
      <c r="E23" s="402">
        <v>6460000</v>
      </c>
      <c r="F23" s="404"/>
      <c r="G23" s="402">
        <v>6460000</v>
      </c>
      <c r="H23" s="404"/>
      <c r="I23" s="402">
        <v>6460000</v>
      </c>
      <c r="J23" s="404"/>
      <c r="K23" s="404"/>
      <c r="L23" s="402"/>
      <c r="M23" s="404"/>
      <c r="N23" s="404"/>
    </row>
    <row r="24" spans="1:14" ht="25.5" customHeight="1">
      <c r="A24" s="399" t="s">
        <v>54</v>
      </c>
      <c r="B24" s="403" t="s">
        <v>1041</v>
      </c>
      <c r="C24" s="401" t="s">
        <v>737</v>
      </c>
      <c r="D24" s="401" t="s">
        <v>737</v>
      </c>
      <c r="E24" s="402">
        <v>8307637</v>
      </c>
      <c r="F24" s="404"/>
      <c r="G24" s="402">
        <v>8307637</v>
      </c>
      <c r="H24" s="404"/>
      <c r="I24" s="402">
        <v>8307637</v>
      </c>
      <c r="J24" s="404"/>
      <c r="K24" s="404"/>
      <c r="L24" s="402"/>
      <c r="M24" s="404"/>
      <c r="N24" s="404"/>
    </row>
    <row r="25" spans="1:14" ht="25.5" customHeight="1">
      <c r="A25" s="399" t="s">
        <v>57</v>
      </c>
      <c r="B25" s="403" t="s">
        <v>1039</v>
      </c>
      <c r="C25" s="401" t="s">
        <v>737</v>
      </c>
      <c r="D25" s="401" t="s">
        <v>737</v>
      </c>
      <c r="E25" s="402">
        <v>13856025</v>
      </c>
      <c r="F25" s="404"/>
      <c r="G25" s="402">
        <v>13856025</v>
      </c>
      <c r="H25" s="404"/>
      <c r="I25" s="402">
        <v>13856025</v>
      </c>
      <c r="J25" s="404"/>
      <c r="K25" s="404"/>
      <c r="L25" s="402"/>
      <c r="M25" s="404"/>
      <c r="N25" s="404"/>
    </row>
    <row r="26" spans="1:14" ht="25.5" customHeight="1">
      <c r="A26" s="247" t="s">
        <v>60</v>
      </c>
      <c r="B26" s="404" t="s">
        <v>1036</v>
      </c>
      <c r="C26" s="405"/>
      <c r="D26" s="406"/>
      <c r="E26" s="404">
        <f>SUM(E17:E25)</f>
        <v>158012708</v>
      </c>
      <c r="F26" s="404">
        <f t="shared" ref="F26:N26" si="0">SUM(F17:F22)</f>
        <v>0</v>
      </c>
      <c r="G26" s="404">
        <f t="shared" si="0"/>
        <v>129389046</v>
      </c>
      <c r="H26" s="404">
        <f t="shared" si="0"/>
        <v>0</v>
      </c>
      <c r="I26" s="404">
        <f t="shared" si="0"/>
        <v>129389046</v>
      </c>
      <c r="J26" s="404">
        <f t="shared" si="0"/>
        <v>50000000</v>
      </c>
      <c r="K26" s="404">
        <f t="shared" si="0"/>
        <v>48029504</v>
      </c>
      <c r="L26" s="404">
        <f t="shared" si="0"/>
        <v>31359542</v>
      </c>
      <c r="M26" s="404">
        <f t="shared" si="0"/>
        <v>0</v>
      </c>
      <c r="N26" s="404">
        <f t="shared" si="0"/>
        <v>0</v>
      </c>
    </row>
    <row r="27" spans="1:14" ht="25.5" customHeight="1">
      <c r="A27" s="247" t="s">
        <v>62</v>
      </c>
      <c r="B27" s="404" t="s">
        <v>402</v>
      </c>
      <c r="C27" s="405"/>
      <c r="D27" s="406"/>
      <c r="E27" s="404">
        <f>SUM(E16+E26)</f>
        <v>842477500</v>
      </c>
      <c r="F27" s="404">
        <f t="shared" ref="F27:N27" si="1">SUM(F16+F26)</f>
        <v>0</v>
      </c>
      <c r="G27" s="404">
        <f t="shared" si="1"/>
        <v>813853838</v>
      </c>
      <c r="H27" s="404">
        <f t="shared" si="1"/>
        <v>0</v>
      </c>
      <c r="I27" s="404">
        <f t="shared" si="1"/>
        <v>781533838</v>
      </c>
      <c r="J27" s="404">
        <f t="shared" si="1"/>
        <v>83440500</v>
      </c>
      <c r="K27" s="404">
        <f t="shared" si="1"/>
        <v>80349504</v>
      </c>
      <c r="L27" s="404">
        <f t="shared" si="1"/>
        <v>56359542</v>
      </c>
      <c r="M27" s="404">
        <f t="shared" si="1"/>
        <v>0</v>
      </c>
      <c r="N27" s="404">
        <f t="shared" si="1"/>
        <v>0</v>
      </c>
    </row>
    <row r="28" spans="1:14" ht="17.25" customHeight="1">
      <c r="A28" s="174"/>
    </row>
    <row r="29" spans="1:14" ht="17.25" customHeight="1">
      <c r="A29" s="174"/>
    </row>
  </sheetData>
  <mergeCells count="20"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dőlt"&amp;11 4. melléklet a 22/2017. (XII.04.)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view="pageLayout" topLeftCell="E1" workbookViewId="0">
      <selection sqref="A1:J1"/>
    </sheetView>
  </sheetViews>
  <sheetFormatPr defaultColWidth="9.33203125" defaultRowHeight="13.8"/>
  <cols>
    <col min="1" max="1" width="8.44140625" style="30" customWidth="1"/>
    <col min="2" max="2" width="9.33203125" style="30"/>
    <col min="3" max="3" width="22.21875" style="30" customWidth="1"/>
    <col min="4" max="4" width="44.77734375" style="30" customWidth="1"/>
    <col min="5" max="5" width="26" style="32" customWidth="1"/>
    <col min="6" max="7" width="19.44140625" style="32" customWidth="1"/>
    <col min="8" max="9" width="18.21875" style="206" bestFit="1" customWidth="1"/>
    <col min="10" max="10" width="14.6640625" style="758" customWidth="1"/>
    <col min="11" max="16384" width="9.33203125" style="30"/>
  </cols>
  <sheetData>
    <row r="1" spans="1:10" ht="41.25" customHeight="1">
      <c r="A1" s="887" t="s">
        <v>853</v>
      </c>
      <c r="B1" s="887"/>
      <c r="C1" s="887"/>
      <c r="D1" s="887"/>
      <c r="E1" s="887"/>
      <c r="F1" s="887"/>
      <c r="G1" s="887"/>
      <c r="H1" s="887"/>
      <c r="I1" s="887"/>
      <c r="J1" s="887"/>
    </row>
    <row r="2" spans="1:10">
      <c r="A2" s="31"/>
      <c r="B2" s="31"/>
      <c r="C2" s="31"/>
      <c r="D2" s="31"/>
    </row>
    <row r="3" spans="1:10">
      <c r="A3" s="31"/>
      <c r="B3" s="31"/>
      <c r="C3" s="31"/>
      <c r="D3" s="31"/>
      <c r="H3" s="612" t="s">
        <v>861</v>
      </c>
      <c r="J3" s="759" t="s">
        <v>1</v>
      </c>
    </row>
    <row r="4" spans="1:10" s="474" customFormat="1" ht="33" customHeight="1">
      <c r="A4" s="407" t="s">
        <v>407</v>
      </c>
      <c r="B4" s="888" t="s">
        <v>411</v>
      </c>
      <c r="C4" s="888"/>
      <c r="D4" s="888"/>
      <c r="E4" s="408" t="s">
        <v>412</v>
      </c>
      <c r="F4" s="408" t="s">
        <v>1002</v>
      </c>
      <c r="G4" s="408" t="s">
        <v>1003</v>
      </c>
      <c r="H4" s="475" t="s">
        <v>857</v>
      </c>
      <c r="I4" s="757" t="s">
        <v>1004</v>
      </c>
      <c r="J4" s="760" t="s">
        <v>1005</v>
      </c>
    </row>
    <row r="5" spans="1:10" ht="21.75" customHeight="1">
      <c r="A5" s="409" t="s">
        <v>10</v>
      </c>
      <c r="B5" s="881" t="s">
        <v>413</v>
      </c>
      <c r="C5" s="881"/>
      <c r="D5" s="881"/>
      <c r="E5" s="410">
        <v>10000000</v>
      </c>
      <c r="F5" s="410">
        <f>H5-E5</f>
        <v>2120631</v>
      </c>
      <c r="G5" s="410">
        <v>2120631</v>
      </c>
      <c r="H5" s="476">
        <f>E5+G5</f>
        <v>12120631</v>
      </c>
      <c r="I5" s="476"/>
      <c r="J5" s="761"/>
    </row>
    <row r="6" spans="1:10" ht="21.75" customHeight="1">
      <c r="A6" s="409" t="s">
        <v>13</v>
      </c>
      <c r="B6" s="881" t="s">
        <v>414</v>
      </c>
      <c r="C6" s="881"/>
      <c r="D6" s="881"/>
      <c r="E6" s="410">
        <v>1500000</v>
      </c>
      <c r="F6" s="410">
        <f t="shared" ref="F6:F19" si="0">H6-E6</f>
        <v>0</v>
      </c>
      <c r="G6" s="410">
        <f t="shared" ref="G6:G25" si="1">H6-E6-F6</f>
        <v>0</v>
      </c>
      <c r="H6" s="476">
        <v>1500000</v>
      </c>
      <c r="I6" s="476"/>
      <c r="J6" s="761"/>
    </row>
    <row r="7" spans="1:10" ht="21.75" customHeight="1">
      <c r="A7" s="409" t="s">
        <v>16</v>
      </c>
      <c r="B7" s="881" t="s">
        <v>415</v>
      </c>
      <c r="C7" s="881"/>
      <c r="D7" s="881"/>
      <c r="E7" s="410">
        <v>900000</v>
      </c>
      <c r="F7" s="410">
        <f t="shared" si="0"/>
        <v>0</v>
      </c>
      <c r="G7" s="410">
        <f t="shared" si="1"/>
        <v>0</v>
      </c>
      <c r="H7" s="476">
        <v>900000</v>
      </c>
      <c r="I7" s="476"/>
      <c r="J7" s="761"/>
    </row>
    <row r="8" spans="1:10" ht="21.75" customHeight="1">
      <c r="A8" s="409" t="s">
        <v>19</v>
      </c>
      <c r="B8" s="881" t="s">
        <v>416</v>
      </c>
      <c r="C8" s="881"/>
      <c r="D8" s="881"/>
      <c r="E8" s="410">
        <v>3000000</v>
      </c>
      <c r="F8" s="410">
        <f t="shared" si="0"/>
        <v>0</v>
      </c>
      <c r="G8" s="410">
        <f t="shared" si="1"/>
        <v>0</v>
      </c>
      <c r="H8" s="476">
        <v>3000000</v>
      </c>
      <c r="I8" s="476"/>
      <c r="J8" s="761"/>
    </row>
    <row r="9" spans="1:10" ht="21.75" customHeight="1">
      <c r="A9" s="409" t="s">
        <v>22</v>
      </c>
      <c r="B9" s="889" t="s">
        <v>417</v>
      </c>
      <c r="C9" s="889"/>
      <c r="D9" s="889"/>
      <c r="E9" s="411">
        <v>500000</v>
      </c>
      <c r="F9" s="410">
        <f t="shared" si="0"/>
        <v>0</v>
      </c>
      <c r="G9" s="410">
        <f t="shared" si="1"/>
        <v>0</v>
      </c>
      <c r="H9" s="476">
        <v>500000</v>
      </c>
      <c r="I9" s="476"/>
      <c r="J9" s="761"/>
    </row>
    <row r="10" spans="1:10" ht="29.25" customHeight="1">
      <c r="A10" s="409" t="s">
        <v>25</v>
      </c>
      <c r="B10" s="889" t="s">
        <v>418</v>
      </c>
      <c r="C10" s="889"/>
      <c r="D10" s="889"/>
      <c r="E10" s="411">
        <v>600000</v>
      </c>
      <c r="F10" s="410">
        <f t="shared" si="0"/>
        <v>0</v>
      </c>
      <c r="G10" s="410">
        <f t="shared" si="1"/>
        <v>0</v>
      </c>
      <c r="H10" s="476">
        <v>600000</v>
      </c>
      <c r="I10" s="476"/>
      <c r="J10" s="761"/>
    </row>
    <row r="11" spans="1:10" ht="21.75" customHeight="1">
      <c r="A11" s="409" t="s">
        <v>28</v>
      </c>
      <c r="B11" s="889" t="s">
        <v>419</v>
      </c>
      <c r="C11" s="889"/>
      <c r="D11" s="889"/>
      <c r="E11" s="411">
        <v>300000</v>
      </c>
      <c r="F11" s="410">
        <f t="shared" si="0"/>
        <v>0</v>
      </c>
      <c r="G11" s="410">
        <f t="shared" si="1"/>
        <v>0</v>
      </c>
      <c r="H11" s="476">
        <v>300000</v>
      </c>
      <c r="I11" s="476"/>
      <c r="J11" s="761"/>
    </row>
    <row r="12" spans="1:10" ht="21.75" customHeight="1">
      <c r="A12" s="409" t="s">
        <v>31</v>
      </c>
      <c r="B12" s="881" t="s">
        <v>661</v>
      </c>
      <c r="C12" s="881"/>
      <c r="D12" s="881"/>
      <c r="E12" s="410">
        <v>50000</v>
      </c>
      <c r="F12" s="410">
        <f t="shared" si="0"/>
        <v>0</v>
      </c>
      <c r="G12" s="410">
        <f t="shared" si="1"/>
        <v>0</v>
      </c>
      <c r="H12" s="476">
        <v>50000</v>
      </c>
      <c r="I12" s="476" t="s">
        <v>861</v>
      </c>
      <c r="J12" s="761"/>
    </row>
    <row r="13" spans="1:10" ht="21.75" customHeight="1">
      <c r="A13" s="409" t="s">
        <v>34</v>
      </c>
      <c r="B13" s="881" t="s">
        <v>420</v>
      </c>
      <c r="C13" s="881"/>
      <c r="D13" s="881"/>
      <c r="E13" s="410">
        <v>5000000</v>
      </c>
      <c r="F13" s="410">
        <v>25000000</v>
      </c>
      <c r="G13" s="410">
        <f t="shared" si="1"/>
        <v>0</v>
      </c>
      <c r="H13" s="476">
        <v>30000000</v>
      </c>
      <c r="I13" s="476"/>
      <c r="J13" s="761"/>
    </row>
    <row r="14" spans="1:10" ht="21.75" customHeight="1">
      <c r="A14" s="409" t="s">
        <v>37</v>
      </c>
      <c r="B14" s="881" t="s">
        <v>421</v>
      </c>
      <c r="C14" s="881"/>
      <c r="D14" s="881"/>
      <c r="E14" s="410">
        <v>1300000</v>
      </c>
      <c r="F14" s="410">
        <f t="shared" si="0"/>
        <v>0</v>
      </c>
      <c r="G14" s="410">
        <f t="shared" si="1"/>
        <v>0</v>
      </c>
      <c r="H14" s="476">
        <v>1300000</v>
      </c>
      <c r="I14" s="476"/>
      <c r="J14" s="761"/>
    </row>
    <row r="15" spans="1:10" ht="30" customHeight="1">
      <c r="A15" s="409" t="s">
        <v>39</v>
      </c>
      <c r="B15" s="881" t="s">
        <v>654</v>
      </c>
      <c r="C15" s="881"/>
      <c r="D15" s="881"/>
      <c r="E15" s="412">
        <v>231022279</v>
      </c>
      <c r="F15" s="410">
        <f t="shared" si="0"/>
        <v>3542729</v>
      </c>
      <c r="G15" s="410">
        <v>3542729</v>
      </c>
      <c r="H15" s="476">
        <f>E15+G15</f>
        <v>234565008</v>
      </c>
      <c r="I15" s="476"/>
      <c r="J15" s="761"/>
    </row>
    <row r="16" spans="1:10" ht="30" customHeight="1">
      <c r="A16" s="409" t="s">
        <v>41</v>
      </c>
      <c r="B16" s="881" t="s">
        <v>655</v>
      </c>
      <c r="C16" s="881"/>
      <c r="D16" s="881"/>
      <c r="E16" s="412">
        <v>132069000</v>
      </c>
      <c r="F16" s="410">
        <v>-700000</v>
      </c>
      <c r="G16" s="410">
        <f t="shared" si="1"/>
        <v>0</v>
      </c>
      <c r="H16" s="476">
        <v>131369000</v>
      </c>
      <c r="I16" s="476"/>
      <c r="J16" s="761"/>
    </row>
    <row r="17" spans="1:11" ht="21.75" customHeight="1">
      <c r="A17" s="409" t="s">
        <v>43</v>
      </c>
      <c r="B17" s="881" t="s">
        <v>656</v>
      </c>
      <c r="C17" s="881"/>
      <c r="D17" s="881"/>
      <c r="E17" s="412">
        <v>11944525</v>
      </c>
      <c r="F17" s="410">
        <f t="shared" si="0"/>
        <v>0</v>
      </c>
      <c r="G17" s="410">
        <f t="shared" si="1"/>
        <v>0</v>
      </c>
      <c r="H17" s="476">
        <v>11944525</v>
      </c>
      <c r="I17" s="476"/>
      <c r="J17" s="761"/>
    </row>
    <row r="18" spans="1:11" ht="21.75" customHeight="1">
      <c r="A18" s="409" t="s">
        <v>45</v>
      </c>
      <c r="B18" s="883" t="s">
        <v>657</v>
      </c>
      <c r="C18" s="883"/>
      <c r="D18" s="883"/>
      <c r="E18" s="412">
        <v>26162980</v>
      </c>
      <c r="F18" s="410">
        <f t="shared" si="0"/>
        <v>0</v>
      </c>
      <c r="G18" s="410">
        <f t="shared" si="1"/>
        <v>0</v>
      </c>
      <c r="H18" s="476">
        <v>26162980</v>
      </c>
      <c r="I18" s="476"/>
      <c r="J18" s="761"/>
    </row>
    <row r="19" spans="1:11" ht="21.75" customHeight="1">
      <c r="A19" s="409" t="s">
        <v>47</v>
      </c>
      <c r="B19" s="883" t="s">
        <v>658</v>
      </c>
      <c r="C19" s="883"/>
      <c r="D19" s="883"/>
      <c r="E19" s="412">
        <v>8348400</v>
      </c>
      <c r="F19" s="410">
        <f t="shared" si="0"/>
        <v>0</v>
      </c>
      <c r="G19" s="410">
        <f t="shared" si="1"/>
        <v>0</v>
      </c>
      <c r="H19" s="476">
        <v>8348400</v>
      </c>
      <c r="I19" s="476"/>
      <c r="J19" s="761"/>
    </row>
    <row r="20" spans="1:11" ht="21.75" customHeight="1">
      <c r="A20" s="409" t="s">
        <v>49</v>
      </c>
      <c r="B20" s="883" t="s">
        <v>1031</v>
      </c>
      <c r="C20" s="883"/>
      <c r="D20" s="883"/>
      <c r="E20" s="412"/>
      <c r="F20" s="410"/>
      <c r="G20" s="410">
        <v>200000</v>
      </c>
      <c r="H20" s="476">
        <v>20000</v>
      </c>
      <c r="I20" s="476"/>
      <c r="J20" s="761"/>
    </row>
    <row r="21" spans="1:11" ht="21.75" customHeight="1">
      <c r="A21" s="409" t="s">
        <v>51</v>
      </c>
      <c r="B21" s="883" t="s">
        <v>1032</v>
      </c>
      <c r="C21" s="883"/>
      <c r="D21" s="883"/>
      <c r="E21" s="412"/>
      <c r="F21" s="410"/>
      <c r="G21" s="410">
        <v>6536420</v>
      </c>
      <c r="H21" s="476">
        <v>6536420</v>
      </c>
      <c r="I21" s="476"/>
      <c r="J21" s="761"/>
    </row>
    <row r="22" spans="1:11" s="474" customFormat="1" ht="21.75" customHeight="1">
      <c r="A22" s="207" t="s">
        <v>54</v>
      </c>
      <c r="B22" s="880" t="s">
        <v>224</v>
      </c>
      <c r="C22" s="880"/>
      <c r="D22" s="880"/>
      <c r="E22" s="413">
        <f>SUM(E5+E6+E7+E8+E12+E13+E14+E15+E16+E17+E18+E19)</f>
        <v>431297184</v>
      </c>
      <c r="F22" s="762">
        <v>25700000</v>
      </c>
      <c r="G22" s="762">
        <f>SUM(G5:G21)</f>
        <v>12399780</v>
      </c>
      <c r="H22" s="852">
        <v>469396964</v>
      </c>
      <c r="I22" s="852">
        <v>332441939</v>
      </c>
      <c r="J22" s="763"/>
      <c r="K22" s="764" t="s">
        <v>861</v>
      </c>
    </row>
    <row r="23" spans="1:11" ht="21.75" customHeight="1">
      <c r="A23" s="409" t="s">
        <v>57</v>
      </c>
      <c r="B23" s="883" t="s">
        <v>422</v>
      </c>
      <c r="C23" s="883"/>
      <c r="D23" s="883"/>
      <c r="E23" s="412">
        <v>5000000</v>
      </c>
      <c r="F23" s="410">
        <v>1075000</v>
      </c>
      <c r="G23" s="410">
        <f t="shared" si="1"/>
        <v>1340000</v>
      </c>
      <c r="H23" s="476">
        <v>7415000</v>
      </c>
      <c r="I23" s="476">
        <v>6815000</v>
      </c>
      <c r="J23" s="761"/>
    </row>
    <row r="24" spans="1:11" ht="21.75" customHeight="1">
      <c r="A24" s="409" t="s">
        <v>60</v>
      </c>
      <c r="B24" s="884" t="s">
        <v>1033</v>
      </c>
      <c r="C24" s="885"/>
      <c r="D24" s="886"/>
      <c r="E24" s="412"/>
      <c r="F24" s="410"/>
      <c r="G24" s="410">
        <f t="shared" si="1"/>
        <v>8000000</v>
      </c>
      <c r="H24" s="476">
        <v>8000000</v>
      </c>
      <c r="I24" s="476">
        <v>8000000</v>
      </c>
      <c r="J24" s="761"/>
    </row>
    <row r="25" spans="1:11" ht="21.75" customHeight="1">
      <c r="A25" s="409" t="s">
        <v>62</v>
      </c>
      <c r="B25" s="884" t="s">
        <v>1034</v>
      </c>
      <c r="C25" s="885"/>
      <c r="D25" s="886"/>
      <c r="E25" s="412"/>
      <c r="F25" s="410"/>
      <c r="G25" s="410">
        <f t="shared" si="1"/>
        <v>7191648</v>
      </c>
      <c r="H25" s="476">
        <v>7191648</v>
      </c>
      <c r="I25" s="476">
        <v>7191648</v>
      </c>
      <c r="J25" s="761"/>
    </row>
    <row r="26" spans="1:11" s="474" customFormat="1" ht="21.75" customHeight="1">
      <c r="A26" s="207" t="s">
        <v>64</v>
      </c>
      <c r="B26" s="882" t="s">
        <v>1021</v>
      </c>
      <c r="C26" s="882"/>
      <c r="D26" s="882"/>
      <c r="E26" s="413">
        <f>SUM(E23)</f>
        <v>5000000</v>
      </c>
      <c r="F26" s="762">
        <f>SUM(F23:F25)</f>
        <v>1075000</v>
      </c>
      <c r="G26" s="762">
        <f t="shared" ref="G26:I26" si="2">SUM(G23:G25)</f>
        <v>16531648</v>
      </c>
      <c r="H26" s="770">
        <f t="shared" si="2"/>
        <v>22606648</v>
      </c>
      <c r="I26" s="771">
        <f t="shared" si="2"/>
        <v>22006648</v>
      </c>
      <c r="J26" s="763"/>
    </row>
    <row r="27" spans="1:11" s="766" customFormat="1" ht="24" customHeight="1">
      <c r="A27" s="878" t="s">
        <v>625</v>
      </c>
      <c r="B27" s="878"/>
      <c r="C27" s="878"/>
      <c r="D27" s="878"/>
      <c r="E27" s="413">
        <f>SUM(E22+E26)</f>
        <v>436297184</v>
      </c>
      <c r="F27" s="762">
        <v>26775000</v>
      </c>
      <c r="G27" s="762">
        <f>G22+G26</f>
        <v>28931428</v>
      </c>
      <c r="H27" s="613">
        <f>SUM(H22+H26)</f>
        <v>492003612</v>
      </c>
      <c r="I27" s="613">
        <f>SUM(I22+I26)</f>
        <v>354448587</v>
      </c>
      <c r="J27" s="765"/>
    </row>
    <row r="28" spans="1:11">
      <c r="A28" s="33"/>
      <c r="B28" s="879"/>
      <c r="C28" s="879"/>
      <c r="D28" s="879"/>
      <c r="E28" s="34"/>
      <c r="F28" s="34"/>
      <c r="G28" s="34"/>
    </row>
  </sheetData>
  <mergeCells count="26">
    <mergeCell ref="A1:J1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7:D27"/>
    <mergeCell ref="B28:D28"/>
    <mergeCell ref="B22:D22"/>
    <mergeCell ref="B15:D15"/>
    <mergeCell ref="B16:D16"/>
    <mergeCell ref="B17:D17"/>
    <mergeCell ref="B26:D26"/>
    <mergeCell ref="B18:D18"/>
    <mergeCell ref="B23:D23"/>
    <mergeCell ref="B19:D19"/>
    <mergeCell ref="B24:D24"/>
    <mergeCell ref="B25:D25"/>
    <mergeCell ref="B21:D21"/>
    <mergeCell ref="B20:D20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2" orientation="landscape" horizontalDpi="4294967293" verticalDpi="4294967293" r:id="rId1"/>
  <headerFooter scaleWithDoc="0" alignWithMargins="0">
    <oddHeader>&amp;R&amp;"Times New Roman,Félkövér dőlt"&amp;11 5. melléklet a 22/2017.(XII.04.)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view="pageLayout" workbookViewId="0">
      <selection sqref="A1:H1"/>
    </sheetView>
  </sheetViews>
  <sheetFormatPr defaultColWidth="10.6640625" defaultRowHeight="13.2"/>
  <cols>
    <col min="1" max="1" width="11.33203125" style="195" customWidth="1"/>
    <col min="2" max="2" width="46" style="195" customWidth="1"/>
    <col min="3" max="3" width="28.44140625" style="195" customWidth="1"/>
    <col min="4" max="4" width="12.33203125" style="293" customWidth="1"/>
    <col min="5" max="5" width="14.21875" style="293" bestFit="1" customWidth="1"/>
    <col min="6" max="6" width="13.44140625" style="293" customWidth="1"/>
    <col min="7" max="7" width="10.6640625" style="195"/>
    <col min="8" max="8" width="13.21875" style="756" customWidth="1"/>
    <col min="9" max="253" width="10.6640625" style="195"/>
    <col min="254" max="254" width="7" style="195" customWidth="1"/>
    <col min="255" max="255" width="34.44140625" style="195" customWidth="1"/>
    <col min="256" max="256" width="11" style="195" customWidth="1"/>
    <col min="257" max="257" width="16.77734375" style="195" customWidth="1"/>
    <col min="258" max="258" width="17.21875" style="195" customWidth="1"/>
    <col min="259" max="259" width="15.33203125" style="195" customWidth="1"/>
    <col min="260" max="260" width="15.44140625" style="195" customWidth="1"/>
    <col min="261" max="509" width="10.6640625" style="195"/>
    <col min="510" max="510" width="7" style="195" customWidth="1"/>
    <col min="511" max="511" width="34.44140625" style="195" customWidth="1"/>
    <col min="512" max="512" width="11" style="195" customWidth="1"/>
    <col min="513" max="513" width="16.77734375" style="195" customWidth="1"/>
    <col min="514" max="514" width="17.21875" style="195" customWidth="1"/>
    <col min="515" max="515" width="15.33203125" style="195" customWidth="1"/>
    <col min="516" max="516" width="15.44140625" style="195" customWidth="1"/>
    <col min="517" max="765" width="10.6640625" style="195"/>
    <col min="766" max="766" width="7" style="195" customWidth="1"/>
    <col min="767" max="767" width="34.44140625" style="195" customWidth="1"/>
    <col min="768" max="768" width="11" style="195" customWidth="1"/>
    <col min="769" max="769" width="16.77734375" style="195" customWidth="1"/>
    <col min="770" max="770" width="17.21875" style="195" customWidth="1"/>
    <col min="771" max="771" width="15.33203125" style="195" customWidth="1"/>
    <col min="772" max="772" width="15.44140625" style="195" customWidth="1"/>
    <col min="773" max="1021" width="10.6640625" style="195"/>
    <col min="1022" max="1022" width="7" style="195" customWidth="1"/>
    <col min="1023" max="1023" width="34.44140625" style="195" customWidth="1"/>
    <col min="1024" max="1024" width="11" style="195" customWidth="1"/>
    <col min="1025" max="1025" width="16.77734375" style="195" customWidth="1"/>
    <col min="1026" max="1026" width="17.21875" style="195" customWidth="1"/>
    <col min="1027" max="1027" width="15.33203125" style="195" customWidth="1"/>
    <col min="1028" max="1028" width="15.44140625" style="195" customWidth="1"/>
    <col min="1029" max="1277" width="10.6640625" style="195"/>
    <col min="1278" max="1278" width="7" style="195" customWidth="1"/>
    <col min="1279" max="1279" width="34.44140625" style="195" customWidth="1"/>
    <col min="1280" max="1280" width="11" style="195" customWidth="1"/>
    <col min="1281" max="1281" width="16.77734375" style="195" customWidth="1"/>
    <col min="1282" max="1282" width="17.21875" style="195" customWidth="1"/>
    <col min="1283" max="1283" width="15.33203125" style="195" customWidth="1"/>
    <col min="1284" max="1284" width="15.44140625" style="195" customWidth="1"/>
    <col min="1285" max="1533" width="10.6640625" style="195"/>
    <col min="1534" max="1534" width="7" style="195" customWidth="1"/>
    <col min="1535" max="1535" width="34.44140625" style="195" customWidth="1"/>
    <col min="1536" max="1536" width="11" style="195" customWidth="1"/>
    <col min="1537" max="1537" width="16.77734375" style="195" customWidth="1"/>
    <col min="1538" max="1538" width="17.21875" style="195" customWidth="1"/>
    <col min="1539" max="1539" width="15.33203125" style="195" customWidth="1"/>
    <col min="1540" max="1540" width="15.44140625" style="195" customWidth="1"/>
    <col min="1541" max="1789" width="10.6640625" style="195"/>
    <col min="1790" max="1790" width="7" style="195" customWidth="1"/>
    <col min="1791" max="1791" width="34.44140625" style="195" customWidth="1"/>
    <col min="1792" max="1792" width="11" style="195" customWidth="1"/>
    <col min="1793" max="1793" width="16.77734375" style="195" customWidth="1"/>
    <col min="1794" max="1794" width="17.21875" style="195" customWidth="1"/>
    <col min="1795" max="1795" width="15.33203125" style="195" customWidth="1"/>
    <col min="1796" max="1796" width="15.44140625" style="195" customWidth="1"/>
    <col min="1797" max="2045" width="10.6640625" style="195"/>
    <col min="2046" max="2046" width="7" style="195" customWidth="1"/>
    <col min="2047" max="2047" width="34.44140625" style="195" customWidth="1"/>
    <col min="2048" max="2048" width="11" style="195" customWidth="1"/>
    <col min="2049" max="2049" width="16.77734375" style="195" customWidth="1"/>
    <col min="2050" max="2050" width="17.21875" style="195" customWidth="1"/>
    <col min="2051" max="2051" width="15.33203125" style="195" customWidth="1"/>
    <col min="2052" max="2052" width="15.44140625" style="195" customWidth="1"/>
    <col min="2053" max="2301" width="10.6640625" style="195"/>
    <col min="2302" max="2302" width="7" style="195" customWidth="1"/>
    <col min="2303" max="2303" width="34.44140625" style="195" customWidth="1"/>
    <col min="2304" max="2304" width="11" style="195" customWidth="1"/>
    <col min="2305" max="2305" width="16.77734375" style="195" customWidth="1"/>
    <col min="2306" max="2306" width="17.21875" style="195" customWidth="1"/>
    <col min="2307" max="2307" width="15.33203125" style="195" customWidth="1"/>
    <col min="2308" max="2308" width="15.44140625" style="195" customWidth="1"/>
    <col min="2309" max="2557" width="10.6640625" style="195"/>
    <col min="2558" max="2558" width="7" style="195" customWidth="1"/>
    <col min="2559" max="2559" width="34.44140625" style="195" customWidth="1"/>
    <col min="2560" max="2560" width="11" style="195" customWidth="1"/>
    <col min="2561" max="2561" width="16.77734375" style="195" customWidth="1"/>
    <col min="2562" max="2562" width="17.21875" style="195" customWidth="1"/>
    <col min="2563" max="2563" width="15.33203125" style="195" customWidth="1"/>
    <col min="2564" max="2564" width="15.44140625" style="195" customWidth="1"/>
    <col min="2565" max="2813" width="10.6640625" style="195"/>
    <col min="2814" max="2814" width="7" style="195" customWidth="1"/>
    <col min="2815" max="2815" width="34.44140625" style="195" customWidth="1"/>
    <col min="2816" max="2816" width="11" style="195" customWidth="1"/>
    <col min="2817" max="2817" width="16.77734375" style="195" customWidth="1"/>
    <col min="2818" max="2818" width="17.21875" style="195" customWidth="1"/>
    <col min="2819" max="2819" width="15.33203125" style="195" customWidth="1"/>
    <col min="2820" max="2820" width="15.44140625" style="195" customWidth="1"/>
    <col min="2821" max="3069" width="10.6640625" style="195"/>
    <col min="3070" max="3070" width="7" style="195" customWidth="1"/>
    <col min="3071" max="3071" width="34.44140625" style="195" customWidth="1"/>
    <col min="3072" max="3072" width="11" style="195" customWidth="1"/>
    <col min="3073" max="3073" width="16.77734375" style="195" customWidth="1"/>
    <col min="3074" max="3074" width="17.21875" style="195" customWidth="1"/>
    <col min="3075" max="3075" width="15.33203125" style="195" customWidth="1"/>
    <col min="3076" max="3076" width="15.44140625" style="195" customWidth="1"/>
    <col min="3077" max="3325" width="10.6640625" style="195"/>
    <col min="3326" max="3326" width="7" style="195" customWidth="1"/>
    <col min="3327" max="3327" width="34.44140625" style="195" customWidth="1"/>
    <col min="3328" max="3328" width="11" style="195" customWidth="1"/>
    <col min="3329" max="3329" width="16.77734375" style="195" customWidth="1"/>
    <col min="3330" max="3330" width="17.21875" style="195" customWidth="1"/>
    <col min="3331" max="3331" width="15.33203125" style="195" customWidth="1"/>
    <col min="3332" max="3332" width="15.44140625" style="195" customWidth="1"/>
    <col min="3333" max="3581" width="10.6640625" style="195"/>
    <col min="3582" max="3582" width="7" style="195" customWidth="1"/>
    <col min="3583" max="3583" width="34.44140625" style="195" customWidth="1"/>
    <col min="3584" max="3584" width="11" style="195" customWidth="1"/>
    <col min="3585" max="3585" width="16.77734375" style="195" customWidth="1"/>
    <col min="3586" max="3586" width="17.21875" style="195" customWidth="1"/>
    <col min="3587" max="3587" width="15.33203125" style="195" customWidth="1"/>
    <col min="3588" max="3588" width="15.44140625" style="195" customWidth="1"/>
    <col min="3589" max="3837" width="10.6640625" style="195"/>
    <col min="3838" max="3838" width="7" style="195" customWidth="1"/>
    <col min="3839" max="3839" width="34.44140625" style="195" customWidth="1"/>
    <col min="3840" max="3840" width="11" style="195" customWidth="1"/>
    <col min="3841" max="3841" width="16.77734375" style="195" customWidth="1"/>
    <col min="3842" max="3842" width="17.21875" style="195" customWidth="1"/>
    <col min="3843" max="3843" width="15.33203125" style="195" customWidth="1"/>
    <col min="3844" max="3844" width="15.44140625" style="195" customWidth="1"/>
    <col min="3845" max="4093" width="10.6640625" style="195"/>
    <col min="4094" max="4094" width="7" style="195" customWidth="1"/>
    <col min="4095" max="4095" width="34.44140625" style="195" customWidth="1"/>
    <col min="4096" max="4096" width="11" style="195" customWidth="1"/>
    <col min="4097" max="4097" width="16.77734375" style="195" customWidth="1"/>
    <col min="4098" max="4098" width="17.21875" style="195" customWidth="1"/>
    <col min="4099" max="4099" width="15.33203125" style="195" customWidth="1"/>
    <col min="4100" max="4100" width="15.44140625" style="195" customWidth="1"/>
    <col min="4101" max="4349" width="10.6640625" style="195"/>
    <col min="4350" max="4350" width="7" style="195" customWidth="1"/>
    <col min="4351" max="4351" width="34.44140625" style="195" customWidth="1"/>
    <col min="4352" max="4352" width="11" style="195" customWidth="1"/>
    <col min="4353" max="4353" width="16.77734375" style="195" customWidth="1"/>
    <col min="4354" max="4354" width="17.21875" style="195" customWidth="1"/>
    <col min="4355" max="4355" width="15.33203125" style="195" customWidth="1"/>
    <col min="4356" max="4356" width="15.44140625" style="195" customWidth="1"/>
    <col min="4357" max="4605" width="10.6640625" style="195"/>
    <col min="4606" max="4606" width="7" style="195" customWidth="1"/>
    <col min="4607" max="4607" width="34.44140625" style="195" customWidth="1"/>
    <col min="4608" max="4608" width="11" style="195" customWidth="1"/>
    <col min="4609" max="4609" width="16.77734375" style="195" customWidth="1"/>
    <col min="4610" max="4610" width="17.21875" style="195" customWidth="1"/>
    <col min="4611" max="4611" width="15.33203125" style="195" customWidth="1"/>
    <col min="4612" max="4612" width="15.44140625" style="195" customWidth="1"/>
    <col min="4613" max="4861" width="10.6640625" style="195"/>
    <col min="4862" max="4862" width="7" style="195" customWidth="1"/>
    <col min="4863" max="4863" width="34.44140625" style="195" customWidth="1"/>
    <col min="4864" max="4864" width="11" style="195" customWidth="1"/>
    <col min="4865" max="4865" width="16.77734375" style="195" customWidth="1"/>
    <col min="4866" max="4866" width="17.21875" style="195" customWidth="1"/>
    <col min="4867" max="4867" width="15.33203125" style="195" customWidth="1"/>
    <col min="4868" max="4868" width="15.44140625" style="195" customWidth="1"/>
    <col min="4869" max="5117" width="10.6640625" style="195"/>
    <col min="5118" max="5118" width="7" style="195" customWidth="1"/>
    <col min="5119" max="5119" width="34.44140625" style="195" customWidth="1"/>
    <col min="5120" max="5120" width="11" style="195" customWidth="1"/>
    <col min="5121" max="5121" width="16.77734375" style="195" customWidth="1"/>
    <col min="5122" max="5122" width="17.21875" style="195" customWidth="1"/>
    <col min="5123" max="5123" width="15.33203125" style="195" customWidth="1"/>
    <col min="5124" max="5124" width="15.44140625" style="195" customWidth="1"/>
    <col min="5125" max="5373" width="10.6640625" style="195"/>
    <col min="5374" max="5374" width="7" style="195" customWidth="1"/>
    <col min="5375" max="5375" width="34.44140625" style="195" customWidth="1"/>
    <col min="5376" max="5376" width="11" style="195" customWidth="1"/>
    <col min="5377" max="5377" width="16.77734375" style="195" customWidth="1"/>
    <col min="5378" max="5378" width="17.21875" style="195" customWidth="1"/>
    <col min="5379" max="5379" width="15.33203125" style="195" customWidth="1"/>
    <col min="5380" max="5380" width="15.44140625" style="195" customWidth="1"/>
    <col min="5381" max="5629" width="10.6640625" style="195"/>
    <col min="5630" max="5630" width="7" style="195" customWidth="1"/>
    <col min="5631" max="5631" width="34.44140625" style="195" customWidth="1"/>
    <col min="5632" max="5632" width="11" style="195" customWidth="1"/>
    <col min="5633" max="5633" width="16.77734375" style="195" customWidth="1"/>
    <col min="5634" max="5634" width="17.21875" style="195" customWidth="1"/>
    <col min="5635" max="5635" width="15.33203125" style="195" customWidth="1"/>
    <col min="5636" max="5636" width="15.44140625" style="195" customWidth="1"/>
    <col min="5637" max="5885" width="10.6640625" style="195"/>
    <col min="5886" max="5886" width="7" style="195" customWidth="1"/>
    <col min="5887" max="5887" width="34.44140625" style="195" customWidth="1"/>
    <col min="5888" max="5888" width="11" style="195" customWidth="1"/>
    <col min="5889" max="5889" width="16.77734375" style="195" customWidth="1"/>
    <col min="5890" max="5890" width="17.21875" style="195" customWidth="1"/>
    <col min="5891" max="5891" width="15.33203125" style="195" customWidth="1"/>
    <col min="5892" max="5892" width="15.44140625" style="195" customWidth="1"/>
    <col min="5893" max="6141" width="10.6640625" style="195"/>
    <col min="6142" max="6142" width="7" style="195" customWidth="1"/>
    <col min="6143" max="6143" width="34.44140625" style="195" customWidth="1"/>
    <col min="6144" max="6144" width="11" style="195" customWidth="1"/>
    <col min="6145" max="6145" width="16.77734375" style="195" customWidth="1"/>
    <col min="6146" max="6146" width="17.21875" style="195" customWidth="1"/>
    <col min="6147" max="6147" width="15.33203125" style="195" customWidth="1"/>
    <col min="6148" max="6148" width="15.44140625" style="195" customWidth="1"/>
    <col min="6149" max="6397" width="10.6640625" style="195"/>
    <col min="6398" max="6398" width="7" style="195" customWidth="1"/>
    <col min="6399" max="6399" width="34.44140625" style="195" customWidth="1"/>
    <col min="6400" max="6400" width="11" style="195" customWidth="1"/>
    <col min="6401" max="6401" width="16.77734375" style="195" customWidth="1"/>
    <col min="6402" max="6402" width="17.21875" style="195" customWidth="1"/>
    <col min="6403" max="6403" width="15.33203125" style="195" customWidth="1"/>
    <col min="6404" max="6404" width="15.44140625" style="195" customWidth="1"/>
    <col min="6405" max="6653" width="10.6640625" style="195"/>
    <col min="6654" max="6654" width="7" style="195" customWidth="1"/>
    <col min="6655" max="6655" width="34.44140625" style="195" customWidth="1"/>
    <col min="6656" max="6656" width="11" style="195" customWidth="1"/>
    <col min="6657" max="6657" width="16.77734375" style="195" customWidth="1"/>
    <col min="6658" max="6658" width="17.21875" style="195" customWidth="1"/>
    <col min="6659" max="6659" width="15.33203125" style="195" customWidth="1"/>
    <col min="6660" max="6660" width="15.44140625" style="195" customWidth="1"/>
    <col min="6661" max="6909" width="10.6640625" style="195"/>
    <col min="6910" max="6910" width="7" style="195" customWidth="1"/>
    <col min="6911" max="6911" width="34.44140625" style="195" customWidth="1"/>
    <col min="6912" max="6912" width="11" style="195" customWidth="1"/>
    <col min="6913" max="6913" width="16.77734375" style="195" customWidth="1"/>
    <col min="6914" max="6914" width="17.21875" style="195" customWidth="1"/>
    <col min="6915" max="6915" width="15.33203125" style="195" customWidth="1"/>
    <col min="6916" max="6916" width="15.44140625" style="195" customWidth="1"/>
    <col min="6917" max="7165" width="10.6640625" style="195"/>
    <col min="7166" max="7166" width="7" style="195" customWidth="1"/>
    <col min="7167" max="7167" width="34.44140625" style="195" customWidth="1"/>
    <col min="7168" max="7168" width="11" style="195" customWidth="1"/>
    <col min="7169" max="7169" width="16.77734375" style="195" customWidth="1"/>
    <col min="7170" max="7170" width="17.21875" style="195" customWidth="1"/>
    <col min="7171" max="7171" width="15.33203125" style="195" customWidth="1"/>
    <col min="7172" max="7172" width="15.44140625" style="195" customWidth="1"/>
    <col min="7173" max="7421" width="10.6640625" style="195"/>
    <col min="7422" max="7422" width="7" style="195" customWidth="1"/>
    <col min="7423" max="7423" width="34.44140625" style="195" customWidth="1"/>
    <col min="7424" max="7424" width="11" style="195" customWidth="1"/>
    <col min="7425" max="7425" width="16.77734375" style="195" customWidth="1"/>
    <col min="7426" max="7426" width="17.21875" style="195" customWidth="1"/>
    <col min="7427" max="7427" width="15.33203125" style="195" customWidth="1"/>
    <col min="7428" max="7428" width="15.44140625" style="195" customWidth="1"/>
    <col min="7429" max="7677" width="10.6640625" style="195"/>
    <col min="7678" max="7678" width="7" style="195" customWidth="1"/>
    <col min="7679" max="7679" width="34.44140625" style="195" customWidth="1"/>
    <col min="7680" max="7680" width="11" style="195" customWidth="1"/>
    <col min="7681" max="7681" width="16.77734375" style="195" customWidth="1"/>
    <col min="7682" max="7682" width="17.21875" style="195" customWidth="1"/>
    <col min="7683" max="7683" width="15.33203125" style="195" customWidth="1"/>
    <col min="7684" max="7684" width="15.44140625" style="195" customWidth="1"/>
    <col min="7685" max="7933" width="10.6640625" style="195"/>
    <col min="7934" max="7934" width="7" style="195" customWidth="1"/>
    <col min="7935" max="7935" width="34.44140625" style="195" customWidth="1"/>
    <col min="7936" max="7936" width="11" style="195" customWidth="1"/>
    <col min="7937" max="7937" width="16.77734375" style="195" customWidth="1"/>
    <col min="7938" max="7938" width="17.21875" style="195" customWidth="1"/>
    <col min="7939" max="7939" width="15.33203125" style="195" customWidth="1"/>
    <col min="7940" max="7940" width="15.44140625" style="195" customWidth="1"/>
    <col min="7941" max="8189" width="10.6640625" style="195"/>
    <col min="8190" max="8190" width="7" style="195" customWidth="1"/>
    <col min="8191" max="8191" width="34.44140625" style="195" customWidth="1"/>
    <col min="8192" max="8192" width="11" style="195" customWidth="1"/>
    <col min="8193" max="8193" width="16.77734375" style="195" customWidth="1"/>
    <col min="8194" max="8194" width="17.21875" style="195" customWidth="1"/>
    <col min="8195" max="8195" width="15.33203125" style="195" customWidth="1"/>
    <col min="8196" max="8196" width="15.44140625" style="195" customWidth="1"/>
    <col min="8197" max="8445" width="10.6640625" style="195"/>
    <col min="8446" max="8446" width="7" style="195" customWidth="1"/>
    <col min="8447" max="8447" width="34.44140625" style="195" customWidth="1"/>
    <col min="8448" max="8448" width="11" style="195" customWidth="1"/>
    <col min="8449" max="8449" width="16.77734375" style="195" customWidth="1"/>
    <col min="8450" max="8450" width="17.21875" style="195" customWidth="1"/>
    <col min="8451" max="8451" width="15.33203125" style="195" customWidth="1"/>
    <col min="8452" max="8452" width="15.44140625" style="195" customWidth="1"/>
    <col min="8453" max="8701" width="10.6640625" style="195"/>
    <col min="8702" max="8702" width="7" style="195" customWidth="1"/>
    <col min="8703" max="8703" width="34.44140625" style="195" customWidth="1"/>
    <col min="8704" max="8704" width="11" style="195" customWidth="1"/>
    <col min="8705" max="8705" width="16.77734375" style="195" customWidth="1"/>
    <col min="8706" max="8706" width="17.21875" style="195" customWidth="1"/>
    <col min="8707" max="8707" width="15.33203125" style="195" customWidth="1"/>
    <col min="8708" max="8708" width="15.44140625" style="195" customWidth="1"/>
    <col min="8709" max="8957" width="10.6640625" style="195"/>
    <col min="8958" max="8958" width="7" style="195" customWidth="1"/>
    <col min="8959" max="8959" width="34.44140625" style="195" customWidth="1"/>
    <col min="8960" max="8960" width="11" style="195" customWidth="1"/>
    <col min="8961" max="8961" width="16.77734375" style="195" customWidth="1"/>
    <col min="8962" max="8962" width="17.21875" style="195" customWidth="1"/>
    <col min="8963" max="8963" width="15.33203125" style="195" customWidth="1"/>
    <col min="8964" max="8964" width="15.44140625" style="195" customWidth="1"/>
    <col min="8965" max="9213" width="10.6640625" style="195"/>
    <col min="9214" max="9214" width="7" style="195" customWidth="1"/>
    <col min="9215" max="9215" width="34.44140625" style="195" customWidth="1"/>
    <col min="9216" max="9216" width="11" style="195" customWidth="1"/>
    <col min="9217" max="9217" width="16.77734375" style="195" customWidth="1"/>
    <col min="9218" max="9218" width="17.21875" style="195" customWidth="1"/>
    <col min="9219" max="9219" width="15.33203125" style="195" customWidth="1"/>
    <col min="9220" max="9220" width="15.44140625" style="195" customWidth="1"/>
    <col min="9221" max="9469" width="10.6640625" style="195"/>
    <col min="9470" max="9470" width="7" style="195" customWidth="1"/>
    <col min="9471" max="9471" width="34.44140625" style="195" customWidth="1"/>
    <col min="9472" max="9472" width="11" style="195" customWidth="1"/>
    <col min="9473" max="9473" width="16.77734375" style="195" customWidth="1"/>
    <col min="9474" max="9474" width="17.21875" style="195" customWidth="1"/>
    <col min="9475" max="9475" width="15.33203125" style="195" customWidth="1"/>
    <col min="9476" max="9476" width="15.44140625" style="195" customWidth="1"/>
    <col min="9477" max="9725" width="10.6640625" style="195"/>
    <col min="9726" max="9726" width="7" style="195" customWidth="1"/>
    <col min="9727" max="9727" width="34.44140625" style="195" customWidth="1"/>
    <col min="9728" max="9728" width="11" style="195" customWidth="1"/>
    <col min="9729" max="9729" width="16.77734375" style="195" customWidth="1"/>
    <col min="9730" max="9730" width="17.21875" style="195" customWidth="1"/>
    <col min="9731" max="9731" width="15.33203125" style="195" customWidth="1"/>
    <col min="9732" max="9732" width="15.44140625" style="195" customWidth="1"/>
    <col min="9733" max="9981" width="10.6640625" style="195"/>
    <col min="9982" max="9982" width="7" style="195" customWidth="1"/>
    <col min="9983" max="9983" width="34.44140625" style="195" customWidth="1"/>
    <col min="9984" max="9984" width="11" style="195" customWidth="1"/>
    <col min="9985" max="9985" width="16.77734375" style="195" customWidth="1"/>
    <col min="9986" max="9986" width="17.21875" style="195" customWidth="1"/>
    <col min="9987" max="9987" width="15.33203125" style="195" customWidth="1"/>
    <col min="9988" max="9988" width="15.44140625" style="195" customWidth="1"/>
    <col min="9989" max="10237" width="10.6640625" style="195"/>
    <col min="10238" max="10238" width="7" style="195" customWidth="1"/>
    <col min="10239" max="10239" width="34.44140625" style="195" customWidth="1"/>
    <col min="10240" max="10240" width="11" style="195" customWidth="1"/>
    <col min="10241" max="10241" width="16.77734375" style="195" customWidth="1"/>
    <col min="10242" max="10242" width="17.21875" style="195" customWidth="1"/>
    <col min="10243" max="10243" width="15.33203125" style="195" customWidth="1"/>
    <col min="10244" max="10244" width="15.44140625" style="195" customWidth="1"/>
    <col min="10245" max="10493" width="10.6640625" style="195"/>
    <col min="10494" max="10494" width="7" style="195" customWidth="1"/>
    <col min="10495" max="10495" width="34.44140625" style="195" customWidth="1"/>
    <col min="10496" max="10496" width="11" style="195" customWidth="1"/>
    <col min="10497" max="10497" width="16.77734375" style="195" customWidth="1"/>
    <col min="10498" max="10498" width="17.21875" style="195" customWidth="1"/>
    <col min="10499" max="10499" width="15.33203125" style="195" customWidth="1"/>
    <col min="10500" max="10500" width="15.44140625" style="195" customWidth="1"/>
    <col min="10501" max="10749" width="10.6640625" style="195"/>
    <col min="10750" max="10750" width="7" style="195" customWidth="1"/>
    <col min="10751" max="10751" width="34.44140625" style="195" customWidth="1"/>
    <col min="10752" max="10752" width="11" style="195" customWidth="1"/>
    <col min="10753" max="10753" width="16.77734375" style="195" customWidth="1"/>
    <col min="10754" max="10754" width="17.21875" style="195" customWidth="1"/>
    <col min="10755" max="10755" width="15.33203125" style="195" customWidth="1"/>
    <col min="10756" max="10756" width="15.44140625" style="195" customWidth="1"/>
    <col min="10757" max="11005" width="10.6640625" style="195"/>
    <col min="11006" max="11006" width="7" style="195" customWidth="1"/>
    <col min="11007" max="11007" width="34.44140625" style="195" customWidth="1"/>
    <col min="11008" max="11008" width="11" style="195" customWidth="1"/>
    <col min="11009" max="11009" width="16.77734375" style="195" customWidth="1"/>
    <col min="11010" max="11010" width="17.21875" style="195" customWidth="1"/>
    <col min="11011" max="11011" width="15.33203125" style="195" customWidth="1"/>
    <col min="11012" max="11012" width="15.44140625" style="195" customWidth="1"/>
    <col min="11013" max="11261" width="10.6640625" style="195"/>
    <col min="11262" max="11262" width="7" style="195" customWidth="1"/>
    <col min="11263" max="11263" width="34.44140625" style="195" customWidth="1"/>
    <col min="11264" max="11264" width="11" style="195" customWidth="1"/>
    <col min="11265" max="11265" width="16.77734375" style="195" customWidth="1"/>
    <col min="11266" max="11266" width="17.21875" style="195" customWidth="1"/>
    <col min="11267" max="11267" width="15.33203125" style="195" customWidth="1"/>
    <col min="11268" max="11268" width="15.44140625" style="195" customWidth="1"/>
    <col min="11269" max="11517" width="10.6640625" style="195"/>
    <col min="11518" max="11518" width="7" style="195" customWidth="1"/>
    <col min="11519" max="11519" width="34.44140625" style="195" customWidth="1"/>
    <col min="11520" max="11520" width="11" style="195" customWidth="1"/>
    <col min="11521" max="11521" width="16.77734375" style="195" customWidth="1"/>
    <col min="11522" max="11522" width="17.21875" style="195" customWidth="1"/>
    <col min="11523" max="11523" width="15.33203125" style="195" customWidth="1"/>
    <col min="11524" max="11524" width="15.44140625" style="195" customWidth="1"/>
    <col min="11525" max="11773" width="10.6640625" style="195"/>
    <col min="11774" max="11774" width="7" style="195" customWidth="1"/>
    <col min="11775" max="11775" width="34.44140625" style="195" customWidth="1"/>
    <col min="11776" max="11776" width="11" style="195" customWidth="1"/>
    <col min="11777" max="11777" width="16.77734375" style="195" customWidth="1"/>
    <col min="11778" max="11778" width="17.21875" style="195" customWidth="1"/>
    <col min="11779" max="11779" width="15.33203125" style="195" customWidth="1"/>
    <col min="11780" max="11780" width="15.44140625" style="195" customWidth="1"/>
    <col min="11781" max="12029" width="10.6640625" style="195"/>
    <col min="12030" max="12030" width="7" style="195" customWidth="1"/>
    <col min="12031" max="12031" width="34.44140625" style="195" customWidth="1"/>
    <col min="12032" max="12032" width="11" style="195" customWidth="1"/>
    <col min="12033" max="12033" width="16.77734375" style="195" customWidth="1"/>
    <col min="12034" max="12034" width="17.21875" style="195" customWidth="1"/>
    <col min="12035" max="12035" width="15.33203125" style="195" customWidth="1"/>
    <col min="12036" max="12036" width="15.44140625" style="195" customWidth="1"/>
    <col min="12037" max="12285" width="10.6640625" style="195"/>
    <col min="12286" max="12286" width="7" style="195" customWidth="1"/>
    <col min="12287" max="12287" width="34.44140625" style="195" customWidth="1"/>
    <col min="12288" max="12288" width="11" style="195" customWidth="1"/>
    <col min="12289" max="12289" width="16.77734375" style="195" customWidth="1"/>
    <col min="12290" max="12290" width="17.21875" style="195" customWidth="1"/>
    <col min="12291" max="12291" width="15.33203125" style="195" customWidth="1"/>
    <col min="12292" max="12292" width="15.44140625" style="195" customWidth="1"/>
    <col min="12293" max="12541" width="10.6640625" style="195"/>
    <col min="12542" max="12542" width="7" style="195" customWidth="1"/>
    <col min="12543" max="12543" width="34.44140625" style="195" customWidth="1"/>
    <col min="12544" max="12544" width="11" style="195" customWidth="1"/>
    <col min="12545" max="12545" width="16.77734375" style="195" customWidth="1"/>
    <col min="12546" max="12546" width="17.21875" style="195" customWidth="1"/>
    <col min="12547" max="12547" width="15.33203125" style="195" customWidth="1"/>
    <col min="12548" max="12548" width="15.44140625" style="195" customWidth="1"/>
    <col min="12549" max="12797" width="10.6640625" style="195"/>
    <col min="12798" max="12798" width="7" style="195" customWidth="1"/>
    <col min="12799" max="12799" width="34.44140625" style="195" customWidth="1"/>
    <col min="12800" max="12800" width="11" style="195" customWidth="1"/>
    <col min="12801" max="12801" width="16.77734375" style="195" customWidth="1"/>
    <col min="12802" max="12802" width="17.21875" style="195" customWidth="1"/>
    <col min="12803" max="12803" width="15.33203125" style="195" customWidth="1"/>
    <col min="12804" max="12804" width="15.44140625" style="195" customWidth="1"/>
    <col min="12805" max="13053" width="10.6640625" style="195"/>
    <col min="13054" max="13054" width="7" style="195" customWidth="1"/>
    <col min="13055" max="13055" width="34.44140625" style="195" customWidth="1"/>
    <col min="13056" max="13056" width="11" style="195" customWidth="1"/>
    <col min="13057" max="13057" width="16.77734375" style="195" customWidth="1"/>
    <col min="13058" max="13058" width="17.21875" style="195" customWidth="1"/>
    <col min="13059" max="13059" width="15.33203125" style="195" customWidth="1"/>
    <col min="13060" max="13060" width="15.44140625" style="195" customWidth="1"/>
    <col min="13061" max="13309" width="10.6640625" style="195"/>
    <col min="13310" max="13310" width="7" style="195" customWidth="1"/>
    <col min="13311" max="13311" width="34.44140625" style="195" customWidth="1"/>
    <col min="13312" max="13312" width="11" style="195" customWidth="1"/>
    <col min="13313" max="13313" width="16.77734375" style="195" customWidth="1"/>
    <col min="13314" max="13314" width="17.21875" style="195" customWidth="1"/>
    <col min="13315" max="13315" width="15.33203125" style="195" customWidth="1"/>
    <col min="13316" max="13316" width="15.44140625" style="195" customWidth="1"/>
    <col min="13317" max="13565" width="10.6640625" style="195"/>
    <col min="13566" max="13566" width="7" style="195" customWidth="1"/>
    <col min="13567" max="13567" width="34.44140625" style="195" customWidth="1"/>
    <col min="13568" max="13568" width="11" style="195" customWidth="1"/>
    <col min="13569" max="13569" width="16.77734375" style="195" customWidth="1"/>
    <col min="13570" max="13570" width="17.21875" style="195" customWidth="1"/>
    <col min="13571" max="13571" width="15.33203125" style="195" customWidth="1"/>
    <col min="13572" max="13572" width="15.44140625" style="195" customWidth="1"/>
    <col min="13573" max="13821" width="10.6640625" style="195"/>
    <col min="13822" max="13822" width="7" style="195" customWidth="1"/>
    <col min="13823" max="13823" width="34.44140625" style="195" customWidth="1"/>
    <col min="13824" max="13824" width="11" style="195" customWidth="1"/>
    <col min="13825" max="13825" width="16.77734375" style="195" customWidth="1"/>
    <col min="13826" max="13826" width="17.21875" style="195" customWidth="1"/>
    <col min="13827" max="13827" width="15.33203125" style="195" customWidth="1"/>
    <col min="13828" max="13828" width="15.44140625" style="195" customWidth="1"/>
    <col min="13829" max="14077" width="10.6640625" style="195"/>
    <col min="14078" max="14078" width="7" style="195" customWidth="1"/>
    <col min="14079" max="14079" width="34.44140625" style="195" customWidth="1"/>
    <col min="14080" max="14080" width="11" style="195" customWidth="1"/>
    <col min="14081" max="14081" width="16.77734375" style="195" customWidth="1"/>
    <col min="14082" max="14082" width="17.21875" style="195" customWidth="1"/>
    <col min="14083" max="14083" width="15.33203125" style="195" customWidth="1"/>
    <col min="14084" max="14084" width="15.44140625" style="195" customWidth="1"/>
    <col min="14085" max="14333" width="10.6640625" style="195"/>
    <col min="14334" max="14334" width="7" style="195" customWidth="1"/>
    <col min="14335" max="14335" width="34.44140625" style="195" customWidth="1"/>
    <col min="14336" max="14336" width="11" style="195" customWidth="1"/>
    <col min="14337" max="14337" width="16.77734375" style="195" customWidth="1"/>
    <col min="14338" max="14338" width="17.21875" style="195" customWidth="1"/>
    <col min="14339" max="14339" width="15.33203125" style="195" customWidth="1"/>
    <col min="14340" max="14340" width="15.44140625" style="195" customWidth="1"/>
    <col min="14341" max="14589" width="10.6640625" style="195"/>
    <col min="14590" max="14590" width="7" style="195" customWidth="1"/>
    <col min="14591" max="14591" width="34.44140625" style="195" customWidth="1"/>
    <col min="14592" max="14592" width="11" style="195" customWidth="1"/>
    <col min="14593" max="14593" width="16.77734375" style="195" customWidth="1"/>
    <col min="14594" max="14594" width="17.21875" style="195" customWidth="1"/>
    <col min="14595" max="14595" width="15.33203125" style="195" customWidth="1"/>
    <col min="14596" max="14596" width="15.44140625" style="195" customWidth="1"/>
    <col min="14597" max="14845" width="10.6640625" style="195"/>
    <col min="14846" max="14846" width="7" style="195" customWidth="1"/>
    <col min="14847" max="14847" width="34.44140625" style="195" customWidth="1"/>
    <col min="14848" max="14848" width="11" style="195" customWidth="1"/>
    <col min="14849" max="14849" width="16.77734375" style="195" customWidth="1"/>
    <col min="14850" max="14850" width="17.21875" style="195" customWidth="1"/>
    <col min="14851" max="14851" width="15.33203125" style="195" customWidth="1"/>
    <col min="14852" max="14852" width="15.44140625" style="195" customWidth="1"/>
    <col min="14853" max="15101" width="10.6640625" style="195"/>
    <col min="15102" max="15102" width="7" style="195" customWidth="1"/>
    <col min="15103" max="15103" width="34.44140625" style="195" customWidth="1"/>
    <col min="15104" max="15104" width="11" style="195" customWidth="1"/>
    <col min="15105" max="15105" width="16.77734375" style="195" customWidth="1"/>
    <col min="15106" max="15106" width="17.21875" style="195" customWidth="1"/>
    <col min="15107" max="15107" width="15.33203125" style="195" customWidth="1"/>
    <col min="15108" max="15108" width="15.44140625" style="195" customWidth="1"/>
    <col min="15109" max="15357" width="10.6640625" style="195"/>
    <col min="15358" max="15358" width="7" style="195" customWidth="1"/>
    <col min="15359" max="15359" width="34.44140625" style="195" customWidth="1"/>
    <col min="15360" max="15360" width="11" style="195" customWidth="1"/>
    <col min="15361" max="15361" width="16.77734375" style="195" customWidth="1"/>
    <col min="15362" max="15362" width="17.21875" style="195" customWidth="1"/>
    <col min="15363" max="15363" width="15.33203125" style="195" customWidth="1"/>
    <col min="15364" max="15364" width="15.44140625" style="195" customWidth="1"/>
    <col min="15365" max="15613" width="10.6640625" style="195"/>
    <col min="15614" max="15614" width="7" style="195" customWidth="1"/>
    <col min="15615" max="15615" width="34.44140625" style="195" customWidth="1"/>
    <col min="15616" max="15616" width="11" style="195" customWidth="1"/>
    <col min="15617" max="15617" width="16.77734375" style="195" customWidth="1"/>
    <col min="15618" max="15618" width="17.21875" style="195" customWidth="1"/>
    <col min="15619" max="15619" width="15.33203125" style="195" customWidth="1"/>
    <col min="15620" max="15620" width="15.44140625" style="195" customWidth="1"/>
    <col min="15621" max="15869" width="10.6640625" style="195"/>
    <col min="15870" max="15870" width="7" style="195" customWidth="1"/>
    <col min="15871" max="15871" width="34.44140625" style="195" customWidth="1"/>
    <col min="15872" max="15872" width="11" style="195" customWidth="1"/>
    <col min="15873" max="15873" width="16.77734375" style="195" customWidth="1"/>
    <col min="15874" max="15874" width="17.21875" style="195" customWidth="1"/>
    <col min="15875" max="15875" width="15.33203125" style="195" customWidth="1"/>
    <col min="15876" max="15876" width="15.44140625" style="195" customWidth="1"/>
    <col min="15877" max="16125" width="10.6640625" style="195"/>
    <col min="16126" max="16126" width="7" style="195" customWidth="1"/>
    <col min="16127" max="16127" width="34.44140625" style="195" customWidth="1"/>
    <col min="16128" max="16128" width="11" style="195" customWidth="1"/>
    <col min="16129" max="16129" width="16.77734375" style="195" customWidth="1"/>
    <col min="16130" max="16130" width="17.21875" style="195" customWidth="1"/>
    <col min="16131" max="16131" width="15.33203125" style="195" customWidth="1"/>
    <col min="16132" max="16132" width="15.44140625" style="195" customWidth="1"/>
    <col min="16133" max="16384" width="10.6640625" style="195"/>
  </cols>
  <sheetData>
    <row r="1" spans="1:8" ht="40.5" customHeight="1">
      <c r="A1" s="890" t="s">
        <v>631</v>
      </c>
      <c r="B1" s="890"/>
      <c r="C1" s="890"/>
      <c r="D1" s="890"/>
      <c r="E1" s="890"/>
      <c r="F1" s="890"/>
      <c r="G1" s="890"/>
      <c r="H1" s="890"/>
    </row>
    <row r="2" spans="1:8">
      <c r="A2" s="196"/>
      <c r="B2" s="196"/>
      <c r="F2" s="195"/>
      <c r="G2" s="199" t="s">
        <v>861</v>
      </c>
      <c r="H2" s="750" t="s">
        <v>1</v>
      </c>
    </row>
    <row r="3" spans="1:8" s="655" customFormat="1" ht="33.75" customHeight="1">
      <c r="A3" s="414" t="s">
        <v>562</v>
      </c>
      <c r="B3" s="414" t="s">
        <v>649</v>
      </c>
      <c r="C3" s="414" t="s">
        <v>568</v>
      </c>
      <c r="D3" s="654" t="s">
        <v>1002</v>
      </c>
      <c r="E3" s="654" t="s">
        <v>1003</v>
      </c>
      <c r="F3" s="294" t="s">
        <v>857</v>
      </c>
      <c r="G3" s="658" t="s">
        <v>1004</v>
      </c>
      <c r="H3" s="751" t="s">
        <v>1005</v>
      </c>
    </row>
    <row r="4" spans="1:8" s="197" customFormat="1" ht="18.75" customHeight="1">
      <c r="A4" s="415" t="s">
        <v>10</v>
      </c>
      <c r="B4" s="416" t="s">
        <v>628</v>
      </c>
      <c r="C4" s="417">
        <v>5000000</v>
      </c>
      <c r="D4" s="295">
        <f>F4-C4</f>
        <v>0</v>
      </c>
      <c r="E4" s="295">
        <f>F4-C4-D4</f>
        <v>0</v>
      </c>
      <c r="F4" s="295">
        <v>5000000</v>
      </c>
      <c r="G4" s="656"/>
      <c r="H4" s="752"/>
    </row>
    <row r="5" spans="1:8" s="197" customFormat="1" ht="18.75" customHeight="1">
      <c r="A5" s="415" t="s">
        <v>13</v>
      </c>
      <c r="B5" s="416" t="s">
        <v>627</v>
      </c>
      <c r="C5" s="417">
        <v>1500000</v>
      </c>
      <c r="D5" s="295">
        <f t="shared" ref="D5:D8" si="0">F5-C5</f>
        <v>0</v>
      </c>
      <c r="E5" s="295">
        <f t="shared" ref="E5:E9" si="1">F5-C5-D5</f>
        <v>0</v>
      </c>
      <c r="F5" s="295">
        <v>1500000</v>
      </c>
      <c r="G5" s="656"/>
      <c r="H5" s="752"/>
    </row>
    <row r="6" spans="1:8" s="197" customFormat="1" ht="18.75" customHeight="1">
      <c r="A6" s="415" t="s">
        <v>16</v>
      </c>
      <c r="B6" s="416" t="s">
        <v>629</v>
      </c>
      <c r="C6" s="417">
        <v>2000000</v>
      </c>
      <c r="D6" s="295">
        <f t="shared" si="0"/>
        <v>0</v>
      </c>
      <c r="E6" s="295">
        <f t="shared" si="1"/>
        <v>0</v>
      </c>
      <c r="F6" s="295">
        <v>2000000</v>
      </c>
      <c r="G6" s="656"/>
      <c r="H6" s="752"/>
    </row>
    <row r="7" spans="1:8" s="197" customFormat="1" ht="18.75" customHeight="1">
      <c r="A7" s="415" t="s">
        <v>19</v>
      </c>
      <c r="B7" s="416" t="s">
        <v>630</v>
      </c>
      <c r="C7" s="417">
        <v>3000000</v>
      </c>
      <c r="D7" s="295">
        <f t="shared" si="0"/>
        <v>0</v>
      </c>
      <c r="E7" s="295">
        <f t="shared" si="1"/>
        <v>0</v>
      </c>
      <c r="F7" s="295">
        <v>3000000</v>
      </c>
      <c r="G7" s="656"/>
      <c r="H7" s="752"/>
    </row>
    <row r="8" spans="1:8" s="197" customFormat="1" ht="18.75" customHeight="1">
      <c r="A8" s="415" t="s">
        <v>22</v>
      </c>
      <c r="B8" s="416" t="s">
        <v>772</v>
      </c>
      <c r="C8" s="417">
        <v>5000000</v>
      </c>
      <c r="D8" s="295">
        <f t="shared" si="0"/>
        <v>0</v>
      </c>
      <c r="E8" s="295">
        <f t="shared" si="1"/>
        <v>0</v>
      </c>
      <c r="F8" s="295">
        <v>5000000</v>
      </c>
      <c r="G8" s="656"/>
      <c r="H8" s="752"/>
    </row>
    <row r="9" spans="1:8" s="197" customFormat="1" ht="18.75" customHeight="1">
      <c r="A9" s="415" t="s">
        <v>25</v>
      </c>
      <c r="B9" s="416" t="s">
        <v>626</v>
      </c>
      <c r="C9" s="417">
        <v>49643000</v>
      </c>
      <c r="D9" s="295">
        <v>6763829</v>
      </c>
      <c r="E9" s="295">
        <f t="shared" si="1"/>
        <v>-14727658</v>
      </c>
      <c r="F9" s="295">
        <v>41679171</v>
      </c>
      <c r="G9" s="656"/>
      <c r="H9" s="752"/>
    </row>
    <row r="10" spans="1:8" s="194" customFormat="1" ht="18.75" customHeight="1">
      <c r="A10" s="418"/>
      <c r="B10" s="419" t="s">
        <v>542</v>
      </c>
      <c r="C10" s="420">
        <f>SUM(C4:C9)</f>
        <v>66143000</v>
      </c>
      <c r="D10" s="420">
        <f t="shared" ref="D10:F10" si="2">SUM(D4:D9)</f>
        <v>6763829</v>
      </c>
      <c r="E10" s="420">
        <f t="shared" si="2"/>
        <v>-14727658</v>
      </c>
      <c r="F10" s="420">
        <f t="shared" si="2"/>
        <v>58179171</v>
      </c>
      <c r="G10" s="657">
        <v>47805473</v>
      </c>
      <c r="H10" s="753">
        <f>G10/F10</f>
        <v>0.8216939529784637</v>
      </c>
    </row>
    <row r="11" spans="1:8" s="194" customFormat="1">
      <c r="A11" s="198"/>
      <c r="B11" s="198"/>
      <c r="C11" s="193"/>
      <c r="D11" s="296"/>
      <c r="E11" s="296"/>
      <c r="F11" s="296"/>
      <c r="H11" s="754"/>
    </row>
    <row r="12" spans="1:8" s="194" customFormat="1" ht="12.75" customHeight="1">
      <c r="A12" s="890" t="s">
        <v>632</v>
      </c>
      <c r="B12" s="890"/>
      <c r="C12" s="890"/>
      <c r="D12" s="890"/>
      <c r="E12" s="890"/>
      <c r="F12" s="890"/>
      <c r="H12" s="754"/>
    </row>
    <row r="13" spans="1:8" s="194" customFormat="1">
      <c r="A13" s="890"/>
      <c r="B13" s="890"/>
      <c r="C13" s="890"/>
      <c r="D13" s="890"/>
      <c r="E13" s="890"/>
      <c r="F13" s="890"/>
      <c r="H13" s="754"/>
    </row>
    <row r="14" spans="1:8" s="194" customFormat="1">
      <c r="A14" s="890"/>
      <c r="B14" s="890"/>
      <c r="C14" s="890"/>
      <c r="D14" s="890"/>
      <c r="E14" s="890"/>
      <c r="F14" s="890"/>
      <c r="H14" s="754"/>
    </row>
    <row r="15" spans="1:8" s="194" customFormat="1">
      <c r="A15" s="196"/>
      <c r="B15" s="196"/>
      <c r="D15" s="296"/>
      <c r="E15" s="296"/>
      <c r="F15" s="199" t="s">
        <v>1</v>
      </c>
      <c r="H15" s="754"/>
    </row>
    <row r="16" spans="1:8" ht="35.25" customHeight="1">
      <c r="A16" s="414" t="s">
        <v>562</v>
      </c>
      <c r="B16" s="414" t="s">
        <v>649</v>
      </c>
      <c r="C16" s="414" t="s">
        <v>568</v>
      </c>
      <c r="D16" s="654" t="s">
        <v>1002</v>
      </c>
      <c r="E16" s="654" t="s">
        <v>1003</v>
      </c>
      <c r="F16" s="294" t="s">
        <v>857</v>
      </c>
      <c r="G16" s="658" t="s">
        <v>1004</v>
      </c>
      <c r="H16" s="751" t="s">
        <v>1005</v>
      </c>
    </row>
    <row r="17" spans="1:8" ht="18" customHeight="1">
      <c r="A17" s="415" t="s">
        <v>10</v>
      </c>
      <c r="B17" s="416" t="s">
        <v>633</v>
      </c>
      <c r="C17" s="417">
        <v>677160</v>
      </c>
      <c r="D17" s="297">
        <v>112860</v>
      </c>
      <c r="E17" s="297">
        <f>F17-C17-D17</f>
        <v>6364840</v>
      </c>
      <c r="F17" s="297">
        <v>7154860</v>
      </c>
      <c r="G17" s="298">
        <v>583470</v>
      </c>
      <c r="H17" s="755">
        <f>G17/F17</f>
        <v>8.1548765454530214E-2</v>
      </c>
    </row>
    <row r="18" spans="1:8" ht="18" customHeight="1">
      <c r="A18" s="415" t="s">
        <v>13</v>
      </c>
      <c r="B18" s="416" t="s">
        <v>659</v>
      </c>
      <c r="C18" s="417"/>
      <c r="D18" s="297"/>
      <c r="E18" s="297">
        <f t="shared" ref="E18:E19" si="3">F18-C18-D18</f>
        <v>0</v>
      </c>
      <c r="F18" s="297"/>
      <c r="G18" s="298"/>
      <c r="H18" s="755" t="s">
        <v>861</v>
      </c>
    </row>
    <row r="19" spans="1:8" ht="18" customHeight="1">
      <c r="A19" s="418"/>
      <c r="B19" s="419" t="s">
        <v>542</v>
      </c>
      <c r="C19" s="420">
        <f>SUM(C17:C18)</f>
        <v>677160</v>
      </c>
      <c r="D19" s="420">
        <f t="shared" ref="D19:G19" si="4">SUM(D17:D18)</f>
        <v>112860</v>
      </c>
      <c r="E19" s="297">
        <f t="shared" si="3"/>
        <v>6364840</v>
      </c>
      <c r="F19" s="420">
        <f t="shared" si="4"/>
        <v>7154860</v>
      </c>
      <c r="G19" s="420">
        <f t="shared" si="4"/>
        <v>583470</v>
      </c>
      <c r="H19" s="755">
        <f t="shared" ref="H19" si="5">G19/F19</f>
        <v>8.1548765454530214E-2</v>
      </c>
    </row>
    <row r="22" spans="1:8">
      <c r="B22" s="298" t="s">
        <v>408</v>
      </c>
      <c r="C22" s="297">
        <f>C10+C19</f>
        <v>66820160</v>
      </c>
      <c r="D22" s="297">
        <f t="shared" ref="D22:G22" si="6">D10+D19</f>
        <v>6876689</v>
      </c>
      <c r="E22" s="297">
        <f t="shared" si="6"/>
        <v>-8362818</v>
      </c>
      <c r="F22" s="297">
        <f t="shared" si="6"/>
        <v>65334031</v>
      </c>
      <c r="G22" s="297">
        <f t="shared" si="6"/>
        <v>48388943</v>
      </c>
      <c r="H22" s="755">
        <f>G22/F22</f>
        <v>0.74063917776633126</v>
      </c>
    </row>
  </sheetData>
  <mergeCells count="2">
    <mergeCell ref="A12:F14"/>
    <mergeCell ref="A1:H1"/>
  </mergeCells>
  <printOptions horizontalCentered="1"/>
  <pageMargins left="0.25" right="0.25" top="0.75" bottom="0.75" header="0.3" footer="0.3"/>
  <pageSetup paperSize="9" orientation="landscape" r:id="rId1"/>
  <headerFooter>
    <oddHeader>&amp;R&amp;"Times New Roman CE,Félkövér dőlt"&amp;11 6. melléklet a 22/2017. (XII.04.)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8"/>
  <sheetViews>
    <sheetView view="pageLayout" topLeftCell="H1" zoomScaleNormal="89" workbookViewId="0">
      <selection activeCell="N1" sqref="M1:N1"/>
    </sheetView>
  </sheetViews>
  <sheetFormatPr defaultColWidth="9.33203125" defaultRowHeight="15.6"/>
  <cols>
    <col min="1" max="1" width="38" style="36" customWidth="1"/>
    <col min="2" max="2" width="17" style="36" customWidth="1"/>
    <col min="3" max="3" width="13" style="36" customWidth="1"/>
    <col min="4" max="4" width="17" style="36" customWidth="1"/>
    <col min="5" max="5" width="12.6640625" style="36" customWidth="1"/>
    <col min="6" max="6" width="17" style="36" customWidth="1"/>
    <col min="7" max="7" width="12.33203125" style="36" customWidth="1"/>
    <col min="8" max="8" width="17" style="36" customWidth="1"/>
    <col min="9" max="9" width="12.33203125" style="36" customWidth="1"/>
    <col min="10" max="10" width="16" style="36" customWidth="1"/>
    <col min="11" max="11" width="12" style="36" customWidth="1"/>
    <col min="12" max="12" width="17" style="36" customWidth="1"/>
    <col min="13" max="13" width="12.77734375" style="36" customWidth="1"/>
    <col min="14" max="14" width="13.6640625" style="36" customWidth="1"/>
    <col min="15" max="16" width="12" style="36" customWidth="1"/>
    <col min="17" max="16384" width="9.33203125" style="36"/>
  </cols>
  <sheetData>
    <row r="1" spans="1:19" ht="57.75" customHeight="1">
      <c r="A1" s="891" t="s">
        <v>914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43"/>
      <c r="N1" s="43"/>
      <c r="O1" s="43"/>
      <c r="P1" s="43"/>
    </row>
    <row r="2" spans="1:19" ht="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892"/>
      <c r="P2" s="892"/>
      <c r="Q2" s="37"/>
    </row>
    <row r="3" spans="1:19" ht="16.5" customHeight="1">
      <c r="A3" s="41"/>
      <c r="B3" s="38"/>
      <c r="C3" s="38"/>
      <c r="D3" s="38"/>
      <c r="E3" s="38"/>
      <c r="F3" s="38"/>
      <c r="G3" s="38"/>
      <c r="H3" s="38"/>
      <c r="I3" s="38"/>
      <c r="J3" s="38"/>
      <c r="K3" s="38"/>
      <c r="L3" s="44" t="s">
        <v>1</v>
      </c>
      <c r="M3" s="38"/>
      <c r="N3" s="42"/>
      <c r="O3" s="42"/>
      <c r="P3" s="42"/>
      <c r="Q3" s="37"/>
      <c r="R3" s="37"/>
      <c r="S3" s="37"/>
    </row>
    <row r="4" spans="1:19" ht="30" customHeight="1">
      <c r="A4" s="893" t="s">
        <v>267</v>
      </c>
      <c r="B4" s="895" t="s">
        <v>681</v>
      </c>
      <c r="C4" s="895"/>
      <c r="D4" s="895" t="s">
        <v>683</v>
      </c>
      <c r="E4" s="895"/>
      <c r="F4" s="895" t="s">
        <v>684</v>
      </c>
      <c r="G4" s="896"/>
      <c r="H4" s="897" t="s">
        <v>428</v>
      </c>
      <c r="I4" s="898"/>
      <c r="J4" s="897" t="s">
        <v>547</v>
      </c>
      <c r="K4" s="898"/>
      <c r="L4" s="897" t="s">
        <v>424</v>
      </c>
      <c r="M4" s="38"/>
      <c r="N4" s="39"/>
      <c r="O4" s="39"/>
      <c r="P4" s="42"/>
      <c r="Q4" s="37"/>
      <c r="R4" s="37"/>
      <c r="S4" s="37"/>
    </row>
    <row r="5" spans="1:19" ht="62.25" customHeight="1">
      <c r="A5" s="894"/>
      <c r="B5" s="421" t="s">
        <v>680</v>
      </c>
      <c r="C5" s="421" t="s">
        <v>426</v>
      </c>
      <c r="D5" s="421" t="s">
        <v>679</v>
      </c>
      <c r="E5" s="421" t="s">
        <v>426</v>
      </c>
      <c r="F5" s="422" t="s">
        <v>425</v>
      </c>
      <c r="G5" s="421" t="s">
        <v>426</v>
      </c>
      <c r="H5" s="421" t="s">
        <v>429</v>
      </c>
      <c r="I5" s="421" t="s">
        <v>426</v>
      </c>
      <c r="J5" s="421" t="s">
        <v>682</v>
      </c>
      <c r="K5" s="421" t="s">
        <v>426</v>
      </c>
      <c r="L5" s="898"/>
      <c r="M5" s="40"/>
      <c r="N5" s="40"/>
      <c r="O5" s="40"/>
      <c r="P5" s="42"/>
      <c r="Q5" s="37"/>
      <c r="R5" s="37"/>
      <c r="S5" s="37"/>
    </row>
    <row r="6" spans="1:19" s="619" customFormat="1" ht="32.25" customHeight="1">
      <c r="A6" s="616" t="s">
        <v>430</v>
      </c>
      <c r="B6" s="617">
        <v>640402</v>
      </c>
      <c r="C6" s="618">
        <f>ROUND(B6/L6*100,1)</f>
        <v>2.2000000000000002</v>
      </c>
      <c r="D6" s="617">
        <v>19921514</v>
      </c>
      <c r="E6" s="618">
        <f>ROUND(D6/L6*100,1)</f>
        <v>69.8</v>
      </c>
      <c r="F6" s="617">
        <v>700000</v>
      </c>
      <c r="G6" s="618">
        <f>ROUND((F6/L6)*100,1)</f>
        <v>2.5</v>
      </c>
      <c r="H6" s="617">
        <v>7273777</v>
      </c>
      <c r="I6" s="618">
        <f>ROUND((H6/L6)*100,1)</f>
        <v>25.5</v>
      </c>
      <c r="J6" s="799">
        <v>0</v>
      </c>
      <c r="K6" s="618">
        <f>J6/L6*100</f>
        <v>0</v>
      </c>
      <c r="L6" s="617">
        <f>B6+D6+F6+H6+J6</f>
        <v>28535693</v>
      </c>
    </row>
    <row r="7" spans="1:19" s="620" customFormat="1" ht="32.25" customHeight="1">
      <c r="A7" s="795" t="s">
        <v>857</v>
      </c>
      <c r="B7" s="424">
        <v>7381113</v>
      </c>
      <c r="C7" s="618">
        <f t="shared" ref="C7:C18" si="0">ROUND(B7/L7*100,1)</f>
        <v>18.899999999999999</v>
      </c>
      <c r="D7" s="794">
        <v>22599543</v>
      </c>
      <c r="E7" s="618">
        <f t="shared" ref="E7:E18" si="1">ROUND(D7/L7*100,1)</f>
        <v>57.9</v>
      </c>
      <c r="F7" s="424">
        <v>1010483</v>
      </c>
      <c r="G7" s="618">
        <f t="shared" ref="G7:G18" si="2">ROUND((F7/L7)*100,1)</f>
        <v>2.6</v>
      </c>
      <c r="H7" s="794">
        <v>7273777</v>
      </c>
      <c r="I7" s="618">
        <f t="shared" ref="I7:I18" si="3">ROUND((H7/L7)*100,1)</f>
        <v>18.600000000000001</v>
      </c>
      <c r="J7" s="424">
        <f t="shared" ref="J7" si="4">J8-J6</f>
        <v>788326</v>
      </c>
      <c r="K7" s="618">
        <f t="shared" ref="K7:K18" si="5">J7/L7*100</f>
        <v>2.0185929762246113</v>
      </c>
      <c r="L7" s="424">
        <f>B7+D7+F7+H7+J7</f>
        <v>39053242</v>
      </c>
    </row>
    <row r="8" spans="1:19" s="777" customFormat="1" ht="32.25" customHeight="1">
      <c r="A8" s="796" t="s">
        <v>1004</v>
      </c>
      <c r="B8" s="775">
        <v>2555032</v>
      </c>
      <c r="C8" s="618">
        <f t="shared" si="0"/>
        <v>11</v>
      </c>
      <c r="D8" s="797">
        <v>11601691</v>
      </c>
      <c r="E8" s="618">
        <f t="shared" si="1"/>
        <v>50.1</v>
      </c>
      <c r="F8" s="775">
        <v>932308</v>
      </c>
      <c r="G8" s="618">
        <f t="shared" si="2"/>
        <v>4</v>
      </c>
      <c r="H8" s="797">
        <v>7273777</v>
      </c>
      <c r="I8" s="618">
        <f t="shared" si="3"/>
        <v>31.4</v>
      </c>
      <c r="J8" s="798">
        <v>788326</v>
      </c>
      <c r="K8" s="618">
        <f t="shared" si="5"/>
        <v>3.405129096484</v>
      </c>
      <c r="L8" s="775">
        <f>B8+D8+F8+H8+J8</f>
        <v>23151134</v>
      </c>
    </row>
    <row r="9" spans="1:19" s="619" customFormat="1" ht="27" customHeight="1">
      <c r="A9" s="800" t="s">
        <v>403</v>
      </c>
      <c r="B9" s="617"/>
      <c r="C9" s="618">
        <f t="shared" si="0"/>
        <v>0</v>
      </c>
      <c r="D9" s="617">
        <v>205235924</v>
      </c>
      <c r="E9" s="618">
        <f t="shared" si="1"/>
        <v>73.3</v>
      </c>
      <c r="F9" s="617">
        <v>6620344</v>
      </c>
      <c r="G9" s="618">
        <f t="shared" si="2"/>
        <v>2.4</v>
      </c>
      <c r="H9" s="617">
        <v>68115247</v>
      </c>
      <c r="I9" s="618">
        <f t="shared" si="3"/>
        <v>24.3</v>
      </c>
      <c r="J9" s="799"/>
      <c r="K9" s="618">
        <f t="shared" si="5"/>
        <v>0</v>
      </c>
      <c r="L9" s="617">
        <f t="shared" ref="L9:L14" si="6">B9+D9+F9+H9+J9</f>
        <v>279971515</v>
      </c>
    </row>
    <row r="10" spans="1:19" s="620" customFormat="1" ht="27" customHeight="1">
      <c r="A10" s="772" t="s">
        <v>857</v>
      </c>
      <c r="B10" s="424">
        <f>B11-B9</f>
        <v>0</v>
      </c>
      <c r="C10" s="618">
        <f t="shared" si="0"/>
        <v>0</v>
      </c>
      <c r="D10" s="424">
        <v>214080546</v>
      </c>
      <c r="E10" s="618">
        <f t="shared" si="1"/>
        <v>73.7</v>
      </c>
      <c r="F10" s="424">
        <v>7239709</v>
      </c>
      <c r="G10" s="618">
        <f t="shared" si="2"/>
        <v>2.5</v>
      </c>
      <c r="H10" s="424">
        <v>68115247</v>
      </c>
      <c r="I10" s="618">
        <f t="shared" si="3"/>
        <v>23.4</v>
      </c>
      <c r="J10" s="424">
        <f t="shared" ref="J10" si="7">J11-J9</f>
        <v>1081188</v>
      </c>
      <c r="K10" s="618">
        <f t="shared" si="5"/>
        <v>0.37216037398746349</v>
      </c>
      <c r="L10" s="424">
        <f t="shared" si="6"/>
        <v>290516690</v>
      </c>
    </row>
    <row r="11" spans="1:19" s="620" customFormat="1" ht="27" customHeight="1">
      <c r="A11" s="772" t="s">
        <v>1004</v>
      </c>
      <c r="B11" s="424"/>
      <c r="C11" s="618">
        <f t="shared" si="0"/>
        <v>0</v>
      </c>
      <c r="D11" s="424">
        <v>129330615</v>
      </c>
      <c r="E11" s="618">
        <f t="shared" si="1"/>
        <v>63.1</v>
      </c>
      <c r="F11" s="424">
        <v>6323708</v>
      </c>
      <c r="G11" s="618">
        <f t="shared" si="2"/>
        <v>3.1</v>
      </c>
      <c r="H11" s="424">
        <v>68115247</v>
      </c>
      <c r="I11" s="618">
        <f t="shared" si="3"/>
        <v>33.299999999999997</v>
      </c>
      <c r="J11" s="773">
        <v>1081188</v>
      </c>
      <c r="K11" s="618">
        <f t="shared" si="5"/>
        <v>0.52779301895480413</v>
      </c>
      <c r="L11" s="424">
        <f t="shared" si="6"/>
        <v>204850758</v>
      </c>
    </row>
    <row r="12" spans="1:19" s="777" customFormat="1" ht="40.5" customHeight="1">
      <c r="A12" s="774" t="s">
        <v>1022</v>
      </c>
      <c r="B12" s="775">
        <f>B11+B8</f>
        <v>2555032</v>
      </c>
      <c r="C12" s="618">
        <f t="shared" si="0"/>
        <v>1.1000000000000001</v>
      </c>
      <c r="D12" s="776">
        <f t="shared" ref="D12:J12" si="8">D11+D8</f>
        <v>140932306</v>
      </c>
      <c r="E12" s="618">
        <f t="shared" si="1"/>
        <v>61.8</v>
      </c>
      <c r="F12" s="775">
        <f t="shared" si="8"/>
        <v>7256016</v>
      </c>
      <c r="G12" s="618">
        <f t="shared" si="2"/>
        <v>3.2</v>
      </c>
      <c r="H12" s="775">
        <f t="shared" si="8"/>
        <v>75389024</v>
      </c>
      <c r="I12" s="618">
        <f t="shared" si="3"/>
        <v>33.1</v>
      </c>
      <c r="J12" s="775">
        <f t="shared" si="8"/>
        <v>1869514</v>
      </c>
      <c r="K12" s="618">
        <f t="shared" si="5"/>
        <v>0.8199554765098177</v>
      </c>
      <c r="L12" s="617">
        <f t="shared" si="6"/>
        <v>228001892</v>
      </c>
    </row>
    <row r="13" spans="1:19" s="777" customFormat="1" ht="40.5" customHeight="1">
      <c r="A13" s="774" t="s">
        <v>1023</v>
      </c>
      <c r="B13" s="775">
        <f>B10+B7</f>
        <v>7381113</v>
      </c>
      <c r="C13" s="618">
        <f t="shared" si="0"/>
        <v>2.2000000000000002</v>
      </c>
      <c r="D13" s="775">
        <f t="shared" ref="D13:L13" si="9">D10+D7</f>
        <v>236680089</v>
      </c>
      <c r="E13" s="618">
        <f t="shared" si="1"/>
        <v>71.8</v>
      </c>
      <c r="F13" s="775">
        <f t="shared" si="9"/>
        <v>8250192</v>
      </c>
      <c r="G13" s="618">
        <f t="shared" si="2"/>
        <v>2.5</v>
      </c>
      <c r="H13" s="775">
        <f t="shared" si="9"/>
        <v>75389024</v>
      </c>
      <c r="I13" s="618">
        <f t="shared" si="3"/>
        <v>22.9</v>
      </c>
      <c r="J13" s="775">
        <f t="shared" si="9"/>
        <v>1869514</v>
      </c>
      <c r="K13" s="618">
        <f t="shared" si="5"/>
        <v>0.56725866606059194</v>
      </c>
      <c r="L13" s="775">
        <f t="shared" si="9"/>
        <v>329569932</v>
      </c>
    </row>
    <row r="14" spans="1:19" s="619" customFormat="1" ht="42.75" customHeight="1">
      <c r="A14" s="802" t="s">
        <v>915</v>
      </c>
      <c r="B14" s="778">
        <v>160083665</v>
      </c>
      <c r="C14" s="618">
        <f t="shared" si="0"/>
        <v>7.9</v>
      </c>
      <c r="D14" s="778">
        <v>622010013</v>
      </c>
      <c r="E14" s="618">
        <f t="shared" si="1"/>
        <v>30.8</v>
      </c>
      <c r="F14" s="778">
        <f>751000000+177316572+2160072</f>
        <v>930476644</v>
      </c>
      <c r="G14" s="618">
        <f t="shared" si="2"/>
        <v>46.1</v>
      </c>
      <c r="H14" s="778"/>
      <c r="I14" s="618">
        <f t="shared" si="3"/>
        <v>0</v>
      </c>
      <c r="J14" s="803">
        <v>304494626</v>
      </c>
      <c r="K14" s="618">
        <f t="shared" si="5"/>
        <v>15.095925706404175</v>
      </c>
      <c r="L14" s="778">
        <f t="shared" si="6"/>
        <v>2017064948</v>
      </c>
    </row>
    <row r="15" spans="1:19" s="620" customFormat="1" ht="42.75" customHeight="1">
      <c r="A15" s="423" t="s">
        <v>857</v>
      </c>
      <c r="B15" s="794">
        <v>2203337344</v>
      </c>
      <c r="C15" s="618">
        <f t="shared" si="0"/>
        <v>52.1</v>
      </c>
      <c r="D15" s="794">
        <v>666544586</v>
      </c>
      <c r="E15" s="618">
        <f t="shared" si="1"/>
        <v>15.8</v>
      </c>
      <c r="F15" s="794">
        <v>948687654</v>
      </c>
      <c r="G15" s="618">
        <f t="shared" si="2"/>
        <v>22.4</v>
      </c>
      <c r="H15" s="794">
        <f>H16-H14</f>
        <v>0</v>
      </c>
      <c r="I15" s="618">
        <f t="shared" si="3"/>
        <v>0</v>
      </c>
      <c r="J15" s="794">
        <v>409654408</v>
      </c>
      <c r="K15" s="618">
        <f t="shared" si="5"/>
        <v>9.6885692142867903</v>
      </c>
      <c r="L15" s="794">
        <f t="shared" ref="L15:L16" si="10">B15+D15+F15+H15+J15</f>
        <v>4228223992</v>
      </c>
    </row>
    <row r="16" spans="1:19" s="620" customFormat="1" ht="42.75" customHeight="1">
      <c r="A16" s="423" t="s">
        <v>1004</v>
      </c>
      <c r="B16" s="794">
        <v>2086924210</v>
      </c>
      <c r="C16" s="618">
        <f t="shared" si="0"/>
        <v>54.7</v>
      </c>
      <c r="D16" s="794">
        <v>566208012</v>
      </c>
      <c r="E16" s="618">
        <f t="shared" si="1"/>
        <v>14.9</v>
      </c>
      <c r="F16" s="794">
        <v>749525437</v>
      </c>
      <c r="G16" s="618">
        <f t="shared" si="2"/>
        <v>19.7</v>
      </c>
      <c r="H16" s="794"/>
      <c r="I16" s="618">
        <f t="shared" si="3"/>
        <v>0</v>
      </c>
      <c r="J16" s="801">
        <v>409654408</v>
      </c>
      <c r="K16" s="618">
        <f t="shared" si="5"/>
        <v>10.745563343201516</v>
      </c>
      <c r="L16" s="794">
        <f t="shared" si="10"/>
        <v>3812312067</v>
      </c>
    </row>
    <row r="17" spans="1:12" s="620" customFormat="1" ht="65.25" customHeight="1">
      <c r="A17" s="423" t="s">
        <v>1024</v>
      </c>
      <c r="B17" s="794">
        <f>B16+B12</f>
        <v>2089479242</v>
      </c>
      <c r="C17" s="618">
        <f t="shared" si="0"/>
        <v>51.7</v>
      </c>
      <c r="D17" s="794">
        <f>D16+D12</f>
        <v>707140318</v>
      </c>
      <c r="E17" s="618">
        <f t="shared" si="1"/>
        <v>17.5</v>
      </c>
      <c r="F17" s="794">
        <f>F16+F12</f>
        <v>756781453</v>
      </c>
      <c r="G17" s="618">
        <f t="shared" si="2"/>
        <v>18.7</v>
      </c>
      <c r="H17" s="794">
        <f>H16+H12</f>
        <v>75389024</v>
      </c>
      <c r="I17" s="618">
        <f t="shared" si="3"/>
        <v>1.9</v>
      </c>
      <c r="J17" s="794">
        <f>J16+J12</f>
        <v>411523922</v>
      </c>
      <c r="K17" s="618">
        <f t="shared" si="5"/>
        <v>10.185444155479798</v>
      </c>
      <c r="L17" s="794">
        <f>L16+L12</f>
        <v>4040313959</v>
      </c>
    </row>
    <row r="18" spans="1:12" ht="55.2">
      <c r="A18" s="423" t="s">
        <v>1025</v>
      </c>
      <c r="B18" s="794">
        <f>B15+B13</f>
        <v>2210718457</v>
      </c>
      <c r="C18" s="618">
        <f t="shared" si="0"/>
        <v>48.5</v>
      </c>
      <c r="D18" s="794">
        <f t="shared" ref="D18:L18" si="11">D15+D13</f>
        <v>903224675</v>
      </c>
      <c r="E18" s="618">
        <f t="shared" si="1"/>
        <v>19.8</v>
      </c>
      <c r="F18" s="794">
        <f t="shared" si="11"/>
        <v>956937846</v>
      </c>
      <c r="G18" s="618">
        <f t="shared" si="2"/>
        <v>21</v>
      </c>
      <c r="H18" s="794">
        <f t="shared" si="11"/>
        <v>75389024</v>
      </c>
      <c r="I18" s="618">
        <f t="shared" si="3"/>
        <v>1.7</v>
      </c>
      <c r="J18" s="794">
        <f t="shared" si="11"/>
        <v>411523922</v>
      </c>
      <c r="K18" s="618">
        <f t="shared" si="5"/>
        <v>9.0290155470399025</v>
      </c>
      <c r="L18" s="794">
        <f t="shared" si="11"/>
        <v>4557793924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5" right="0.25" top="0.75" bottom="0.75" header="0.3" footer="0.3"/>
  <pageSetup paperSize="9" scale="63" orientation="landscape" r:id="rId1"/>
  <headerFooter alignWithMargins="0">
    <oddHeader>&amp;R&amp;"Times New Roman CE,Félkövér dőlt"&amp;11 7. melléklet a 22/2017. (XII.04.)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8</vt:i4>
      </vt:variant>
    </vt:vector>
  </HeadingPairs>
  <TitlesOfParts>
    <vt:vector size="36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'15.sz.mell'!Nyomtatási_terület</vt:lpstr>
      <vt:lpstr>'4. sz.mell'!Nyomtatási_terület</vt:lpstr>
      <vt:lpstr>'6.sz.mell'!Nyomtatási_terület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Soósné Nagy Magdolna</cp:lastModifiedBy>
  <cp:lastPrinted>2017-12-05T09:50:06Z</cp:lastPrinted>
  <dcterms:created xsi:type="dcterms:W3CDTF">2017-01-30T13:11:32Z</dcterms:created>
  <dcterms:modified xsi:type="dcterms:W3CDTF">2017-12-05T12:49:35Z</dcterms:modified>
</cp:coreProperties>
</file>