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ta\Documents\2018. évi rendeletek - jegyzőé\"/>
    </mc:Choice>
  </mc:AlternateContent>
  <xr:revisionPtr revIDLastSave="0" documentId="8_{80F8BF65-B4AB-48DC-ADA6-3A01BBFEB7A0}" xr6:coauthVersionLast="36" xr6:coauthVersionMax="36" xr10:uidLastSave="{00000000-0000-0000-0000-000000000000}"/>
  <bookViews>
    <workbookView xWindow="0" yWindow="0" windowWidth="28800" windowHeight="12225" tabRatio="785" activeTab="8" xr2:uid="{00000000-000D-0000-FFFF-FFFF00000000}"/>
  </bookViews>
  <sheets>
    <sheet name="1.  melléklet (2)" sheetId="14" r:id="rId1"/>
    <sheet name="2. melléklet (2)" sheetId="15" r:id="rId2"/>
    <sheet name="3. melléklet  (2)" sheetId="16" r:id="rId3"/>
    <sheet name="4. melléklet (2)" sheetId="17" r:id="rId4"/>
    <sheet name="5. melléklet  (2)" sheetId="18" r:id="rId5"/>
    <sheet name="6. melléklet" sheetId="9" r:id="rId6"/>
    <sheet name="7.  melléklet" sheetId="12" r:id="rId7"/>
    <sheet name="8. melléklet (2)" sheetId="19" r:id="rId8"/>
    <sheet name=" 9. melléklet (2)" sheetId="20" r:id="rId9"/>
  </sheets>
  <externalReferences>
    <externalReference r:id="rId10"/>
  </externalReferences>
  <definedNames>
    <definedName name="_xlnm.Print_Titles" localSheetId="0">'1.  melléklet (2)'!$1:$3</definedName>
    <definedName name="_xlnm.Print_Titles" localSheetId="1">'2. melléklet (2)'!$A:$A,'2. melléklet (2)'!$4:$4</definedName>
    <definedName name="_xlnm.Print_Titles" localSheetId="2">'3. melléklet  (2)'!$B:$B</definedName>
    <definedName name="_xlnm.Print_Area" localSheetId="8">' 9. melléklet (2)'!$A$1:$O$138</definedName>
    <definedName name="_xlnm.Print_Area" localSheetId="2">'3. melléklet  (2)'!$A$1:$AA$51</definedName>
  </definedNames>
  <calcPr calcId="162913"/>
</workbook>
</file>

<file path=xl/calcChain.xml><?xml version="1.0" encoding="utf-8"?>
<calcChain xmlns="http://schemas.openxmlformats.org/spreadsheetml/2006/main">
  <c r="H138" i="20" l="1"/>
  <c r="H124" i="20" s="1"/>
  <c r="D138" i="20"/>
  <c r="D124" i="20" s="1"/>
  <c r="D125" i="20" s="1"/>
  <c r="N137" i="20"/>
  <c r="M137" i="20"/>
  <c r="L137" i="20"/>
  <c r="K137" i="20"/>
  <c r="J137" i="20"/>
  <c r="I137" i="20"/>
  <c r="G137" i="20"/>
  <c r="F137" i="20"/>
  <c r="E137" i="20"/>
  <c r="D137" i="20"/>
  <c r="C137" i="20"/>
  <c r="M136" i="20"/>
  <c r="M138" i="20" s="1"/>
  <c r="I136" i="20"/>
  <c r="I138" i="20" s="1"/>
  <c r="H136" i="20"/>
  <c r="E136" i="20"/>
  <c r="E138" i="20" s="1"/>
  <c r="D136" i="20"/>
  <c r="O135" i="20"/>
  <c r="O134" i="20"/>
  <c r="O133" i="20"/>
  <c r="O132" i="20"/>
  <c r="O131" i="20"/>
  <c r="N130" i="20"/>
  <c r="M130" i="20"/>
  <c r="L130" i="20"/>
  <c r="K130" i="20"/>
  <c r="J130" i="20"/>
  <c r="J136" i="20" s="1"/>
  <c r="J138" i="20" s="1"/>
  <c r="I130" i="20"/>
  <c r="H130" i="20"/>
  <c r="G130" i="20"/>
  <c r="O130" i="20" s="1"/>
  <c r="K129" i="20"/>
  <c r="H129" i="20"/>
  <c r="G129" i="20"/>
  <c r="F129" i="20"/>
  <c r="E129" i="20"/>
  <c r="D129" i="20"/>
  <c r="C129" i="20"/>
  <c r="O129" i="20" s="1"/>
  <c r="N128" i="20"/>
  <c r="N136" i="20" s="1"/>
  <c r="N138" i="20" s="1"/>
  <c r="N124" i="20" s="1"/>
  <c r="M128" i="20"/>
  <c r="L128" i="20"/>
  <c r="K128" i="20"/>
  <c r="K136" i="20" s="1"/>
  <c r="K138" i="20" s="1"/>
  <c r="K124" i="20" s="1"/>
  <c r="K125" i="20" s="1"/>
  <c r="I128" i="20"/>
  <c r="H128" i="20"/>
  <c r="G128" i="20"/>
  <c r="F128" i="20"/>
  <c r="F136" i="20" s="1"/>
  <c r="F138" i="20" s="1"/>
  <c r="F124" i="20" s="1"/>
  <c r="E128" i="20"/>
  <c r="D128" i="20"/>
  <c r="C128" i="20"/>
  <c r="C17" i="20" s="1"/>
  <c r="H125" i="20"/>
  <c r="M124" i="20"/>
  <c r="I124" i="20"/>
  <c r="E124" i="20"/>
  <c r="N123" i="20"/>
  <c r="M123" i="20"/>
  <c r="L123" i="20"/>
  <c r="K123" i="20"/>
  <c r="J123" i="20"/>
  <c r="I123" i="20"/>
  <c r="H123" i="20"/>
  <c r="F123" i="20"/>
  <c r="E123" i="20"/>
  <c r="D123" i="20"/>
  <c r="C123" i="20"/>
  <c r="O123" i="20" s="1"/>
  <c r="O122" i="20"/>
  <c r="O121" i="20"/>
  <c r="O120" i="20"/>
  <c r="O119" i="20"/>
  <c r="O118" i="20"/>
  <c r="G118" i="20"/>
  <c r="G123" i="20" s="1"/>
  <c r="O117" i="20"/>
  <c r="O116" i="20"/>
  <c r="K111" i="20"/>
  <c r="K97" i="20" s="1"/>
  <c r="K98" i="20" s="1"/>
  <c r="J111" i="20"/>
  <c r="J97" i="20" s="1"/>
  <c r="O110" i="20"/>
  <c r="M109" i="20"/>
  <c r="M111" i="20" s="1"/>
  <c r="M97" i="20" s="1"/>
  <c r="M14" i="20" s="1"/>
  <c r="L109" i="20"/>
  <c r="L111" i="20" s="1"/>
  <c r="L97" i="20" s="1"/>
  <c r="L98" i="20" s="1"/>
  <c r="K109" i="20"/>
  <c r="J109" i="20"/>
  <c r="I109" i="20"/>
  <c r="I111" i="20" s="1"/>
  <c r="H109" i="20"/>
  <c r="H111" i="20" s="1"/>
  <c r="H97" i="20" s="1"/>
  <c r="H14" i="20" s="1"/>
  <c r="E109" i="20"/>
  <c r="E111" i="20" s="1"/>
  <c r="D109" i="20"/>
  <c r="D111" i="20" s="1"/>
  <c r="D97" i="20" s="1"/>
  <c r="O108" i="20"/>
  <c r="O107" i="20"/>
  <c r="O106" i="20"/>
  <c r="O105" i="20"/>
  <c r="O104" i="20"/>
  <c r="O103" i="20"/>
  <c r="E103" i="20"/>
  <c r="H102" i="20"/>
  <c r="G102" i="20"/>
  <c r="F102" i="20"/>
  <c r="E102" i="20"/>
  <c r="D102" i="20"/>
  <c r="C102" i="20"/>
  <c r="N101" i="20"/>
  <c r="N109" i="20" s="1"/>
  <c r="N111" i="20" s="1"/>
  <c r="N97" i="20" s="1"/>
  <c r="H101" i="20"/>
  <c r="G101" i="20"/>
  <c r="F101" i="20"/>
  <c r="F109" i="20" s="1"/>
  <c r="F111" i="20" s="1"/>
  <c r="F97" i="20" s="1"/>
  <c r="E101" i="20"/>
  <c r="D101" i="20"/>
  <c r="C101" i="20"/>
  <c r="H98" i="20"/>
  <c r="D98" i="20"/>
  <c r="I97" i="20"/>
  <c r="E97" i="20"/>
  <c r="N96" i="20"/>
  <c r="M96" i="20"/>
  <c r="L96" i="20"/>
  <c r="K96" i="20"/>
  <c r="J96" i="20"/>
  <c r="I96" i="20"/>
  <c r="H96" i="20"/>
  <c r="G96" i="20"/>
  <c r="F96" i="20"/>
  <c r="E96" i="20"/>
  <c r="D96" i="20"/>
  <c r="C96" i="20"/>
  <c r="O96" i="20" s="1"/>
  <c r="O95" i="20"/>
  <c r="O94" i="20"/>
  <c r="O93" i="20"/>
  <c r="O92" i="20"/>
  <c r="O91" i="20"/>
  <c r="O90" i="20"/>
  <c r="O89" i="20"/>
  <c r="N83" i="20"/>
  <c r="N69" i="20" s="1"/>
  <c r="M83" i="20"/>
  <c r="J83" i="20"/>
  <c r="I83" i="20"/>
  <c r="E83" i="20"/>
  <c r="O82" i="20"/>
  <c r="N81" i="20"/>
  <c r="M81" i="20"/>
  <c r="L81" i="20"/>
  <c r="L83" i="20" s="1"/>
  <c r="L69" i="20" s="1"/>
  <c r="K81" i="20"/>
  <c r="K83" i="20" s="1"/>
  <c r="K69" i="20" s="1"/>
  <c r="K70" i="20" s="1"/>
  <c r="J81" i="20"/>
  <c r="I81" i="20"/>
  <c r="H81" i="20"/>
  <c r="H83" i="20" s="1"/>
  <c r="H69" i="20" s="1"/>
  <c r="G81" i="20"/>
  <c r="G83" i="20" s="1"/>
  <c r="G69" i="20" s="1"/>
  <c r="G70" i="20" s="1"/>
  <c r="E81" i="20"/>
  <c r="D81" i="20"/>
  <c r="D83" i="20" s="1"/>
  <c r="D69" i="20" s="1"/>
  <c r="D54" i="20" s="1"/>
  <c r="D26" i="20" s="1"/>
  <c r="C81" i="20"/>
  <c r="C83" i="20" s="1"/>
  <c r="C69" i="20" s="1"/>
  <c r="O80" i="20"/>
  <c r="O79" i="20"/>
  <c r="O78" i="20"/>
  <c r="O77" i="20"/>
  <c r="O76" i="20"/>
  <c r="F75" i="20"/>
  <c r="O75" i="20" s="1"/>
  <c r="O74" i="20"/>
  <c r="F74" i="20"/>
  <c r="F73" i="20"/>
  <c r="L70" i="20"/>
  <c r="H70" i="20"/>
  <c r="M69" i="20"/>
  <c r="I69" i="20"/>
  <c r="E69" i="20"/>
  <c r="E54" i="20" s="1"/>
  <c r="E26" i="20" s="1"/>
  <c r="N68" i="20"/>
  <c r="M68" i="20"/>
  <c r="M70" i="20" s="1"/>
  <c r="L68" i="20"/>
  <c r="K68" i="20"/>
  <c r="J68" i="20"/>
  <c r="I68" i="20"/>
  <c r="H68" i="20"/>
  <c r="G68" i="20"/>
  <c r="F68" i="20"/>
  <c r="E68" i="20"/>
  <c r="D68" i="20"/>
  <c r="C68" i="20"/>
  <c r="O68" i="20" s="1"/>
  <c r="O67" i="20"/>
  <c r="O66" i="20"/>
  <c r="O65" i="20"/>
  <c r="O64" i="20"/>
  <c r="O63" i="20"/>
  <c r="O62" i="20"/>
  <c r="O61" i="20"/>
  <c r="K54" i="20"/>
  <c r="K26" i="20" s="1"/>
  <c r="L53" i="20"/>
  <c r="H53" i="20"/>
  <c r="C53" i="20"/>
  <c r="O52" i="20"/>
  <c r="N51" i="20"/>
  <c r="N23" i="20" s="1"/>
  <c r="K51" i="20"/>
  <c r="O50" i="20"/>
  <c r="G50" i="20"/>
  <c r="D50" i="20"/>
  <c r="N49" i="20"/>
  <c r="M49" i="20"/>
  <c r="L49" i="20"/>
  <c r="L21" i="20" s="1"/>
  <c r="K49" i="20"/>
  <c r="G49" i="20"/>
  <c r="G53" i="20" s="1"/>
  <c r="C49" i="20"/>
  <c r="O48" i="20"/>
  <c r="N47" i="20"/>
  <c r="M47" i="20"/>
  <c r="M53" i="20" s="1"/>
  <c r="L47" i="20"/>
  <c r="K47" i="20"/>
  <c r="K53" i="20" s="1"/>
  <c r="J47" i="20"/>
  <c r="I47" i="20"/>
  <c r="I53" i="20" s="1"/>
  <c r="H47" i="20"/>
  <c r="G47" i="20"/>
  <c r="F47" i="20"/>
  <c r="E47" i="20"/>
  <c r="E53" i="20" s="1"/>
  <c r="E55" i="20" s="1"/>
  <c r="D47" i="20"/>
  <c r="C47" i="20"/>
  <c r="O47" i="20" s="1"/>
  <c r="O46" i="20"/>
  <c r="D45" i="20"/>
  <c r="D17" i="20" s="1"/>
  <c r="C45" i="20"/>
  <c r="L42" i="20"/>
  <c r="H42" i="20"/>
  <c r="O41" i="20"/>
  <c r="N40" i="20"/>
  <c r="N42" i="20" s="1"/>
  <c r="M40" i="20"/>
  <c r="M42" i="20" s="1"/>
  <c r="L40" i="20"/>
  <c r="K40" i="20"/>
  <c r="K42" i="20" s="1"/>
  <c r="I40" i="20"/>
  <c r="I42" i="20" s="1"/>
  <c r="H40" i="20"/>
  <c r="E40" i="20"/>
  <c r="E42" i="20" s="1"/>
  <c r="C40" i="20"/>
  <c r="O39" i="20"/>
  <c r="O38" i="20"/>
  <c r="O37" i="20"/>
  <c r="O36" i="20"/>
  <c r="J35" i="20"/>
  <c r="J40" i="20" s="1"/>
  <c r="J42" i="20" s="1"/>
  <c r="I35" i="20"/>
  <c r="G35" i="20"/>
  <c r="G40" i="20" s="1"/>
  <c r="G42" i="20" s="1"/>
  <c r="O34" i="20"/>
  <c r="C34" i="20"/>
  <c r="F33" i="20"/>
  <c r="F6" i="20" s="1"/>
  <c r="F13" i="20" s="1"/>
  <c r="D33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O24" i="20" s="1"/>
  <c r="M23" i="20"/>
  <c r="L23" i="20"/>
  <c r="K23" i="20"/>
  <c r="J23" i="20"/>
  <c r="I23" i="20"/>
  <c r="H23" i="20"/>
  <c r="G23" i="20"/>
  <c r="F23" i="20"/>
  <c r="E23" i="20"/>
  <c r="O23" i="20" s="1"/>
  <c r="D23" i="20"/>
  <c r="C23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N21" i="20"/>
  <c r="M21" i="20"/>
  <c r="K21" i="20"/>
  <c r="J21" i="20"/>
  <c r="I21" i="20"/>
  <c r="H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O20" i="20" s="1"/>
  <c r="M19" i="20"/>
  <c r="L19" i="20"/>
  <c r="K19" i="20"/>
  <c r="I19" i="20"/>
  <c r="H19" i="20"/>
  <c r="G19" i="20"/>
  <c r="E19" i="20"/>
  <c r="D19" i="20"/>
  <c r="C19" i="20"/>
  <c r="N18" i="20"/>
  <c r="M18" i="20"/>
  <c r="L18" i="20"/>
  <c r="K18" i="20"/>
  <c r="J18" i="20"/>
  <c r="I18" i="20"/>
  <c r="H18" i="20"/>
  <c r="F18" i="20"/>
  <c r="E18" i="20"/>
  <c r="D18" i="20"/>
  <c r="N17" i="20"/>
  <c r="M17" i="20"/>
  <c r="M25" i="20" s="1"/>
  <c r="K17" i="20"/>
  <c r="K25" i="20" s="1"/>
  <c r="K27" i="20" s="1"/>
  <c r="J17" i="20"/>
  <c r="I17" i="20"/>
  <c r="I25" i="20" s="1"/>
  <c r="H17" i="20"/>
  <c r="G17" i="20"/>
  <c r="F17" i="20"/>
  <c r="E17" i="20"/>
  <c r="K14" i="20"/>
  <c r="E14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O12" i="20" s="1"/>
  <c r="N11" i="20"/>
  <c r="M11" i="20"/>
  <c r="L11" i="20"/>
  <c r="K11" i="20"/>
  <c r="J11" i="20"/>
  <c r="I11" i="20"/>
  <c r="H11" i="20"/>
  <c r="G11" i="20"/>
  <c r="F11" i="20"/>
  <c r="E11" i="20"/>
  <c r="D11" i="20"/>
  <c r="C11" i="20"/>
  <c r="O11" i="20" s="1"/>
  <c r="N10" i="20"/>
  <c r="M10" i="20"/>
  <c r="L10" i="20"/>
  <c r="K10" i="20"/>
  <c r="J10" i="20"/>
  <c r="I10" i="20"/>
  <c r="H10" i="20"/>
  <c r="G10" i="20"/>
  <c r="F10" i="20"/>
  <c r="E10" i="20"/>
  <c r="D10" i="20"/>
  <c r="C10" i="20"/>
  <c r="O10" i="20" s="1"/>
  <c r="N9" i="20"/>
  <c r="M9" i="20"/>
  <c r="L9" i="20"/>
  <c r="K9" i="20"/>
  <c r="J9" i="20"/>
  <c r="I9" i="20"/>
  <c r="H9" i="20"/>
  <c r="H13" i="20" s="1"/>
  <c r="H15" i="20" s="1"/>
  <c r="G9" i="20"/>
  <c r="F9" i="20"/>
  <c r="E9" i="20"/>
  <c r="D9" i="20"/>
  <c r="C9" i="20"/>
  <c r="O9" i="20" s="1"/>
  <c r="N8" i="20"/>
  <c r="M8" i="20"/>
  <c r="M13" i="20" s="1"/>
  <c r="L8" i="20"/>
  <c r="K8" i="20"/>
  <c r="J8" i="20"/>
  <c r="I8" i="20"/>
  <c r="I13" i="20" s="1"/>
  <c r="H8" i="20"/>
  <c r="F8" i="20"/>
  <c r="E8" i="20"/>
  <c r="E13" i="20" s="1"/>
  <c r="E15" i="20" s="1"/>
  <c r="D8" i="20"/>
  <c r="C8" i="20"/>
  <c r="N7" i="20"/>
  <c r="N13" i="20" s="1"/>
  <c r="M7" i="20"/>
  <c r="L7" i="20"/>
  <c r="K7" i="20"/>
  <c r="J7" i="20"/>
  <c r="I7" i="20"/>
  <c r="H7" i="20"/>
  <c r="G7" i="20"/>
  <c r="F7" i="20"/>
  <c r="E7" i="20"/>
  <c r="D7" i="20"/>
  <c r="C7" i="20"/>
  <c r="O7" i="20" s="1"/>
  <c r="N6" i="20"/>
  <c r="M6" i="20"/>
  <c r="L6" i="20"/>
  <c r="L13" i="20" s="1"/>
  <c r="K6" i="20"/>
  <c r="K13" i="20" s="1"/>
  <c r="K15" i="20" s="1"/>
  <c r="J6" i="20"/>
  <c r="J13" i="20" s="1"/>
  <c r="I6" i="20"/>
  <c r="H6" i="20"/>
  <c r="G6" i="20"/>
  <c r="E6" i="20"/>
  <c r="C6" i="20"/>
  <c r="C13" i="20" s="1"/>
  <c r="D50" i="19"/>
  <c r="E50" i="19" s="1"/>
  <c r="C50" i="19"/>
  <c r="E49" i="19"/>
  <c r="E48" i="19"/>
  <c r="E47" i="19"/>
  <c r="E46" i="19"/>
  <c r="C43" i="19"/>
  <c r="D42" i="19"/>
  <c r="D43" i="19" s="1"/>
  <c r="E43" i="19" s="1"/>
  <c r="E41" i="19"/>
  <c r="E40" i="19"/>
  <c r="E39" i="19"/>
  <c r="E35" i="19"/>
  <c r="D35" i="19"/>
  <c r="C35" i="19"/>
  <c r="E34" i="19"/>
  <c r="E33" i="19"/>
  <c r="E32" i="19"/>
  <c r="E31" i="19"/>
  <c r="D28" i="19"/>
  <c r="E28" i="19" s="1"/>
  <c r="C28" i="19"/>
  <c r="D27" i="19"/>
  <c r="E27" i="19" s="1"/>
  <c r="E26" i="19"/>
  <c r="E25" i="19"/>
  <c r="E24" i="19"/>
  <c r="D20" i="19"/>
  <c r="E20" i="19" s="1"/>
  <c r="C20" i="19"/>
  <c r="E19" i="19"/>
  <c r="E18" i="19"/>
  <c r="E17" i="19"/>
  <c r="E16" i="19"/>
  <c r="C13" i="19"/>
  <c r="C12" i="19"/>
  <c r="E11" i="19"/>
  <c r="E10" i="19"/>
  <c r="E9" i="19"/>
  <c r="E44" i="18"/>
  <c r="E43" i="18"/>
  <c r="E39" i="18"/>
  <c r="D38" i="18"/>
  <c r="E38" i="18" s="1"/>
  <c r="C38" i="18"/>
  <c r="E36" i="18"/>
  <c r="D31" i="18"/>
  <c r="E31" i="18" s="1"/>
  <c r="C31" i="18"/>
  <c r="E30" i="18"/>
  <c r="D29" i="18"/>
  <c r="E29" i="18" s="1"/>
  <c r="C29" i="18"/>
  <c r="E28" i="18"/>
  <c r="E27" i="18"/>
  <c r="E26" i="18"/>
  <c r="D26" i="18"/>
  <c r="D32" i="18" s="1"/>
  <c r="C26" i="18"/>
  <c r="C32" i="18" s="1"/>
  <c r="C34" i="18" s="1"/>
  <c r="C41" i="18" s="1"/>
  <c r="D21" i="18"/>
  <c r="C21" i="18"/>
  <c r="D20" i="18"/>
  <c r="E20" i="18" s="1"/>
  <c r="E19" i="18"/>
  <c r="D19" i="18"/>
  <c r="E18" i="18"/>
  <c r="E17" i="18"/>
  <c r="E16" i="18"/>
  <c r="D15" i="18"/>
  <c r="E15" i="18" s="1"/>
  <c r="C12" i="18"/>
  <c r="E11" i="18"/>
  <c r="D10" i="18"/>
  <c r="D12" i="18" s="1"/>
  <c r="E9" i="18"/>
  <c r="E8" i="18"/>
  <c r="E7" i="18"/>
  <c r="D26" i="17"/>
  <c r="D24" i="17"/>
  <c r="E24" i="17" s="1"/>
  <c r="C24" i="17"/>
  <c r="C26" i="17" s="1"/>
  <c r="D23" i="17"/>
  <c r="E23" i="17" s="1"/>
  <c r="E22" i="17"/>
  <c r="E21" i="17"/>
  <c r="E20" i="17"/>
  <c r="E19" i="17"/>
  <c r="E15" i="17"/>
  <c r="E14" i="17"/>
  <c r="D11" i="17"/>
  <c r="D28" i="17" s="1"/>
  <c r="C11" i="17"/>
  <c r="C28" i="17" s="1"/>
  <c r="C30" i="17" s="1"/>
  <c r="E10" i="17"/>
  <c r="E7" i="17"/>
  <c r="R51" i="16"/>
  <c r="U51" i="16" s="1"/>
  <c r="U50" i="16" s="1"/>
  <c r="V50" i="16"/>
  <c r="W50" i="16" s="1"/>
  <c r="S50" i="16"/>
  <c r="Q50" i="16"/>
  <c r="M50" i="16"/>
  <c r="L50" i="16"/>
  <c r="R50" i="16" s="1"/>
  <c r="H50" i="16"/>
  <c r="R49" i="16"/>
  <c r="U49" i="16" s="1"/>
  <c r="Q49" i="16"/>
  <c r="M49" i="16"/>
  <c r="L49" i="16"/>
  <c r="H49" i="16"/>
  <c r="P48" i="16"/>
  <c r="Q48" i="16" s="1"/>
  <c r="O48" i="16"/>
  <c r="L48" i="16"/>
  <c r="R48" i="16" s="1"/>
  <c r="U48" i="16" s="1"/>
  <c r="J48" i="16"/>
  <c r="I48" i="16"/>
  <c r="G48" i="16"/>
  <c r="M48" i="16" s="1"/>
  <c r="F48" i="16"/>
  <c r="D48" i="16"/>
  <c r="C48" i="16"/>
  <c r="L45" i="16"/>
  <c r="J45" i="16"/>
  <c r="G45" i="16"/>
  <c r="H45" i="16" s="1"/>
  <c r="D45" i="16"/>
  <c r="Y44" i="16"/>
  <c r="Y46" i="16" s="1"/>
  <c r="Z43" i="16"/>
  <c r="Z44" i="16" s="1"/>
  <c r="Z46" i="16" s="1"/>
  <c r="Y43" i="16"/>
  <c r="AA42" i="16"/>
  <c r="Q42" i="16"/>
  <c r="L42" i="16"/>
  <c r="R42" i="16" s="1"/>
  <c r="U42" i="16" s="1"/>
  <c r="J42" i="16"/>
  <c r="K42" i="16" s="1"/>
  <c r="H42" i="16"/>
  <c r="G42" i="16"/>
  <c r="D42" i="16"/>
  <c r="E42" i="16" s="1"/>
  <c r="AA41" i="16"/>
  <c r="Q41" i="16"/>
  <c r="Q39" i="16" s="1"/>
  <c r="P41" i="16"/>
  <c r="L41" i="16"/>
  <c r="R41" i="16" s="1"/>
  <c r="U41" i="16" s="1"/>
  <c r="K41" i="16"/>
  <c r="J41" i="16"/>
  <c r="G41" i="16"/>
  <c r="E41" i="16"/>
  <c r="D41" i="16"/>
  <c r="AA40" i="16"/>
  <c r="R40" i="16"/>
  <c r="U40" i="16" s="1"/>
  <c r="U39" i="16" s="1"/>
  <c r="Q40" i="16"/>
  <c r="P40" i="16"/>
  <c r="L40" i="16"/>
  <c r="J40" i="16"/>
  <c r="K40" i="16" s="1"/>
  <c r="H40" i="16"/>
  <c r="G40" i="16"/>
  <c r="D40" i="16"/>
  <c r="AA39" i="16"/>
  <c r="Z39" i="16"/>
  <c r="X39" i="16"/>
  <c r="O39" i="16"/>
  <c r="J39" i="16"/>
  <c r="I39" i="16"/>
  <c r="I43" i="16" s="1"/>
  <c r="I44" i="16" s="1"/>
  <c r="I46" i="16" s="1"/>
  <c r="F39" i="16"/>
  <c r="F43" i="16" s="1"/>
  <c r="C39" i="16"/>
  <c r="C43" i="16" s="1"/>
  <c r="Q38" i="16"/>
  <c r="P38" i="16"/>
  <c r="P43" i="16" s="1"/>
  <c r="P44" i="16" s="1"/>
  <c r="L38" i="16"/>
  <c r="R38" i="16" s="1"/>
  <c r="U38" i="16" s="1"/>
  <c r="K38" i="16"/>
  <c r="J38" i="16"/>
  <c r="G38" i="16"/>
  <c r="H38" i="16" s="1"/>
  <c r="E38" i="16"/>
  <c r="D38" i="16"/>
  <c r="M38" i="16" s="1"/>
  <c r="O37" i="16"/>
  <c r="L37" i="16"/>
  <c r="J37" i="16"/>
  <c r="J43" i="16" s="1"/>
  <c r="H37" i="16"/>
  <c r="G37" i="16"/>
  <c r="D37" i="16"/>
  <c r="Y36" i="16"/>
  <c r="I36" i="16"/>
  <c r="P35" i="16"/>
  <c r="Q35" i="16" s="1"/>
  <c r="O35" i="16"/>
  <c r="L35" i="16"/>
  <c r="R35" i="16" s="1"/>
  <c r="U35" i="16" s="1"/>
  <c r="K35" i="16"/>
  <c r="J35" i="16"/>
  <c r="G35" i="16"/>
  <c r="H35" i="16" s="1"/>
  <c r="E35" i="16"/>
  <c r="D35" i="16"/>
  <c r="M35" i="16" s="1"/>
  <c r="N35" i="16" s="1"/>
  <c r="AA34" i="16"/>
  <c r="Q34" i="16"/>
  <c r="L34" i="16"/>
  <c r="R34" i="16" s="1"/>
  <c r="U34" i="16" s="1"/>
  <c r="J34" i="16"/>
  <c r="K34" i="16" s="1"/>
  <c r="G34" i="16"/>
  <c r="D34" i="16"/>
  <c r="E34" i="16" s="1"/>
  <c r="Q33" i="16"/>
  <c r="Q31" i="16" s="1"/>
  <c r="O33" i="16"/>
  <c r="L33" i="16"/>
  <c r="R33" i="16" s="1"/>
  <c r="U33" i="16" s="1"/>
  <c r="K33" i="16"/>
  <c r="J33" i="16"/>
  <c r="G33" i="16"/>
  <c r="H33" i="16" s="1"/>
  <c r="E33" i="16"/>
  <c r="D33" i="16"/>
  <c r="M33" i="16" s="1"/>
  <c r="Q32" i="16"/>
  <c r="L32" i="16"/>
  <c r="R32" i="16" s="1"/>
  <c r="U32" i="16" s="1"/>
  <c r="J32" i="16"/>
  <c r="H32" i="16"/>
  <c r="G32" i="16"/>
  <c r="D32" i="16"/>
  <c r="E32" i="16" s="1"/>
  <c r="E31" i="16" s="1"/>
  <c r="Z31" i="16"/>
  <c r="Z36" i="16" s="1"/>
  <c r="Y31" i="16"/>
  <c r="P31" i="16"/>
  <c r="P36" i="16" s="1"/>
  <c r="O31" i="16"/>
  <c r="O36" i="16" s="1"/>
  <c r="I31" i="16"/>
  <c r="F31" i="16"/>
  <c r="F36" i="16" s="1"/>
  <c r="C31" i="16"/>
  <c r="C36" i="16" s="1"/>
  <c r="R30" i="16"/>
  <c r="U30" i="16" s="1"/>
  <c r="P30" i="16"/>
  <c r="Q30" i="16" s="1"/>
  <c r="N30" i="16"/>
  <c r="M30" i="16"/>
  <c r="S30" i="16" s="1"/>
  <c r="L30" i="16"/>
  <c r="J30" i="16"/>
  <c r="H30" i="16"/>
  <c r="G30" i="16"/>
  <c r="D30" i="16"/>
  <c r="E30" i="16" s="1"/>
  <c r="Q29" i="16"/>
  <c r="P29" i="16"/>
  <c r="M29" i="16"/>
  <c r="L29" i="16"/>
  <c r="R29" i="16" s="1"/>
  <c r="U29" i="16" s="1"/>
  <c r="K29" i="16"/>
  <c r="H29" i="16"/>
  <c r="E29" i="16"/>
  <c r="Q28" i="16"/>
  <c r="P28" i="16"/>
  <c r="M28" i="16"/>
  <c r="L28" i="16"/>
  <c r="R28" i="16" s="1"/>
  <c r="U28" i="16" s="1"/>
  <c r="K28" i="16"/>
  <c r="H28" i="16"/>
  <c r="E28" i="16"/>
  <c r="S27" i="16"/>
  <c r="Q27" i="16"/>
  <c r="Q36" i="16" s="1"/>
  <c r="M27" i="16"/>
  <c r="L27" i="16"/>
  <c r="R27" i="16" s="1"/>
  <c r="U27" i="16" s="1"/>
  <c r="K27" i="16"/>
  <c r="H27" i="16"/>
  <c r="E27" i="16"/>
  <c r="E36" i="16" s="1"/>
  <c r="AA25" i="16"/>
  <c r="AA24" i="16"/>
  <c r="P22" i="16"/>
  <c r="O22" i="16"/>
  <c r="C22" i="16"/>
  <c r="AA21" i="16"/>
  <c r="P21" i="16"/>
  <c r="Q21" i="16" s="1"/>
  <c r="L21" i="16"/>
  <c r="R21" i="16" s="1"/>
  <c r="K21" i="16"/>
  <c r="J21" i="16"/>
  <c r="G21" i="16"/>
  <c r="E21" i="16"/>
  <c r="D21" i="16"/>
  <c r="AA20" i="16"/>
  <c r="Q20" i="16"/>
  <c r="P20" i="16"/>
  <c r="M20" i="16"/>
  <c r="L20" i="16"/>
  <c r="R20" i="16" s="1"/>
  <c r="K20" i="16"/>
  <c r="J20" i="16"/>
  <c r="H20" i="16"/>
  <c r="E20" i="16"/>
  <c r="AA19" i="16"/>
  <c r="Q19" i="16"/>
  <c r="P19" i="16"/>
  <c r="L19" i="16"/>
  <c r="O45" i="16" s="1"/>
  <c r="I19" i="16"/>
  <c r="F19" i="16"/>
  <c r="F22" i="16" s="1"/>
  <c r="E19" i="16"/>
  <c r="D19" i="16"/>
  <c r="C19" i="16"/>
  <c r="Q18" i="16"/>
  <c r="L18" i="16"/>
  <c r="R18" i="16" s="1"/>
  <c r="U18" i="16" s="1"/>
  <c r="U22" i="16" s="1"/>
  <c r="J18" i="16"/>
  <c r="H18" i="16"/>
  <c r="G18" i="16"/>
  <c r="D18" i="16"/>
  <c r="E18" i="16" s="1"/>
  <c r="E22" i="16" s="1"/>
  <c r="Y16" i="16"/>
  <c r="I16" i="16"/>
  <c r="AA15" i="16"/>
  <c r="R15" i="16"/>
  <c r="U15" i="16" s="1"/>
  <c r="P15" i="16"/>
  <c r="Q15" i="16" s="1"/>
  <c r="L15" i="16"/>
  <c r="J15" i="16"/>
  <c r="K15" i="16" s="1"/>
  <c r="H15" i="16"/>
  <c r="G15" i="16"/>
  <c r="D15" i="16"/>
  <c r="AA14" i="16"/>
  <c r="Q14" i="16"/>
  <c r="P14" i="16"/>
  <c r="P13" i="16" s="1"/>
  <c r="P16" i="16" s="1"/>
  <c r="P17" i="16" s="1"/>
  <c r="L14" i="16"/>
  <c r="R14" i="16" s="1"/>
  <c r="U14" i="16" s="1"/>
  <c r="K14" i="16"/>
  <c r="J14" i="16"/>
  <c r="G14" i="16"/>
  <c r="E14" i="16"/>
  <c r="D14" i="16"/>
  <c r="Z13" i="16"/>
  <c r="Z16" i="16" s="1"/>
  <c r="Y13" i="16"/>
  <c r="X13" i="16"/>
  <c r="AA13" i="16" s="1"/>
  <c r="Q13" i="16"/>
  <c r="Q16" i="16" s="1"/>
  <c r="O13" i="16"/>
  <c r="O16" i="16" s="1"/>
  <c r="J13" i="16"/>
  <c r="J16" i="16" s="1"/>
  <c r="I13" i="16"/>
  <c r="F13" i="16"/>
  <c r="F16" i="16" s="1"/>
  <c r="F17" i="16" s="1"/>
  <c r="C13" i="16"/>
  <c r="C16" i="16" s="1"/>
  <c r="C17" i="16" s="1"/>
  <c r="AA12" i="16"/>
  <c r="P12" i="16"/>
  <c r="Q12" i="16" s="1"/>
  <c r="L12" i="16"/>
  <c r="R12" i="16" s="1"/>
  <c r="U12" i="16" s="1"/>
  <c r="K12" i="16"/>
  <c r="J12" i="16"/>
  <c r="G12" i="16"/>
  <c r="H12" i="16" s="1"/>
  <c r="D12" i="16"/>
  <c r="M12" i="16" s="1"/>
  <c r="N12" i="16" s="1"/>
  <c r="P11" i="16"/>
  <c r="Q11" i="16" s="1"/>
  <c r="L11" i="16"/>
  <c r="R11" i="16" s="1"/>
  <c r="U11" i="16" s="1"/>
  <c r="X11" i="16" s="1"/>
  <c r="AA11" i="16" s="1"/>
  <c r="J11" i="16"/>
  <c r="K11" i="16" s="1"/>
  <c r="G11" i="16"/>
  <c r="H11" i="16" s="1"/>
  <c r="D11" i="16"/>
  <c r="E11" i="16" s="1"/>
  <c r="R10" i="16"/>
  <c r="U10" i="16" s="1"/>
  <c r="X10" i="16" s="1"/>
  <c r="P10" i="16"/>
  <c r="Q10" i="16" s="1"/>
  <c r="M10" i="16"/>
  <c r="S10" i="16" s="1"/>
  <c r="L10" i="16"/>
  <c r="K10" i="16"/>
  <c r="J10" i="16"/>
  <c r="H10" i="16"/>
  <c r="G10" i="16"/>
  <c r="E10" i="16"/>
  <c r="D10" i="16"/>
  <c r="Y9" i="16"/>
  <c r="Y23" i="16" s="1"/>
  <c r="I9" i="16"/>
  <c r="F9" i="16"/>
  <c r="C9" i="16"/>
  <c r="AA8" i="16"/>
  <c r="Q8" i="16"/>
  <c r="P8" i="16"/>
  <c r="L8" i="16"/>
  <c r="R8" i="16" s="1"/>
  <c r="U8" i="16" s="1"/>
  <c r="J8" i="16"/>
  <c r="K8" i="16" s="1"/>
  <c r="G8" i="16"/>
  <c r="H8" i="16" s="1"/>
  <c r="D8" i="16"/>
  <c r="M8" i="16" s="1"/>
  <c r="R7" i="16"/>
  <c r="U7" i="16" s="1"/>
  <c r="O7" i="16"/>
  <c r="Q7" i="16" s="1"/>
  <c r="M7" i="16"/>
  <c r="S7" i="16" s="1"/>
  <c r="L7" i="16"/>
  <c r="K7" i="16"/>
  <c r="J7" i="16"/>
  <c r="J9" i="16" s="1"/>
  <c r="H7" i="16"/>
  <c r="D7" i="16"/>
  <c r="E7" i="16" s="1"/>
  <c r="R6" i="16"/>
  <c r="U6" i="16" s="1"/>
  <c r="X6" i="16" s="1"/>
  <c r="AA6" i="16" s="1"/>
  <c r="P6" i="16"/>
  <c r="P9" i="16" s="1"/>
  <c r="M6" i="16"/>
  <c r="S6" i="16" s="1"/>
  <c r="L6" i="16"/>
  <c r="K6" i="16"/>
  <c r="J6" i="16"/>
  <c r="H6" i="16"/>
  <c r="G6" i="16"/>
  <c r="E6" i="16"/>
  <c r="D6" i="16"/>
  <c r="Z5" i="16"/>
  <c r="Z9" i="16" s="1"/>
  <c r="O5" i="16"/>
  <c r="O9" i="16" s="1"/>
  <c r="O23" i="16" s="1"/>
  <c r="M5" i="16"/>
  <c r="S5" i="16" s="1"/>
  <c r="L5" i="16"/>
  <c r="K5" i="16"/>
  <c r="H5" i="16"/>
  <c r="H9" i="16" s="1"/>
  <c r="E5" i="16"/>
  <c r="D5" i="16"/>
  <c r="D9" i="16" s="1"/>
  <c r="S78" i="15"/>
  <c r="N78" i="15"/>
  <c r="L78" i="15"/>
  <c r="J78" i="15"/>
  <c r="H78" i="15"/>
  <c r="F78" i="15"/>
  <c r="D78" i="15"/>
  <c r="B78" i="15"/>
  <c r="R77" i="15"/>
  <c r="R76" i="15"/>
  <c r="R75" i="15"/>
  <c r="R74" i="15"/>
  <c r="P73" i="15"/>
  <c r="P78" i="15" s="1"/>
  <c r="R72" i="15"/>
  <c r="P72" i="15"/>
  <c r="S70" i="15"/>
  <c r="R69" i="15"/>
  <c r="B69" i="15"/>
  <c r="R68" i="15"/>
  <c r="R66" i="15"/>
  <c r="R65" i="15"/>
  <c r="R64" i="15"/>
  <c r="R63" i="15"/>
  <c r="H62" i="15"/>
  <c r="R62" i="15" s="1"/>
  <c r="R61" i="15"/>
  <c r="R59" i="15"/>
  <c r="R58" i="15"/>
  <c r="R57" i="15"/>
  <c r="R56" i="15"/>
  <c r="R55" i="15"/>
  <c r="F55" i="15"/>
  <c r="R54" i="15"/>
  <c r="F53" i="15"/>
  <c r="F70" i="15" s="1"/>
  <c r="R52" i="15"/>
  <c r="R51" i="15"/>
  <c r="F51" i="15"/>
  <c r="R50" i="15"/>
  <c r="F49" i="15"/>
  <c r="R49" i="15" s="1"/>
  <c r="R48" i="15"/>
  <c r="R47" i="15"/>
  <c r="R46" i="15"/>
  <c r="R45" i="15"/>
  <c r="R44" i="15"/>
  <c r="R42" i="15"/>
  <c r="P42" i="15"/>
  <c r="R41" i="15"/>
  <c r="L40" i="15"/>
  <c r="J40" i="15"/>
  <c r="P40" i="15" s="1"/>
  <c r="R40" i="15" s="1"/>
  <c r="P39" i="15"/>
  <c r="R39" i="15" s="1"/>
  <c r="P38" i="15"/>
  <c r="R38" i="15" s="1"/>
  <c r="N38" i="15"/>
  <c r="L38" i="15"/>
  <c r="J38" i="15"/>
  <c r="R37" i="15"/>
  <c r="P37" i="15"/>
  <c r="N36" i="15"/>
  <c r="L36" i="15"/>
  <c r="P36" i="15" s="1"/>
  <c r="R36" i="15" s="1"/>
  <c r="J36" i="15"/>
  <c r="P35" i="15"/>
  <c r="R35" i="15" s="1"/>
  <c r="N34" i="15"/>
  <c r="L34" i="15"/>
  <c r="J34" i="15"/>
  <c r="P34" i="15" s="1"/>
  <c r="R34" i="15" s="1"/>
  <c r="P33" i="15"/>
  <c r="R33" i="15" s="1"/>
  <c r="N32" i="15"/>
  <c r="L32" i="15"/>
  <c r="J32" i="15"/>
  <c r="P32" i="15" s="1"/>
  <c r="R32" i="15" s="1"/>
  <c r="R31" i="15"/>
  <c r="P31" i="15"/>
  <c r="P30" i="15"/>
  <c r="R30" i="15" s="1"/>
  <c r="N30" i="15"/>
  <c r="L30" i="15"/>
  <c r="J30" i="15"/>
  <c r="R29" i="15"/>
  <c r="P29" i="15"/>
  <c r="N28" i="15"/>
  <c r="N70" i="15" s="1"/>
  <c r="L28" i="15"/>
  <c r="L70" i="15" s="1"/>
  <c r="J28" i="15"/>
  <c r="J70" i="15" s="1"/>
  <c r="J80" i="15" s="1"/>
  <c r="P27" i="15"/>
  <c r="R27" i="15" s="1"/>
  <c r="R25" i="15"/>
  <c r="P25" i="15"/>
  <c r="P23" i="15"/>
  <c r="R21" i="15"/>
  <c r="P21" i="15"/>
  <c r="B21" i="15"/>
  <c r="R19" i="15"/>
  <c r="P19" i="15"/>
  <c r="R17" i="15"/>
  <c r="P17" i="15"/>
  <c r="R15" i="15"/>
  <c r="P15" i="15"/>
  <c r="R13" i="15"/>
  <c r="P13" i="15"/>
  <c r="R11" i="15"/>
  <c r="P11" i="15"/>
  <c r="P9" i="15"/>
  <c r="B9" i="15"/>
  <c r="R9" i="15" s="1"/>
  <c r="R8" i="15"/>
  <c r="P8" i="15"/>
  <c r="D8" i="15"/>
  <c r="D70" i="15" s="1"/>
  <c r="E46" i="14"/>
  <c r="D46" i="14"/>
  <c r="C46" i="14"/>
  <c r="E35" i="14"/>
  <c r="D35" i="14"/>
  <c r="C35" i="14"/>
  <c r="E26" i="14"/>
  <c r="D26" i="14"/>
  <c r="C26" i="14"/>
  <c r="E18" i="14"/>
  <c r="E16" i="14" s="1"/>
  <c r="D16" i="14"/>
  <c r="C16" i="14"/>
  <c r="E13" i="14"/>
  <c r="D13" i="14"/>
  <c r="E12" i="14"/>
  <c r="D12" i="14"/>
  <c r="C12" i="14"/>
  <c r="E8" i="14"/>
  <c r="D8" i="14"/>
  <c r="C8" i="14"/>
  <c r="C7" i="14" s="1"/>
  <c r="C5" i="14" s="1"/>
  <c r="C40" i="14" s="1"/>
  <c r="C50" i="14" s="1"/>
  <c r="E7" i="14"/>
  <c r="E5" i="14" s="1"/>
  <c r="D7" i="14"/>
  <c r="D5" i="14"/>
  <c r="D40" i="14" s="1"/>
  <c r="M15" i="20" l="1"/>
  <c r="I27" i="20"/>
  <c r="G13" i="20"/>
  <c r="O6" i="20"/>
  <c r="E25" i="20"/>
  <c r="E27" i="20" s="1"/>
  <c r="D40" i="20"/>
  <c r="D42" i="20" s="1"/>
  <c r="O33" i="20"/>
  <c r="D25" i="20"/>
  <c r="D27" i="20" s="1"/>
  <c r="D6" i="20"/>
  <c r="D13" i="20" s="1"/>
  <c r="F53" i="20"/>
  <c r="F19" i="20"/>
  <c r="O19" i="20" s="1"/>
  <c r="N53" i="20"/>
  <c r="N19" i="20"/>
  <c r="N25" i="20" s="1"/>
  <c r="N27" i="20" s="1"/>
  <c r="O102" i="20"/>
  <c r="C18" i="20"/>
  <c r="C25" i="20" s="1"/>
  <c r="G8" i="20"/>
  <c r="O8" i="20" s="1"/>
  <c r="H25" i="20"/>
  <c r="G21" i="20"/>
  <c r="O21" i="20" s="1"/>
  <c r="O22" i="20"/>
  <c r="F40" i="20"/>
  <c r="F42" i="20" s="1"/>
  <c r="K55" i="20"/>
  <c r="O49" i="20"/>
  <c r="O51" i="20"/>
  <c r="D53" i="20"/>
  <c r="D55" i="20" s="1"/>
  <c r="E70" i="20"/>
  <c r="I70" i="20"/>
  <c r="M54" i="20"/>
  <c r="M26" i="20" s="1"/>
  <c r="M27" i="20" s="1"/>
  <c r="F81" i="20"/>
  <c r="F83" i="20" s="1"/>
  <c r="F69" i="20" s="1"/>
  <c r="O73" i="20"/>
  <c r="O81" i="20" s="1"/>
  <c r="O83" i="20" s="1"/>
  <c r="J69" i="20"/>
  <c r="E98" i="20"/>
  <c r="I98" i="20"/>
  <c r="M98" i="20"/>
  <c r="O101" i="20"/>
  <c r="O109" i="20" s="1"/>
  <c r="O111" i="20" s="1"/>
  <c r="C109" i="20"/>
  <c r="C111" i="20" s="1"/>
  <c r="C97" i="20" s="1"/>
  <c r="G109" i="20"/>
  <c r="G111" i="20" s="1"/>
  <c r="G97" i="20" s="1"/>
  <c r="E125" i="20"/>
  <c r="J125" i="20"/>
  <c r="N125" i="20"/>
  <c r="J124" i="20"/>
  <c r="O137" i="20"/>
  <c r="M55" i="20"/>
  <c r="N54" i="20"/>
  <c r="N26" i="20" s="1"/>
  <c r="N14" i="20"/>
  <c r="N15" i="20" s="1"/>
  <c r="C42" i="20"/>
  <c r="J53" i="20"/>
  <c r="J19" i="20"/>
  <c r="J25" i="20" s="1"/>
  <c r="I54" i="20"/>
  <c r="I26" i="20" s="1"/>
  <c r="G18" i="20"/>
  <c r="G25" i="20" s="1"/>
  <c r="I125" i="20"/>
  <c r="M125" i="20"/>
  <c r="O128" i="20"/>
  <c r="O136" i="20" s="1"/>
  <c r="C136" i="20"/>
  <c r="C138" i="20" s="1"/>
  <c r="C124" i="20" s="1"/>
  <c r="G136" i="20"/>
  <c r="G138" i="20" s="1"/>
  <c r="G124" i="20" s="1"/>
  <c r="G125" i="20" s="1"/>
  <c r="L136" i="20"/>
  <c r="L138" i="20" s="1"/>
  <c r="L124" i="20" s="1"/>
  <c r="L125" i="20" s="1"/>
  <c r="L17" i="20"/>
  <c r="L25" i="20" s="1"/>
  <c r="D14" i="20"/>
  <c r="I14" i="20"/>
  <c r="I15" i="20" s="1"/>
  <c r="O35" i="20"/>
  <c r="O45" i="20"/>
  <c r="F70" i="20"/>
  <c r="N70" i="20"/>
  <c r="D70" i="20"/>
  <c r="C70" i="20"/>
  <c r="H54" i="20"/>
  <c r="H26" i="20" s="1"/>
  <c r="F98" i="20"/>
  <c r="J98" i="20"/>
  <c r="N98" i="20"/>
  <c r="F125" i="20"/>
  <c r="E42" i="19"/>
  <c r="D12" i="19"/>
  <c r="C42" i="18"/>
  <c r="C45" i="18"/>
  <c r="D34" i="18"/>
  <c r="E32" i="18"/>
  <c r="E21" i="18"/>
  <c r="E10" i="18"/>
  <c r="E12" i="18" s="1"/>
  <c r="D30" i="17"/>
  <c r="E30" i="17" s="1"/>
  <c r="E28" i="17"/>
  <c r="E26" i="17"/>
  <c r="E11" i="17"/>
  <c r="M19" i="16"/>
  <c r="R45" i="16"/>
  <c r="U45" i="16" s="1"/>
  <c r="T30" i="16"/>
  <c r="V30" i="16"/>
  <c r="K9" i="16"/>
  <c r="V6" i="16"/>
  <c r="W6" i="16" s="1"/>
  <c r="T6" i="16"/>
  <c r="T7" i="16"/>
  <c r="V7" i="16"/>
  <c r="L17" i="16"/>
  <c r="R17" i="16" s="1"/>
  <c r="U17" i="16" s="1"/>
  <c r="O17" i="16"/>
  <c r="U36" i="16"/>
  <c r="N8" i="16"/>
  <c r="S8" i="16"/>
  <c r="X16" i="16"/>
  <c r="AA10" i="16"/>
  <c r="P23" i="16"/>
  <c r="J23" i="16"/>
  <c r="V10" i="16"/>
  <c r="W10" i="16" s="1"/>
  <c r="T10" i="16"/>
  <c r="V5" i="16"/>
  <c r="E9" i="16"/>
  <c r="S38" i="16"/>
  <c r="N38" i="16"/>
  <c r="D39" i="16"/>
  <c r="D43" i="16" s="1"/>
  <c r="E40" i="16"/>
  <c r="E39" i="16" s="1"/>
  <c r="K45" i="16"/>
  <c r="Q5" i="16"/>
  <c r="Q9" i="16" s="1"/>
  <c r="Q23" i="16" s="1"/>
  <c r="Q6" i="16"/>
  <c r="N7" i="16"/>
  <c r="E8" i="16"/>
  <c r="F23" i="16"/>
  <c r="M11" i="16"/>
  <c r="E12" i="16"/>
  <c r="H14" i="16"/>
  <c r="H13" i="16" s="1"/>
  <c r="H16" i="16" s="1"/>
  <c r="H17" i="16" s="1"/>
  <c r="G13" i="16"/>
  <c r="G16" i="16" s="1"/>
  <c r="G17" i="16" s="1"/>
  <c r="M18" i="16"/>
  <c r="I22" i="16"/>
  <c r="L22" i="16" s="1"/>
  <c r="R22" i="16" s="1"/>
  <c r="J19" i="16"/>
  <c r="K19" i="16" s="1"/>
  <c r="S29" i="16"/>
  <c r="N29" i="16"/>
  <c r="M32" i="16"/>
  <c r="S33" i="16"/>
  <c r="N33" i="16"/>
  <c r="R37" i="16"/>
  <c r="U37" i="16" s="1"/>
  <c r="U43" i="16" s="1"/>
  <c r="O43" i="16"/>
  <c r="O44" i="16" s="1"/>
  <c r="O46" i="16" s="1"/>
  <c r="Q37" i="16"/>
  <c r="Q43" i="16" s="1"/>
  <c r="Q44" i="16" s="1"/>
  <c r="M40" i="16"/>
  <c r="H41" i="16"/>
  <c r="G39" i="16"/>
  <c r="G43" i="16" s="1"/>
  <c r="T50" i="16"/>
  <c r="J17" i="16"/>
  <c r="G19" i="16"/>
  <c r="H21" i="16"/>
  <c r="S28" i="16"/>
  <c r="N28" i="16"/>
  <c r="H34" i="16"/>
  <c r="H31" i="16" s="1"/>
  <c r="G31" i="16"/>
  <c r="G36" i="16" s="1"/>
  <c r="S35" i="16"/>
  <c r="R5" i="16"/>
  <c r="U5" i="16" s="1"/>
  <c r="G9" i="16"/>
  <c r="Z17" i="16"/>
  <c r="D13" i="16"/>
  <c r="E15" i="16"/>
  <c r="E13" i="16" s="1"/>
  <c r="E16" i="16" s="1"/>
  <c r="E17" i="16" s="1"/>
  <c r="I17" i="16"/>
  <c r="Y17" i="16"/>
  <c r="R19" i="16"/>
  <c r="U19" i="16" s="1"/>
  <c r="M21" i="16"/>
  <c r="D22" i="16"/>
  <c r="T27" i="16"/>
  <c r="V27" i="16"/>
  <c r="D31" i="16"/>
  <c r="M37" i="16"/>
  <c r="C44" i="16"/>
  <c r="L43" i="16"/>
  <c r="R43" i="16" s="1"/>
  <c r="S48" i="16"/>
  <c r="N48" i="16"/>
  <c r="S12" i="16"/>
  <c r="H36" i="16"/>
  <c r="U31" i="16"/>
  <c r="C23" i="16"/>
  <c r="N5" i="16"/>
  <c r="N6" i="16"/>
  <c r="L9" i="16"/>
  <c r="R9" i="16" s="1"/>
  <c r="U9" i="16" s="1"/>
  <c r="N10" i="16"/>
  <c r="M14" i="16"/>
  <c r="K13" i="16"/>
  <c r="K16" i="16" s="1"/>
  <c r="K17" i="16" s="1"/>
  <c r="M15" i="16"/>
  <c r="L16" i="16"/>
  <c r="R16" i="16" s="1"/>
  <c r="U16" i="16" s="1"/>
  <c r="J22" i="16"/>
  <c r="K18" i="16"/>
  <c r="K22" i="16" s="1"/>
  <c r="Q22" i="16"/>
  <c r="S20" i="16"/>
  <c r="N20" i="16"/>
  <c r="N27" i="16"/>
  <c r="M34" i="16"/>
  <c r="E37" i="16"/>
  <c r="E43" i="16" s="1"/>
  <c r="E44" i="16" s="1"/>
  <c r="K37" i="16"/>
  <c r="K43" i="16" s="1"/>
  <c r="F44" i="16"/>
  <c r="F46" i="16" s="1"/>
  <c r="M45" i="16"/>
  <c r="N50" i="16"/>
  <c r="J36" i="16"/>
  <c r="J44" i="16" s="1"/>
  <c r="J46" i="16" s="1"/>
  <c r="K30" i="16"/>
  <c r="L31" i="16"/>
  <c r="R31" i="16" s="1"/>
  <c r="H39" i="16"/>
  <c r="H43" i="16" s="1"/>
  <c r="H44" i="16" s="1"/>
  <c r="H46" i="16" s="1"/>
  <c r="M41" i="16"/>
  <c r="M42" i="16"/>
  <c r="E45" i="16"/>
  <c r="E46" i="16" s="1"/>
  <c r="H48" i="16"/>
  <c r="N49" i="16"/>
  <c r="L13" i="16"/>
  <c r="R13" i="16" s="1"/>
  <c r="U13" i="16" s="1"/>
  <c r="K36" i="16"/>
  <c r="J31" i="16"/>
  <c r="K32" i="16"/>
  <c r="K31" i="16" s="1"/>
  <c r="L39" i="16"/>
  <c r="R39" i="16" s="1"/>
  <c r="K39" i="16"/>
  <c r="S49" i="16"/>
  <c r="D80" i="15"/>
  <c r="L80" i="15"/>
  <c r="F80" i="15"/>
  <c r="N80" i="15"/>
  <c r="R78" i="15"/>
  <c r="H70" i="15"/>
  <c r="H80" i="15" s="1"/>
  <c r="R23" i="15"/>
  <c r="R6" i="15" s="1"/>
  <c r="P28" i="15"/>
  <c r="R28" i="15" s="1"/>
  <c r="B70" i="15"/>
  <c r="B80" i="15" s="1"/>
  <c r="B81" i="15" s="1"/>
  <c r="R73" i="15"/>
  <c r="R53" i="15"/>
  <c r="D50" i="14"/>
  <c r="E40" i="14"/>
  <c r="E50" i="14"/>
  <c r="J54" i="20" l="1"/>
  <c r="J26" i="20" s="1"/>
  <c r="J27" i="20" s="1"/>
  <c r="J14" i="20"/>
  <c r="J15" i="20" s="1"/>
  <c r="O69" i="20"/>
  <c r="O70" i="20" s="1"/>
  <c r="J70" i="20"/>
  <c r="H27" i="20"/>
  <c r="O17" i="20"/>
  <c r="O40" i="20"/>
  <c r="O42" i="20" s="1"/>
  <c r="O13" i="20"/>
  <c r="C125" i="20"/>
  <c r="O124" i="20"/>
  <c r="O125" i="20" s="1"/>
  <c r="J55" i="20"/>
  <c r="H55" i="20"/>
  <c r="G98" i="20"/>
  <c r="G54" i="20"/>
  <c r="G14" i="20"/>
  <c r="G15" i="20" s="1"/>
  <c r="F54" i="20"/>
  <c r="F26" i="20" s="1"/>
  <c r="F14" i="20"/>
  <c r="F15" i="20" s="1"/>
  <c r="D15" i="20"/>
  <c r="F25" i="20"/>
  <c r="F27" i="20" s="1"/>
  <c r="L14" i="20"/>
  <c r="L15" i="20" s="1"/>
  <c r="L54" i="20"/>
  <c r="O53" i="20"/>
  <c r="O138" i="20"/>
  <c r="C98" i="20"/>
  <c r="O97" i="20"/>
  <c r="O98" i="20" s="1"/>
  <c r="C14" i="20"/>
  <c r="O18" i="20"/>
  <c r="N55" i="20"/>
  <c r="I55" i="20"/>
  <c r="C54" i="20"/>
  <c r="E12" i="19"/>
  <c r="D13" i="19"/>
  <c r="E13" i="19" s="1"/>
  <c r="E34" i="18"/>
  <c r="D41" i="18"/>
  <c r="G44" i="16"/>
  <c r="G46" i="16" s="1"/>
  <c r="M43" i="16"/>
  <c r="T49" i="16"/>
  <c r="V49" i="16"/>
  <c r="W49" i="16" s="1"/>
  <c r="N42" i="16"/>
  <c r="S42" i="16"/>
  <c r="N45" i="16"/>
  <c r="N34" i="16"/>
  <c r="S34" i="16"/>
  <c r="T20" i="16"/>
  <c r="V20" i="16"/>
  <c r="W20" i="16" s="1"/>
  <c r="N37" i="16"/>
  <c r="S37" i="16"/>
  <c r="N32" i="16"/>
  <c r="S32" i="16"/>
  <c r="V38" i="16"/>
  <c r="T38" i="16"/>
  <c r="W5" i="16"/>
  <c r="X5" i="16"/>
  <c r="X7" i="16"/>
  <c r="AA7" i="16" s="1"/>
  <c r="W7" i="16"/>
  <c r="K23" i="16"/>
  <c r="X45" i="16"/>
  <c r="S41" i="16"/>
  <c r="N41" i="16"/>
  <c r="S15" i="16"/>
  <c r="N15" i="16"/>
  <c r="U23" i="16"/>
  <c r="V48" i="16"/>
  <c r="W48" i="16" s="1"/>
  <c r="T48" i="16"/>
  <c r="M22" i="16"/>
  <c r="G23" i="16"/>
  <c r="G22" i="16"/>
  <c r="H19" i="16"/>
  <c r="H22" i="16" s="1"/>
  <c r="U44" i="16"/>
  <c r="U46" i="16" s="1"/>
  <c r="N18" i="16"/>
  <c r="S18" i="16"/>
  <c r="N11" i="16"/>
  <c r="S11" i="16"/>
  <c r="Q17" i="16"/>
  <c r="AA16" i="16"/>
  <c r="K44" i="16"/>
  <c r="M31" i="16"/>
  <c r="D36" i="16"/>
  <c r="L36" i="16" s="1"/>
  <c r="S21" i="16"/>
  <c r="N21" i="16"/>
  <c r="S40" i="16"/>
  <c r="N40" i="16"/>
  <c r="T29" i="16"/>
  <c r="V29" i="16"/>
  <c r="M39" i="16"/>
  <c r="E23" i="16"/>
  <c r="V8" i="16"/>
  <c r="W8" i="16" s="1"/>
  <c r="T8" i="16"/>
  <c r="X30" i="16"/>
  <c r="AA30" i="16" s="1"/>
  <c r="W30" i="16"/>
  <c r="P45" i="16"/>
  <c r="S19" i="16"/>
  <c r="N19" i="16"/>
  <c r="S14" i="16"/>
  <c r="N14" i="16"/>
  <c r="V12" i="16"/>
  <c r="W12" i="16" s="1"/>
  <c r="T12" i="16"/>
  <c r="C46" i="16"/>
  <c r="L46" i="16" s="1"/>
  <c r="R46" i="16" s="1"/>
  <c r="L44" i="16"/>
  <c r="R44" i="16" s="1"/>
  <c r="X27" i="16"/>
  <c r="W27" i="16"/>
  <c r="D16" i="16"/>
  <c r="M13" i="16"/>
  <c r="V35" i="16"/>
  <c r="T35" i="16"/>
  <c r="T28" i="16"/>
  <c r="V28" i="16"/>
  <c r="V33" i="16"/>
  <c r="T33" i="16"/>
  <c r="K46" i="16"/>
  <c r="T5" i="16"/>
  <c r="M9" i="16"/>
  <c r="I23" i="16"/>
  <c r="L23" i="16" s="1"/>
  <c r="R23" i="16" s="1"/>
  <c r="H23" i="16"/>
  <c r="P70" i="15"/>
  <c r="G26" i="20" l="1"/>
  <c r="G27" i="20" s="1"/>
  <c r="G55" i="20"/>
  <c r="O25" i="20"/>
  <c r="O14" i="20"/>
  <c r="C15" i="20"/>
  <c r="L26" i="20"/>
  <c r="L27" i="20" s="1"/>
  <c r="L55" i="20"/>
  <c r="F55" i="20"/>
  <c r="C26" i="20"/>
  <c r="O54" i="20"/>
  <c r="O55" i="20" s="1"/>
  <c r="C55" i="20"/>
  <c r="O15" i="20"/>
  <c r="E41" i="18"/>
  <c r="D45" i="18"/>
  <c r="E45" i="18" s="1"/>
  <c r="D42" i="18"/>
  <c r="E42" i="18" s="1"/>
  <c r="X35" i="16"/>
  <c r="AA35" i="16" s="1"/>
  <c r="W35" i="16"/>
  <c r="T40" i="16"/>
  <c r="V40" i="16"/>
  <c r="V41" i="16"/>
  <c r="W41" i="16" s="1"/>
  <c r="T41" i="16"/>
  <c r="V37" i="16"/>
  <c r="T37" i="16"/>
  <c r="X28" i="16"/>
  <c r="AA28" i="16" s="1"/>
  <c r="W28" i="16"/>
  <c r="S13" i="16"/>
  <c r="N13" i="16"/>
  <c r="AA27" i="16"/>
  <c r="T19" i="16"/>
  <c r="V19" i="16"/>
  <c r="W19" i="16" s="1"/>
  <c r="X29" i="16"/>
  <c r="AA29" i="16" s="1"/>
  <c r="W29" i="16"/>
  <c r="T11" i="16"/>
  <c r="V11" i="16"/>
  <c r="W11" i="16" s="1"/>
  <c r="N22" i="16"/>
  <c r="S22" i="16"/>
  <c r="T22" i="16" s="1"/>
  <c r="AA45" i="16"/>
  <c r="W38" i="16"/>
  <c r="X38" i="16"/>
  <c r="AA38" i="16" s="1"/>
  <c r="T34" i="16"/>
  <c r="V34" i="16"/>
  <c r="W34" i="16" s="1"/>
  <c r="V42" i="16"/>
  <c r="W42" i="16" s="1"/>
  <c r="T42" i="16"/>
  <c r="S43" i="16"/>
  <c r="T43" i="16" s="1"/>
  <c r="N43" i="16"/>
  <c r="S9" i="16"/>
  <c r="N9" i="16"/>
  <c r="N31" i="16"/>
  <c r="S31" i="16"/>
  <c r="T31" i="16" s="1"/>
  <c r="D17" i="16"/>
  <c r="M17" i="16" s="1"/>
  <c r="M16" i="16"/>
  <c r="D23" i="16"/>
  <c r="M23" i="16" s="1"/>
  <c r="Q45" i="16"/>
  <c r="Q46" i="16" s="1"/>
  <c r="P46" i="16"/>
  <c r="V21" i="16"/>
  <c r="W21" i="16" s="1"/>
  <c r="T21" i="16"/>
  <c r="T15" i="16"/>
  <c r="V15" i="16"/>
  <c r="W15" i="16" s="1"/>
  <c r="X9" i="16"/>
  <c r="AA5" i="16"/>
  <c r="V32" i="16"/>
  <c r="T32" i="16"/>
  <c r="D44" i="16"/>
  <c r="W33" i="16"/>
  <c r="X33" i="16"/>
  <c r="AA33" i="16" s="1"/>
  <c r="N39" i="16"/>
  <c r="S39" i="16"/>
  <c r="T39" i="16" s="1"/>
  <c r="V14" i="16"/>
  <c r="W14" i="16" s="1"/>
  <c r="T14" i="16"/>
  <c r="R36" i="16"/>
  <c r="M36" i="16"/>
  <c r="V18" i="16"/>
  <c r="T18" i="16"/>
  <c r="S45" i="16"/>
  <c r="R70" i="15"/>
  <c r="R80" i="15" s="1"/>
  <c r="P80" i="15"/>
  <c r="J81" i="15" s="1"/>
  <c r="O27" i="20" l="1"/>
  <c r="O26" i="20"/>
  <c r="C27" i="20"/>
  <c r="V31" i="16"/>
  <c r="X32" i="16"/>
  <c r="W32" i="16"/>
  <c r="V39" i="16"/>
  <c r="W39" i="16" s="1"/>
  <c r="W40" i="16"/>
  <c r="V22" i="16"/>
  <c r="W22" i="16" s="1"/>
  <c r="X18" i="16"/>
  <c r="W18" i="16"/>
  <c r="S23" i="16"/>
  <c r="T23" i="16" s="1"/>
  <c r="N23" i="16"/>
  <c r="T13" i="16"/>
  <c r="V13" i="16"/>
  <c r="W13" i="16" s="1"/>
  <c r="W37" i="16"/>
  <c r="X37" i="16"/>
  <c r="S36" i="16"/>
  <c r="T36" i="16" s="1"/>
  <c r="N36" i="16"/>
  <c r="M44" i="16"/>
  <c r="D46" i="16"/>
  <c r="M46" i="16" s="1"/>
  <c r="X23" i="16"/>
  <c r="AA23" i="16" s="1"/>
  <c r="AA9" i="16"/>
  <c r="X17" i="16"/>
  <c r="AA17" i="16" s="1"/>
  <c r="S16" i="16"/>
  <c r="N16" i="16"/>
  <c r="T45" i="16"/>
  <c r="V45" i="16"/>
  <c r="N17" i="16"/>
  <c r="S17" i="16"/>
  <c r="T9" i="16"/>
  <c r="W9" i="16" s="1"/>
  <c r="V9" i="16"/>
  <c r="V16" i="16" l="1"/>
  <c r="T16" i="16"/>
  <c r="W16" i="16" s="1"/>
  <c r="N46" i="16"/>
  <c r="S46" i="16"/>
  <c r="T46" i="16" s="1"/>
  <c r="X43" i="16"/>
  <c r="AA37" i="16"/>
  <c r="AA18" i="16"/>
  <c r="X22" i="16"/>
  <c r="AA22" i="16" s="1"/>
  <c r="V17" i="16"/>
  <c r="T17" i="16"/>
  <c r="W17" i="16" s="1"/>
  <c r="V23" i="16"/>
  <c r="W23" i="16" s="1"/>
  <c r="W45" i="16"/>
  <c r="S44" i="16"/>
  <c r="T44" i="16" s="1"/>
  <c r="N44" i="16"/>
  <c r="V43" i="16"/>
  <c r="AA32" i="16"/>
  <c r="X31" i="16"/>
  <c r="W31" i="16"/>
  <c r="V36" i="16"/>
  <c r="W36" i="16" s="1"/>
  <c r="AA31" i="16" l="1"/>
  <c r="X36" i="16"/>
  <c r="AA36" i="16" s="1"/>
  <c r="V44" i="16"/>
  <c r="W43" i="16"/>
  <c r="AA43" i="16"/>
  <c r="X44" i="16"/>
  <c r="W44" i="16" l="1"/>
  <c r="V46" i="16"/>
  <c r="W46" i="16" s="1"/>
  <c r="AA44" i="16"/>
  <c r="X46" i="16"/>
  <c r="AA46" i="16" s="1"/>
  <c r="B8" i="12" l="1"/>
  <c r="B29" i="12" l="1"/>
  <c r="B30" i="12" s="1"/>
  <c r="B45" i="12" s="1"/>
  <c r="B17" i="12"/>
  <c r="B16" i="12"/>
  <c r="B15" i="12"/>
  <c r="B10" i="12"/>
  <c r="H22" i="9" l="1"/>
  <c r="H23" i="9"/>
  <c r="H24" i="9"/>
  <c r="H25" i="9"/>
  <c r="H26" i="9"/>
  <c r="E27" i="9"/>
  <c r="F27" i="9"/>
  <c r="G27" i="9"/>
  <c r="D27" i="9"/>
  <c r="H21" i="9"/>
  <c r="E14" i="9"/>
  <c r="F14" i="9"/>
  <c r="G14" i="9"/>
  <c r="D14" i="9"/>
  <c r="H8" i="9"/>
  <c r="H9" i="9"/>
  <c r="H10" i="9"/>
  <c r="H11" i="9"/>
  <c r="H12" i="9"/>
  <c r="H13" i="9"/>
  <c r="H7" i="9"/>
  <c r="H27" i="9" l="1"/>
  <c r="H14" i="9"/>
</calcChain>
</file>

<file path=xl/sharedStrings.xml><?xml version="1.0" encoding="utf-8"?>
<sst xmlns="http://schemas.openxmlformats.org/spreadsheetml/2006/main" count="906" uniqueCount="373">
  <si>
    <t>Dologi kiadások</t>
  </si>
  <si>
    <t>Ellátottak pénzbeli juttatásai</t>
  </si>
  <si>
    <t>Beruházások</t>
  </si>
  <si>
    <t>Beruházás</t>
  </si>
  <si>
    <t>Felújítás</t>
  </si>
  <si>
    <t>Gencsapáti Község Önkormányzat és intézményei bevételei és kiadásai 2018. évben</t>
  </si>
  <si>
    <t>Bevételi előirányzatok (e Ft-ban)</t>
  </si>
  <si>
    <t>Gencsapáti Idősek Klubja</t>
  </si>
  <si>
    <t xml:space="preserve">Gencsapáti Művelődési Ház és Iskolai Könyvtár </t>
  </si>
  <si>
    <t>Gencsapáti Polgármesteri Hivatal</t>
  </si>
  <si>
    <t>Intézmények összesen:</t>
  </si>
  <si>
    <t>Gencsapáti Község Önkormányzata</t>
  </si>
  <si>
    <t xml:space="preserve">Gencsapáti Község Önkormányzata és intézményei </t>
  </si>
  <si>
    <t>Gencsapáti Község Önkormányzata és intézményei központi írányítószervi támogatást nettósítva</t>
  </si>
  <si>
    <t>feladatjelleg szerint: - kötelező feladatok</t>
  </si>
  <si>
    <t>feladatjelleg szerint: - önként vállalt feladatok</t>
  </si>
  <si>
    <t>feladatjelleg szerint: - államigazgatási feladatok</t>
  </si>
  <si>
    <t>Működési célú támogatások álamháztartáson belülről</t>
  </si>
  <si>
    <t>Közhatalmi bevételek</t>
  </si>
  <si>
    <t>Működési bevételek</t>
  </si>
  <si>
    <t>Működési célú átvett pénzeszközök</t>
  </si>
  <si>
    <t>Működési célú költségvetési bevételek összesen:</t>
  </si>
  <si>
    <t>Felhalmozási célú támogatások államháztartáson belülről</t>
  </si>
  <si>
    <t xml:space="preserve">                - ebből felhalmozási célú állami támogatás </t>
  </si>
  <si>
    <t>Felhalmozási bevételek</t>
  </si>
  <si>
    <t>Felhalmozási célú átvett pénzeszközök</t>
  </si>
  <si>
    <t xml:space="preserve">     -  ebből egyéb felh c visszat. támogatások, kölcsönök</t>
  </si>
  <si>
    <t xml:space="preserve">     -  ebből egyéb felh. célú átvett pénzeszközök</t>
  </si>
  <si>
    <t>Felhalmozási célú költségvetési bevételek összesen:</t>
  </si>
  <si>
    <t xml:space="preserve">KÖLTSÉGVETÉSI BEVÉTELEK ÖSSZESEN: </t>
  </si>
  <si>
    <t>Előző évi maradvány</t>
  </si>
  <si>
    <t>Központi irányítószervi támogatás</t>
  </si>
  <si>
    <t xml:space="preserve">FINANSZÍROZÁSI BEVÉTELEK ÖSSZESEN: </t>
  </si>
  <si>
    <t>BEVÉTELI ELŐIRÁNYZAT MINDÖSSZESEN:</t>
  </si>
  <si>
    <t>Kiadási előirányzatok (e Ft-ban)</t>
  </si>
  <si>
    <t>Személyi juttatások</t>
  </si>
  <si>
    <t>Munkaadókat terhelő járulékok</t>
  </si>
  <si>
    <t xml:space="preserve">Egyéb működési célú kiadások </t>
  </si>
  <si>
    <t xml:space="preserve">               -ebből elvonások, befizetések</t>
  </si>
  <si>
    <t xml:space="preserve">               -ebből működési célú támogatások áht-n belülre</t>
  </si>
  <si>
    <t xml:space="preserve">               -ebből működési célú támogatások áht-n kívülre</t>
  </si>
  <si>
    <t xml:space="preserve">               -ebből tartalékok</t>
  </si>
  <si>
    <t>Működési célú költségvetési kiadások összesen:</t>
  </si>
  <si>
    <t>Egyéb felhalmozási célú kiadások</t>
  </si>
  <si>
    <t xml:space="preserve">               -ebből felh. C. visszat. támogatások, kölcsönök nyújtása</t>
  </si>
  <si>
    <t xml:space="preserve">               -ebből egyéb felh. célú támogatások áht-n blülre</t>
  </si>
  <si>
    <t xml:space="preserve">               -ebből egyéb felh. célú támogatások áht-n kívülre</t>
  </si>
  <si>
    <t>Felhalmozási célú költségvetési kiadások  összesen:</t>
  </si>
  <si>
    <t xml:space="preserve">FINANSZÍROZÁSI CÉLÚ KIADÁSOK ÖSSZESEN: </t>
  </si>
  <si>
    <t>KIADÁSI ELŐIRÁNYZAT MINDÖSSZESEN:</t>
  </si>
  <si>
    <t>LÉTSZÁM (engedélyezett létszámkeret közfogalkoztatottak nélkül)</t>
  </si>
  <si>
    <t xml:space="preserve">  -ebből  szakmai létszám</t>
  </si>
  <si>
    <t xml:space="preserve">  - ebből  technikai létszám</t>
  </si>
  <si>
    <t>KÖZFOGLALKOZTATOTTAK létszáma</t>
  </si>
  <si>
    <t>Gencsapáti Község Önkormányzatának központilag szabályozott bevételei 2017. és 2018. években</t>
  </si>
  <si>
    <t>Jogcím</t>
  </si>
  <si>
    <t>I.) Települési önkromáynzatok működésének támogatása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</si>
  <si>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</si>
  <si>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</si>
  <si>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</si>
  <si>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</si>
  <si>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</si>
  <si>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</si>
  <si>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</si>
  <si>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</si>
  <si>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>5. 2016/2017. évről áthúzódó bérkompenzáció</t>
  </si>
  <si>
    <t>6. Polgármesteri illetmény támogatása</t>
  </si>
  <si>
    <t>II.) Települési önkormányzatok egyes köznevelési feladatainak támogatása</t>
  </si>
  <si>
    <t>1.1 (1)1  óvodapedagógusok bértámogatás 8 hónapra</t>
  </si>
  <si>
    <t>1.1 (2)1  óvodapedagógusok munkáját közvetlenül segítők bértámogatás 8 hónapra</t>
  </si>
  <si>
    <t>1.1 (1)2  óvodapedagógusok bértámogatás 4 hónapra</t>
  </si>
  <si>
    <t>1.1 (2)2  óvodapedagógusok munkáját közvetlenül segítők bértámogatás 4 hónapra</t>
  </si>
  <si>
    <t>1.1 (4)2  óvodapedagógusok bértámogatása pótlólagos összeg</t>
  </si>
  <si>
    <t>2 (1)1 . Óvodaműködtetési támogatás 8 hónapra</t>
  </si>
  <si>
    <t>2 (1)2  . Óvodaműködtetési támogatás 4 hónapra</t>
  </si>
  <si>
    <t>4.  Pedagógus II. kategóriába sorolt óvodapedagógusok kiegészítő támogatása</t>
  </si>
  <si>
    <t>III.) Települési önkormányzatok szociális és gyermekjóléti feladatainak támogatása</t>
  </si>
  <si>
    <t>2. Települési önkormányzatok szociális feladatainak egyéb támogatása</t>
  </si>
  <si>
    <t>3.c.  Egyes szociális és gyermekjóléti feladatok támogatása - szociális étkeztetés</t>
  </si>
  <si>
    <t>3.d  Egyes szociális és gyermekjóléti feladatok támogatása - házi segítségnyújtás szociális segítés</t>
  </si>
  <si>
    <t>3.d  Egyes szociális és gyermekjóléti feladatok támogatása - házi segítségnyújtás személyi gondozás</t>
  </si>
  <si>
    <t>3.f  Egyes szociális és gyermekjóléti feladatok támogatása - időskorúak nappali intézményi ellátása</t>
  </si>
  <si>
    <t>5. a) Gyermekétkeztetés támogatása: elismerhető dolgozók bértámogatása</t>
  </si>
  <si>
    <t>5. b) Gyermekétkeztetés támogatása: üzemeltetési támogatás</t>
  </si>
  <si>
    <t>IV.) Települési önkormányzatok kulturális feledatainak támogatása</t>
  </si>
  <si>
    <t>1. d) Nyilvános könyvtári ellátási és közművelődési feladatok támogatása</t>
  </si>
  <si>
    <t>V.) Beszámítás összege (levonva előző jogcímeken)</t>
  </si>
  <si>
    <t>Központi támogatások összesen (2016. évi XC. törvény 2. és 3. melléklete szerint,  illetve a 2017. évi C. törvény 2. és 3. melléklete szerint):</t>
  </si>
  <si>
    <t>Gencsapáti Község Önkormányzata által igényelhető állami támogatások</t>
  </si>
  <si>
    <t>a 2018. évi költségvetési törvény szerint</t>
  </si>
  <si>
    <t>Gencsapáti Művelődési Ház és Községi Iskolai Könyvtár</t>
  </si>
  <si>
    <t>Gyöngyös-kert  Óvoda</t>
  </si>
  <si>
    <t>Vassurányi Tagóvoda</t>
  </si>
  <si>
    <t>Pornóapáti Tagóvoda</t>
  </si>
  <si>
    <t>Gyöngyös-kert Óvoda összesen:</t>
  </si>
  <si>
    <t>2018.     Összesen</t>
  </si>
  <si>
    <t>2. MELLÉKLET ÁLTALÁNOS MŰKÖDÉSI ÉS ÁGAZATI FELADATOK TÁMOGATÁSA</t>
  </si>
  <si>
    <t>I.) TELEPÜLÉSI ÖNKORMÁNYZATOK MŰKÖDÉSÉNEK TÁMOGATÁSA</t>
  </si>
  <si>
    <t>fő</t>
  </si>
  <si>
    <t>Közös hivatal működésének támogatása)(4 580 000 Ft/fő)</t>
  </si>
  <si>
    <t>Ft</t>
  </si>
  <si>
    <t>1. b) Település-üzemeltetéshez kapcsolódó feladatellátás támogatása beszámítás után</t>
  </si>
  <si>
    <t xml:space="preserve"> ba) Zöldterület gazdálkodással kapcsolatos feladatok támogatása </t>
  </si>
  <si>
    <t xml:space="preserve">bb) Közvilágítás fenntartásának támogatása   </t>
  </si>
  <si>
    <t>bc) Köztemető fenntartásának támogatása</t>
  </si>
  <si>
    <t xml:space="preserve">d) Közutak fenntartásának támogatása </t>
  </si>
  <si>
    <t>1. c) Egyéb kötelező önkormányzati feladatok támogatása</t>
  </si>
  <si>
    <t>beszámítás után (lakosságszám alapján 2 700 Ft/fő)           (7335900-7335900)</t>
  </si>
  <si>
    <t>5.) 2017. évről áthúzodó bérkompenzáció</t>
  </si>
  <si>
    <t>6. polgármesteri illetmények támogatása</t>
  </si>
  <si>
    <t>II.) TELEPÜLÉSI ÖNKORMÁNYZATOK EGYES KÖZNEVELÉSI FELADATAINAK TÁMOGATÁSA</t>
  </si>
  <si>
    <t xml:space="preserve">1.   Óvodapedagógusok átlagbérének és közterheinek  </t>
  </si>
  <si>
    <t xml:space="preserve">     elismert összege  ( 8 hónapra) (4 469 900 Ft /létszám/év)</t>
  </si>
  <si>
    <t xml:space="preserve">1.  Óvodapedagógusok átlagbérének és közterheinek </t>
  </si>
  <si>
    <t xml:space="preserve">       elismert összege  ( 4 hónapra) (4 469 900 Ft /létszám/év)</t>
  </si>
  <si>
    <t xml:space="preserve">1.  Óvodapedagógusok munkáját közvetlenül segítők      </t>
  </si>
  <si>
    <t xml:space="preserve">      bérének és járulékainak támogatása (8 hóra, 2505 E Ft /év)</t>
  </si>
  <si>
    <t xml:space="preserve">      bérének és járulékainak támogatása (4 hóra, 2505 Ft /év)</t>
  </si>
  <si>
    <t>2.   Óvodaműködtetési támogatás (8 hóra, 81 700 Ft/fő/év)</t>
  </si>
  <si>
    <t>2.   Óvodamúködtetési támogatás (4 hóra  81 700 Ft/fő/év)</t>
  </si>
  <si>
    <t xml:space="preserve">4.   Pedagógus II. kategóriába sorolt óvodapedagógusok  kiegészítő </t>
  </si>
  <si>
    <t xml:space="preserve">      támogatásra.  (401 000 Ft /fő/11 hónap)</t>
  </si>
  <si>
    <t>III.) TELEPÜLÉSI ÖNKORMÁNYZATOK SZOCIÁLIS, GYERMEKJÓLÉTI ÉS GYERMEKÉTKEZTETÉSI FELADATAINAK TÁMOGATÁSA</t>
  </si>
  <si>
    <t>1. Szociális összevont ágazati pótlék</t>
  </si>
  <si>
    <t xml:space="preserve">2.        Hozzájárulás pénzbeli szociális ellátásokhoz </t>
  </si>
  <si>
    <t>beszámítás után</t>
  </si>
  <si>
    <t>3. c.)  Szociális étkeztetés</t>
  </si>
  <si>
    <t xml:space="preserve">           (55 360  Ft/ellátott )</t>
  </si>
  <si>
    <t>3.  d.)  házi segítségnyújtás szociális segítés</t>
  </si>
  <si>
    <t xml:space="preserve">          (25 000 Ft/ellátott)</t>
  </si>
  <si>
    <t xml:space="preserve">          (210 000 Ft/ellátott)</t>
  </si>
  <si>
    <t>3.  f. )   Időskorúak nappali intézményi ellátása</t>
  </si>
  <si>
    <t xml:space="preserve">           (109 000 Ft/ellátott )</t>
  </si>
  <si>
    <t xml:space="preserve"> 5 . a.) Gyermekétkeztetés támogatása</t>
  </si>
  <si>
    <t>elismerhető dolgozók bértámogatása (1900 000 Ft/fő)</t>
  </si>
  <si>
    <t xml:space="preserve"> 5 .b.)   Gyermekétkeztetés </t>
  </si>
  <si>
    <t>üzemeltetési támogatása</t>
  </si>
  <si>
    <t>IV.) TELEPÜLÉSI ÖNKORMÁNYZATOK KULTURÁLIS FELADATAINAK  TÁMOGATÁSA</t>
  </si>
  <si>
    <t xml:space="preserve">1.d.  )   Nyilvános könyvtári és közművelődési </t>
  </si>
  <si>
    <t xml:space="preserve">           feladatok támogatása  (1 200 Ft/fő)</t>
  </si>
  <si>
    <t xml:space="preserve">1.i) A települési önkormányzatok könyvtári célú </t>
  </si>
  <si>
    <t>érdekeltségnövelő támogatása</t>
  </si>
  <si>
    <t>3. Kúltúrális illetménypótlék</t>
  </si>
  <si>
    <t>V.) BESZÁMÍTÁS ÖSSZEGE</t>
  </si>
  <si>
    <t>(előző jogcímeknél levonva)</t>
  </si>
  <si>
    <t>GENCSAPÁTI KÖZSÉG ÖNKORMÁNYZAT</t>
  </si>
  <si>
    <t>TÁRSULÁSA RÉSZÉRE TÁMOGATÁS ÉRTÉKŰ KIADÁSKÉNT ÁTADANDÓ</t>
  </si>
  <si>
    <t xml:space="preserve">  - ebből állami támogatás </t>
  </si>
  <si>
    <t xml:space="preserve"> - ebből önkormányzati támogatás</t>
  </si>
  <si>
    <t>elvárt bevétel iparűzési adóalap 0,5%-ának a 70 %-a</t>
  </si>
  <si>
    <t xml:space="preserve">          2018. évi felhalmozási célú bevételek </t>
  </si>
  <si>
    <t>I.</t>
  </si>
  <si>
    <t>Felhalmozási bevételek (saját bevételek)</t>
  </si>
  <si>
    <t>1.</t>
  </si>
  <si>
    <t>2.</t>
  </si>
  <si>
    <t>3.</t>
  </si>
  <si>
    <t>4.</t>
  </si>
  <si>
    <t>Összesen:</t>
  </si>
  <si>
    <t xml:space="preserve">II. </t>
  </si>
  <si>
    <t>III.</t>
  </si>
  <si>
    <t>Egyéb felhalmozási c visszatérítendő támogatások, kölcsönök</t>
  </si>
  <si>
    <t>Egyéb felhalmozási célú átvett pénzeszközök</t>
  </si>
  <si>
    <t>IV.</t>
  </si>
  <si>
    <t>Előző évi maradvány felhalmozási c felhasználása</t>
  </si>
  <si>
    <t>FINANSZÍROZÁSI BEVÉTELEK ÖSSZESEN:</t>
  </si>
  <si>
    <t>MINDÖSSZESEN:</t>
  </si>
  <si>
    <t>ebből:</t>
  </si>
  <si>
    <t>Kötelező feladatok összesen:</t>
  </si>
  <si>
    <t>2018. évi felhalmozási  kiadások ( Ft)</t>
  </si>
  <si>
    <t>Felújítások</t>
  </si>
  <si>
    <t>Felhalmozási célú visszatérítendő támogatások, kölcsönök nyújtása</t>
  </si>
  <si>
    <t>Egyéb felhalmozási célú támogatások államháztartáson belülre</t>
  </si>
  <si>
    <t>Egyéb felhalmozási célú támogatások államháztartáson kívülre</t>
  </si>
  <si>
    <t>Tartalékok</t>
  </si>
  <si>
    <t>FELHALMOZÁSI C. KÖLTSÉGVETÉSI KIADÁSOK ÖSSZESEN:</t>
  </si>
  <si>
    <t>Finanszírozási kiadások:</t>
  </si>
  <si>
    <t>FINANSZÍROZÁSI KIADÁSOK ÖSSZESEN:</t>
  </si>
  <si>
    <t>Fejlesztési kiadások-fejlesztési bevételek egyenlege:</t>
  </si>
  <si>
    <t>2068/2017. (XII. 28.) Korm. határozat  alapján Dózsa utca járda felújítására</t>
  </si>
  <si>
    <t>TOP-1.4.1-15-VS-2016-00013 Gyöngyös-kert Óvoda felújítása</t>
  </si>
  <si>
    <t>TOP-3.2.1.-15-VS-2016-00006 Apponyi Albert Iskola felújítása</t>
  </si>
  <si>
    <t>TOP-4.2.1.-15-VS-2016-00003 Idősek Klubja felújítása</t>
  </si>
  <si>
    <t xml:space="preserve">KÖFOP-1.2.1-VEKOP16-2016-00034 ASP pályázat </t>
  </si>
  <si>
    <t xml:space="preserve">  - ebből tartalék fejlesztésekhez</t>
  </si>
  <si>
    <t>5.</t>
  </si>
  <si>
    <t>Előző évi maradványból fejesztésre fordított összeg az előző pontokon túl</t>
  </si>
  <si>
    <t>6.</t>
  </si>
  <si>
    <t>Ingatlanvásárlás (kisiskolai lakás vétele)</t>
  </si>
  <si>
    <t>2068/2017. (XII. 28.) Korm. határozat  alapján Dózsa utca járda felújítása pályázatból</t>
  </si>
  <si>
    <t>KÖFOP-1.2.1-VEKOP16-2016-00034 ASP pályázat  eszközbeszerzés</t>
  </si>
  <si>
    <t>Ravatalozó felújítás</t>
  </si>
  <si>
    <t>Műszaki csoport  részére láncfűrész, ágvágó fűrész, rézsűvágó</t>
  </si>
  <si>
    <t>2018.</t>
  </si>
  <si>
    <t>2019.</t>
  </si>
  <si>
    <t>Összes</t>
  </si>
  <si>
    <t>év</t>
  </si>
  <si>
    <t>a) Hitel, kölcsön felvétele jogcímen belül a kötelezettségek</t>
  </si>
  <si>
    <t>megnevezése</t>
  </si>
  <si>
    <t>azonosító adatai</t>
  </si>
  <si>
    <t>futamidő</t>
  </si>
  <si>
    <t>Összesen</t>
  </si>
  <si>
    <t>b) A számvitelről szóló törvény szerinti hitelviszonyt megtestesítő értékpapír forgalomba hozatala jogcímen belül a kötelezettségek</t>
  </si>
  <si>
    <t>c) Váltó kibocsátása jogcímen belül a kötelezettségek</t>
  </si>
  <si>
    <t>d) A számvitelről szóló törvény szerinti pénzügyi lízing igénybevétele jogcímen belül a kötelezettségek</t>
  </si>
  <si>
    <t>e) Visszavásárlási kötelezettség kikötésével megkötött adásvételi szerződés miatti kötelezettség jogcímen belül a kötelezettségek</t>
  </si>
  <si>
    <t>f) Szerződésben kapott, legalább 365 nap időtartamú halasztott fizetés, részletfizetés és még ki nem fizetett ellenérték miatti kötelezettség jogcímen belül a kötelezettségek</t>
  </si>
  <si>
    <t>a) Helyi adóból és települési adóból származó bevétel jogcímen belül az érintett bevételek</t>
  </si>
  <si>
    <t>rendszeressége</t>
  </si>
  <si>
    <t>b) Az önkormányzati vagyon és az önkormányzatot megillető vagyoni értékű jog értékesítéséből és hasznosításából származó bevétel jogcímen belül az érintett bevételek</t>
  </si>
  <si>
    <t>c) Az osztalék, a koncessziós díj és a hozambevétel jogcímen belül az érintett bevételek</t>
  </si>
  <si>
    <t>d) A tárgyi eszköz és az immateriális jószág, részvény, részesedés, vállalat értékesítéséből vagy privatizációból származó bevétel jogcímen belül az érintett bevételek</t>
  </si>
  <si>
    <t>e) Bírság-, pótlék- és díjbevétel jogcímen belül az érintett bevételek</t>
  </si>
  <si>
    <t>f) A kezesség-, illetve garanciavállalással kapcsolatos megtérülés jogcímen belül az érintett bevételek</t>
  </si>
  <si>
    <t>Gencsapáti Község Önkormányzata stabilitási törvényhez kapcsolódóan a saját bevételek és az adósságot keletkeztető ügyletekből eredő fizetési kötelezettségek költségvetési évet követő 3 év tervezett előirányzatai, a tervszámoktól történő esetleges eltérés indokai</t>
  </si>
  <si>
    <t>2020.</t>
  </si>
  <si>
    <t>2021.</t>
  </si>
  <si>
    <t>g) Hitelintézetek által, származékos műveletek különbözeteként az Államadósság Kezelő Központ Zrt.-nél (a továbbiakban: ÁKK Zrt.) elhelyezett fedezeti betétek, és azok összege jogcímen belül a kötelezettségek</t>
  </si>
  <si>
    <t>Kötelezettség összege Ft-ban</t>
  </si>
  <si>
    <t>KIMUTATÁS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</si>
  <si>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</si>
  <si>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</si>
  <si>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</si>
  <si>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</si>
  <si>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</si>
  <si>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</si>
  <si>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Egyéb kiadás</t>
  </si>
  <si>
    <t>Sabilitási tv. 3. § (1) bekezdése szerinti adósságot keletkeztető ügyletekből és kezességvállalásokból fennálló kötelezettségek összesen:</t>
  </si>
  <si>
    <t>összesen</t>
  </si>
  <si>
    <r>
      <t>Stabilitási tv. 45. § (1) bekezdés a) pontja alapján meghatározott</t>
    </r>
    <r>
      <rPr>
        <b/>
        <i/>
        <sz val="11"/>
        <color theme="1"/>
        <rFont val="Times New Roman"/>
        <family val="1"/>
        <charset val="238"/>
      </rPr>
      <t xml:space="preserve"> saját bevételek </t>
    </r>
    <r>
      <rPr>
        <b/>
        <sz val="11"/>
        <color theme="1"/>
        <rFont val="Times New Roman"/>
        <family val="1"/>
        <charset val="238"/>
      </rPr>
      <t>típusa és azon belül az adott bevételek</t>
    </r>
  </si>
  <si>
    <r>
      <t>Az önkormányzat a stabilitási tv. 3. § (1) bekezdése szerinti adósságot keletkeztető ügyletekből és kezességvállalásokból fennálló</t>
    </r>
    <r>
      <rPr>
        <b/>
        <i/>
        <sz val="11"/>
        <color theme="1"/>
        <rFont val="Times New Roman"/>
        <family val="1"/>
        <charset val="238"/>
      </rPr>
      <t xml:space="preserve"> kötelezettségeit az adósságot keletkeztető ügyletek</t>
    </r>
    <r>
      <rPr>
        <b/>
        <sz val="11"/>
        <color theme="1"/>
        <rFont val="Times New Roman"/>
        <family val="1"/>
        <charset val="238"/>
      </rPr>
      <t xml:space="preserve"> futamidejének végéig, illetve a kezesség érvényesíthetőségéig:</t>
    </r>
  </si>
  <si>
    <t>Stabilitási tv. 45. § (1) bekezdés a) pontja alapján meghatározott saját bevételek (a) ponttól az f) pontig) összesen</t>
  </si>
  <si>
    <t>megnevezése; azonosító adatai</t>
  </si>
  <si>
    <t>esedékessége</t>
  </si>
  <si>
    <t>Bevétel összege Ft-ban</t>
  </si>
  <si>
    <t>Megnevezés</t>
  </si>
  <si>
    <t>1. Építményadó mentesség, kedvezmény</t>
  </si>
  <si>
    <t>2. Épület után fizetett idegenforgalmi adó mentesség, kedvezmény</t>
  </si>
  <si>
    <t>3. Magánszemélyek kommunális adó mentesség, kedvezmény</t>
  </si>
  <si>
    <t>4. Telekadó mentesség, kedvezmény</t>
  </si>
  <si>
    <t>B34. Vagyoni típusú adók</t>
  </si>
  <si>
    <t>1. Állandó jelleggel végzett iparűzési tevékenység után fizetendő helyi iparűzési adó mentesség, kedvezmény</t>
  </si>
  <si>
    <t>2. Ideiglenes jelleggel végzett tevékenység után fizetendő helyi iparűzési adó mentesség, kedvezmény</t>
  </si>
  <si>
    <t>B351. Értékesítési és forgalmi adók</t>
  </si>
  <si>
    <t>1. Gépjárműadó mentesség és kedvezmény</t>
  </si>
  <si>
    <t>B354. Gépjárműadók</t>
  </si>
  <si>
    <t>1. Talajterhelési díj mentesség és kedvezmény</t>
  </si>
  <si>
    <t>B355. Egyéb áruhasználati és szolgáltatási adók</t>
  </si>
  <si>
    <t>B35. Termékek és szolgáltatások adói</t>
  </si>
  <si>
    <t>1. Illeték mentesség (a mentesség engedélyezése miatt)</t>
  </si>
  <si>
    <t>2. Bírság elengedés, mérséklés</t>
  </si>
  <si>
    <t>B36. Egyéb közhatalmi bevételek</t>
  </si>
  <si>
    <t>B3. Közhatalmi bevételek</t>
  </si>
  <si>
    <t>1. Helyiség bérbe adásából származó bevételből nyújtott kedvezmény, mentesség</t>
  </si>
  <si>
    <t>2. Eszközök hasznosításából származó bevételből nyújtott kedvezmény, mentesség</t>
  </si>
  <si>
    <t>B402. Szolgáltatások ellenértéke</t>
  </si>
  <si>
    <t>1. Helyiség haszonbérbe, használatba adásából származó bevételből nyújtott kedvezmény, mentesség</t>
  </si>
  <si>
    <t>2. Eszközök haszonbérbe, használatba származó bevételből nyújtott kedvezmény, mentesség</t>
  </si>
  <si>
    <t>B404. Tulajdonosi bevételek</t>
  </si>
  <si>
    <t>1. Ellátottak térítési díjának elengedése</t>
  </si>
  <si>
    <t>B405. Ellátási díjak</t>
  </si>
  <si>
    <t>1. Nyújtott kölcsönök utáni kamat mentesség, kedvezmény</t>
  </si>
  <si>
    <t>B4081. Befektetett pénzügyi eszközökből származó bevételek</t>
  </si>
  <si>
    <t>B4082. Egyéb kapott (járó) kamatok és kamatjellegű bevételek</t>
  </si>
  <si>
    <t>B408. Kamatbevételek</t>
  </si>
  <si>
    <t>1. Kártérítések méltányossági alapon történő elengedése</t>
  </si>
  <si>
    <t>B410. Egyéb működési bevételek</t>
  </si>
  <si>
    <t>B 4. Működési bevételek</t>
  </si>
  <si>
    <t>1. Szervezetek és személyek számára visszafizetési kötelezettség mellett - működési célból nyújtott támogatás - visszafizetési kötelezett elengedése</t>
  </si>
  <si>
    <t>B62. Működési célú visszatérítendő támogatások, kölcsönök visszatérülése államháztartáson kívülről</t>
  </si>
  <si>
    <t>B6. Működési célú átvett pénzeszközök</t>
  </si>
  <si>
    <t>1. Lakosság részére lakásépítéshez, lakásfelújításhoz nyújtott kölcsönök elengedése</t>
  </si>
  <si>
    <t>2. Szervezetek és személyek számára visszafizetési kötelezettség mellett - működési célból nyújtott támogatás - visszafizetési kötelezett elengedése (ide nem értve a lakosság részére lakásépítésre, lakásfelújításra nyújtott kölcsönök elengedését)</t>
  </si>
  <si>
    <t>B72. Felhalmozási célú visszatérítendő támogatások, kölcsönök visszatérülése államháztartáson kívülről</t>
  </si>
  <si>
    <t>B7. Felhalmozási célú átvett pénzeszközök</t>
  </si>
  <si>
    <t>Közvetett támogatás összesen</t>
  </si>
  <si>
    <t>Gencsapáti Község  Önkormányzata által nyújtott közvetett támogatások tervezett összegei 2018. évre</t>
  </si>
  <si>
    <t xml:space="preserve">  - ebből Gencsapáti KSE TAO pályázat önerő hozzájárulása -határozat alapján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</si>
  <si>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</si>
  <si>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</si>
  <si>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</si>
  <si>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</si>
  <si>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</si>
  <si>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</si>
  <si>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</si>
  <si>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</si>
  <si>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</si>
  <si>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</si>
  <si>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</si>
  <si>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</si>
  <si>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Működési c tám áht-n belülről</t>
  </si>
  <si>
    <t xml:space="preserve"> Működési c átvett pénzeszközök</t>
  </si>
  <si>
    <t>Felhalmozási c tám áht-n belülről</t>
  </si>
  <si>
    <t>7.</t>
  </si>
  <si>
    <t>Felhalmozási c átvett pénzeszközök</t>
  </si>
  <si>
    <t>8.</t>
  </si>
  <si>
    <t>Költségvetési bevételek összesen</t>
  </si>
  <si>
    <t>9.</t>
  </si>
  <si>
    <t xml:space="preserve">Belső fin. bevételei (Pénzmaradvány) Finanszírozással nettósítva </t>
  </si>
  <si>
    <t>10.</t>
  </si>
  <si>
    <t>BEVÉTELEK ÖSSZESEN</t>
  </si>
  <si>
    <t>11.</t>
  </si>
  <si>
    <t>12.</t>
  </si>
  <si>
    <t>Munkaadói járulék</t>
  </si>
  <si>
    <t>13.</t>
  </si>
  <si>
    <t>Dologi kiadás</t>
  </si>
  <si>
    <t>14.</t>
  </si>
  <si>
    <t>Ellátottak juttatásai</t>
  </si>
  <si>
    <t>15.</t>
  </si>
  <si>
    <t>Egyéb működési c kiadások</t>
  </si>
  <si>
    <t>16.</t>
  </si>
  <si>
    <t>17.</t>
  </si>
  <si>
    <t>18.</t>
  </si>
  <si>
    <t>Egyéb felhalmozási c kiadások</t>
  </si>
  <si>
    <t>19.</t>
  </si>
  <si>
    <t>Költségvetési kiadások összesen</t>
  </si>
  <si>
    <t>20.</t>
  </si>
  <si>
    <t xml:space="preserve">Finanszírozás kiadásai Finanszírozással nettósítva </t>
  </si>
  <si>
    <t>21.</t>
  </si>
  <si>
    <t>KIADÁSOK ÖSSZESEN</t>
  </si>
  <si>
    <t>BEVÉTELI ELŐIRÁNYZATOK</t>
  </si>
  <si>
    <t>Finanszírozási bevételek</t>
  </si>
  <si>
    <t>KIADÁSI ELŐIRÁNYZATOK</t>
  </si>
  <si>
    <t>Finanszírozás kiadásai</t>
  </si>
  <si>
    <t>Finanszírozás kiadásai (intézmény finanszírozás és maradvány)</t>
  </si>
  <si>
    <t xml:space="preserve">Gencsapáti Polgármesteri Hivatal  2018. évi előirányzat felhasználási és likviditási ütemterve </t>
  </si>
  <si>
    <t xml:space="preserve">Gencsapáti Idősek Klubja  2018. évi előirányzat felhasználási és likviditási ütemterve </t>
  </si>
  <si>
    <t xml:space="preserve">Gencsapáti Község Önkormányzata és Intézményei  2018. évi előirányzat felhasználási és likviditási ütemterve </t>
  </si>
  <si>
    <t xml:space="preserve"> Művelősési Ház és Községi Iskolai Könyvtár 2018. évi előirányzat felhasználási és likviditási ütemterve </t>
  </si>
  <si>
    <t xml:space="preserve">Gencsapáti Község Önkormányzata 2018. évi előirányzat felhasználási és likviditási ütemterve </t>
  </si>
  <si>
    <t>Belső fin. bevételei (Központi irányítószervi támogatás és maradvány)</t>
  </si>
  <si>
    <t>9. melléklet a 2/2018. (II.16.) önkormányzati rendelethez</t>
  </si>
  <si>
    <t>1. melléklet a 2/2018. (II.16.) önkormányzati rendelethez</t>
  </si>
  <si>
    <t>2. melléklet a 2/2018. (II.16.) önkormányzati rendelethez</t>
  </si>
  <si>
    <t>3 . melléklet a  2/2018. (II.16.) önkormányzati rendelethez</t>
  </si>
  <si>
    <t>4. melléklet a  2/2018. (II.16.) önkormányzati rendelethez</t>
  </si>
  <si>
    <t>5. melléklet a  2/2018. (II.16.) önkormányzati rendelethez</t>
  </si>
  <si>
    <t>6. melléklet a   2/2018. (II.16.) önkormányzati rendelethez</t>
  </si>
  <si>
    <t>7. melléklet a  2/2018. (II.16.) önkormányzati rendelethez</t>
  </si>
  <si>
    <t>8. melléklet a  2/2018. (II.16.) önkormányzati rendelethez</t>
  </si>
  <si>
    <t xml:space="preserve">A helyi önkormányzatok általános müködésének és ágazati feladatainak támogatása (2017. évi XC. törvény 2. melléklete szerint)  </t>
  </si>
  <si>
    <t>Önként vállalt feladatok összesen:</t>
  </si>
  <si>
    <t>KÖLTSÉGVETÉSI KIADÁSOK ÖSSZESEN:</t>
  </si>
  <si>
    <t xml:space="preserve">   - ebből kötelező feladatok összesen:</t>
  </si>
  <si>
    <t xml:space="preserve">   - ebből önként vállalt feladatok összesen:</t>
  </si>
  <si>
    <t xml:space="preserve">Az európai uniós támogatással megvalósuló programok, projektek bevételeiről és kiadásairól, valamint az önkormányzaton kívüli ilyen projektekhez való hozzájárulásról 2018. évben (adatok Ft-ban) </t>
  </si>
  <si>
    <t>Támogatás összege 2017. 01. 01.                      ( Ft)</t>
  </si>
  <si>
    <t>Támogatás összege 2018. 01. 01.                   ( Ft)</t>
  </si>
  <si>
    <t>Támogatás összege 2018. 06. 30.                     ( Ft)</t>
  </si>
  <si>
    <t>Nemzetiségi pótlék  kiegészítő támogatása</t>
  </si>
  <si>
    <t>1. Szociális ágazati összevont pótlék</t>
  </si>
  <si>
    <t>1. i) A települési önkormányzatok könyvtári célú érdekeltségnövelő támogatása</t>
  </si>
  <si>
    <t>3. Kulturális illetménypótlék</t>
  </si>
  <si>
    <t xml:space="preserve">A helyi önkormányzatok kiegészítő támogatásai (2017. évi XC. törvény 3. melléklete szerint)  </t>
  </si>
  <si>
    <t>2018. évi bérkompenzáció</t>
  </si>
  <si>
    <t>Önkormányzati ASP rendszer bevezetése miatt dolgozók elismerésére kapott támogatás</t>
  </si>
  <si>
    <t>9. A települési önkormányzatok szociális célú tüzelőanyag vásárlásához kapcsolódó támogatása</t>
  </si>
  <si>
    <t>Nemzetiségi pótlék</t>
  </si>
  <si>
    <t xml:space="preserve">      támogatása.  </t>
  </si>
  <si>
    <t xml:space="preserve">Önkormányzati ASP rendszer bevezetése miatt dolgozók </t>
  </si>
  <si>
    <t>elismerésére kapott támogatás</t>
  </si>
  <si>
    <t xml:space="preserve">9. A települési önkormányzatok szociális célú tüzelőanyag </t>
  </si>
  <si>
    <t>vásárlásához kapcsolódó támogatása</t>
  </si>
  <si>
    <t>3. MELLÉKLET  A HELYI ÖNKORMÁNYZATOK KIEGÉSZÍTŐ TÁMOGATÁSAI</t>
  </si>
  <si>
    <t>TÁMOGATÁSOK ÖSSZESEN INTÉZMÉNYENKÉNT</t>
  </si>
  <si>
    <t>eredeti ei. 2018.01.01.</t>
  </si>
  <si>
    <t>módosított ei. 2018.06.30.</t>
  </si>
  <si>
    <t xml:space="preserve">változás </t>
  </si>
  <si>
    <t xml:space="preserve">laptop vásárlás </t>
  </si>
  <si>
    <t xml:space="preserve">Intézményköltöztetés miatti kiadások </t>
  </si>
  <si>
    <t>Vasi Víz Zrt által a víz és szennyvíz hálózai rendszeren végzett felújítási munkák</t>
  </si>
  <si>
    <t>2018. eredeti ei.</t>
  </si>
  <si>
    <t>2018.06.30. módosított ei.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</si>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</sst>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F_t_-;\-* #,##0.00\ _F_t_-;_-* &quot;-&quot;??\ _F_t_-;_-@_-"/>
    <numFmt numFmtId="164" formatCode="#,##0.0000"/>
    <numFmt numFmtId="165" formatCode="_-* #,##0\ _F_t_-;\-* #,##0\ _F_t_-;_-* &quot;-&quot;??\ _F_t_-;_-@_-"/>
    <numFmt numFmtId="166" formatCode="#,##0.0"/>
    <numFmt numFmtId="167" formatCode="#,##0.00_ ;\-#,##0.00\ "/>
    <numFmt numFmtId="168" formatCode="#,##0_ ;\-#,##0\ "/>
    <numFmt numFmtId="169" formatCode="#,##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i/>
      <sz val="8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9" fillId="0" borderId="0" applyFont="0" applyFill="0" applyBorder="0" applyAlignment="0" applyProtection="0"/>
    <xf numFmtId="0" fontId="1" fillId="0" borderId="0"/>
    <xf numFmtId="0" fontId="1" fillId="0" borderId="0"/>
  </cellStyleXfs>
  <cellXfs count="851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10" fillId="0" borderId="34" xfId="2" applyFont="1" applyFill="1" applyBorder="1" applyAlignment="1">
      <alignment wrapText="1"/>
    </xf>
    <xf numFmtId="0" fontId="10" fillId="0" borderId="31" xfId="2" applyFont="1" applyFill="1" applyBorder="1" applyAlignment="1">
      <alignment wrapText="1"/>
    </xf>
    <xf numFmtId="0" fontId="10" fillId="0" borderId="32" xfId="2" applyFont="1" applyFill="1" applyBorder="1" applyAlignment="1">
      <alignment wrapText="1"/>
    </xf>
    <xf numFmtId="0" fontId="10" fillId="0" borderId="0" xfId="2" applyFont="1" applyFill="1" applyAlignment="1">
      <alignment wrapText="1"/>
    </xf>
    <xf numFmtId="0" fontId="10" fillId="0" borderId="35" xfId="2" applyFont="1" applyFill="1" applyBorder="1"/>
    <xf numFmtId="3" fontId="10" fillId="0" borderId="24" xfId="2" applyNumberFormat="1" applyFont="1" applyFill="1" applyBorder="1"/>
    <xf numFmtId="3" fontId="10" fillId="0" borderId="23" xfId="2" applyNumberFormat="1" applyFont="1" applyFill="1" applyBorder="1"/>
    <xf numFmtId="3" fontId="10" fillId="0" borderId="17" xfId="2" applyNumberFormat="1" applyFont="1" applyFill="1" applyBorder="1"/>
    <xf numFmtId="3" fontId="10" fillId="0" borderId="0" xfId="2" applyNumberFormat="1" applyFont="1" applyFill="1"/>
    <xf numFmtId="0" fontId="10" fillId="0" borderId="0" xfId="2" applyFont="1" applyFill="1"/>
    <xf numFmtId="0" fontId="11" fillId="0" borderId="36" xfId="2" applyFont="1" applyFill="1" applyBorder="1" applyAlignment="1">
      <alignment horizontal="left" indent="2"/>
    </xf>
    <xf numFmtId="3" fontId="11" fillId="0" borderId="7" xfId="2" applyNumberFormat="1" applyFont="1" applyFill="1" applyBorder="1"/>
    <xf numFmtId="3" fontId="11" fillId="0" borderId="12" xfId="2" applyNumberFormat="1" applyFont="1" applyFill="1" applyBorder="1"/>
    <xf numFmtId="3" fontId="11" fillId="0" borderId="1" xfId="2" applyNumberFormat="1" applyFont="1" applyFill="1" applyBorder="1"/>
    <xf numFmtId="0" fontId="10" fillId="0" borderId="36" xfId="2" applyFont="1" applyFill="1" applyBorder="1"/>
    <xf numFmtId="3" fontId="10" fillId="0" borderId="7" xfId="2" applyNumberFormat="1" applyFont="1" applyFill="1" applyBorder="1"/>
    <xf numFmtId="3" fontId="10" fillId="0" borderId="12" xfId="2" applyNumberFormat="1" applyFont="1" applyFill="1" applyBorder="1"/>
    <xf numFmtId="3" fontId="10" fillId="0" borderId="1" xfId="2" applyNumberFormat="1" applyFont="1" applyFill="1" applyBorder="1"/>
    <xf numFmtId="0" fontId="10" fillId="0" borderId="21" xfId="2" applyFont="1" applyFill="1" applyBorder="1"/>
    <xf numFmtId="3" fontId="10" fillId="0" borderId="15" xfId="2" applyNumberFormat="1" applyFont="1" applyFill="1" applyBorder="1"/>
    <xf numFmtId="0" fontId="12" fillId="0" borderId="4" xfId="2" applyFont="1" applyFill="1" applyBorder="1"/>
    <xf numFmtId="3" fontId="12" fillId="0" borderId="32" xfId="2" applyNumberFormat="1" applyFont="1" applyFill="1" applyBorder="1"/>
    <xf numFmtId="3" fontId="12" fillId="0" borderId="34" xfId="2" applyNumberFormat="1" applyFont="1" applyFill="1" applyBorder="1"/>
    <xf numFmtId="3" fontId="12" fillId="0" borderId="31" xfId="2" applyNumberFormat="1" applyFont="1" applyFill="1" applyBorder="1"/>
    <xf numFmtId="0" fontId="12" fillId="0" borderId="0" xfId="2" applyFont="1" applyFill="1"/>
    <xf numFmtId="3" fontId="10" fillId="0" borderId="37" xfId="2" applyNumberFormat="1" applyFont="1" applyFill="1" applyBorder="1"/>
    <xf numFmtId="3" fontId="10" fillId="0" borderId="29" xfId="2" applyNumberFormat="1" applyFont="1" applyFill="1" applyBorder="1"/>
    <xf numFmtId="0" fontId="11" fillId="0" borderId="36" xfId="2" applyFont="1" applyFill="1" applyBorder="1"/>
    <xf numFmtId="0" fontId="11" fillId="0" borderId="36" xfId="2" applyFont="1" applyFill="1" applyBorder="1" applyAlignment="1">
      <alignment horizontal="left" wrapText="1" indent="2"/>
    </xf>
    <xf numFmtId="3" fontId="11" fillId="0" borderId="15" xfId="2" applyNumberFormat="1" applyFont="1" applyFill="1" applyBorder="1"/>
    <xf numFmtId="3" fontId="11" fillId="0" borderId="22" xfId="2" applyNumberFormat="1" applyFont="1" applyFill="1" applyBorder="1"/>
    <xf numFmtId="3" fontId="11" fillId="0" borderId="2" xfId="2" applyNumberFormat="1" applyFont="1" applyFill="1" applyBorder="1"/>
    <xf numFmtId="0" fontId="12" fillId="0" borderId="30" xfId="2" applyFont="1" applyFill="1" applyBorder="1"/>
    <xf numFmtId="3" fontId="12" fillId="0" borderId="18" xfId="2" applyNumberFormat="1" applyFont="1" applyFill="1" applyBorder="1"/>
    <xf numFmtId="3" fontId="12" fillId="0" borderId="39" xfId="2" applyNumberFormat="1" applyFont="1" applyFill="1" applyBorder="1"/>
    <xf numFmtId="3" fontId="12" fillId="0" borderId="16" xfId="2" applyNumberFormat="1" applyFont="1" applyFill="1" applyBorder="1"/>
    <xf numFmtId="0" fontId="10" fillId="0" borderId="35" xfId="2" applyFont="1" applyFill="1" applyBorder="1" applyAlignment="1">
      <alignment wrapText="1"/>
    </xf>
    <xf numFmtId="3" fontId="10" fillId="0" borderId="10" xfId="2" applyNumberFormat="1" applyFont="1" applyFill="1" applyBorder="1"/>
    <xf numFmtId="3" fontId="10" fillId="0" borderId="25" xfId="2" applyNumberFormat="1" applyFont="1" applyFill="1" applyBorder="1"/>
    <xf numFmtId="3" fontId="10" fillId="0" borderId="9" xfId="2" applyNumberFormat="1" applyFont="1" applyFill="1" applyBorder="1"/>
    <xf numFmtId="0" fontId="12" fillId="0" borderId="41" xfId="2" applyFont="1" applyFill="1" applyBorder="1"/>
    <xf numFmtId="3" fontId="12" fillId="0" borderId="42" xfId="2" applyNumberFormat="1" applyFont="1" applyFill="1" applyBorder="1"/>
    <xf numFmtId="3" fontId="12" fillId="0" borderId="13" xfId="2" applyNumberFormat="1" applyFont="1" applyFill="1" applyBorder="1"/>
    <xf numFmtId="3" fontId="12" fillId="0" borderId="43" xfId="2" applyNumberFormat="1" applyFont="1" applyFill="1" applyBorder="1"/>
    <xf numFmtId="0" fontId="9" fillId="0" borderId="0" xfId="2" applyFont="1" applyFill="1"/>
    <xf numFmtId="0" fontId="8" fillId="2" borderId="0" xfId="2" applyFont="1" applyFill="1"/>
    <xf numFmtId="0" fontId="10" fillId="0" borderId="44" xfId="2" applyFont="1" applyFill="1" applyBorder="1"/>
    <xf numFmtId="3" fontId="11" fillId="0" borderId="10" xfId="2" applyNumberFormat="1" applyFont="1" applyFill="1" applyBorder="1"/>
    <xf numFmtId="3" fontId="11" fillId="0" borderId="25" xfId="2" applyNumberFormat="1" applyFont="1" applyFill="1" applyBorder="1"/>
    <xf numFmtId="3" fontId="11" fillId="0" borderId="9" xfId="2" applyNumberFormat="1" applyFont="1" applyFill="1" applyBorder="1"/>
    <xf numFmtId="0" fontId="8" fillId="0" borderId="4" xfId="2" applyFont="1" applyFill="1" applyBorder="1" applyAlignment="1">
      <alignment wrapText="1"/>
    </xf>
    <xf numFmtId="3" fontId="8" fillId="0" borderId="32" xfId="2" applyNumberFormat="1" applyFont="1" applyFill="1" applyBorder="1"/>
    <xf numFmtId="3" fontId="8" fillId="0" borderId="34" xfId="2" applyNumberFormat="1" applyFont="1" applyFill="1" applyBorder="1"/>
    <xf numFmtId="3" fontId="8" fillId="0" borderId="31" xfId="2" applyNumberFormat="1" applyFont="1" applyFill="1" applyBorder="1"/>
    <xf numFmtId="0" fontId="4" fillId="2" borderId="0" xfId="2" applyFont="1" applyFill="1"/>
    <xf numFmtId="0" fontId="5" fillId="2" borderId="0" xfId="2" applyFont="1" applyFill="1"/>
    <xf numFmtId="3" fontId="3" fillId="0" borderId="0" xfId="2" applyNumberFormat="1" applyFont="1" applyFill="1"/>
    <xf numFmtId="4" fontId="8" fillId="0" borderId="23" xfId="2" applyNumberFormat="1" applyFont="1" applyFill="1" applyBorder="1"/>
    <xf numFmtId="4" fontId="8" fillId="0" borderId="45" xfId="2" applyNumberFormat="1" applyFont="1" applyFill="1" applyBorder="1"/>
    <xf numFmtId="4" fontId="8" fillId="2" borderId="24" xfId="2" applyNumberFormat="1" applyFont="1" applyFill="1" applyBorder="1"/>
    <xf numFmtId="3" fontId="8" fillId="0" borderId="0" xfId="2" applyNumberFormat="1" applyFont="1" applyFill="1" applyBorder="1"/>
    <xf numFmtId="0" fontId="8" fillId="0" borderId="0" xfId="2" applyFont="1" applyFill="1"/>
    <xf numFmtId="4" fontId="13" fillId="0" borderId="47" xfId="2" applyNumberFormat="1" applyFont="1" applyFill="1" applyBorder="1"/>
    <xf numFmtId="4" fontId="13" fillId="2" borderId="7" xfId="2" applyNumberFormat="1" applyFont="1" applyFill="1" applyBorder="1"/>
    <xf numFmtId="3" fontId="13" fillId="0" borderId="0" xfId="2" applyNumberFormat="1" applyFont="1" applyFill="1" applyBorder="1"/>
    <xf numFmtId="3" fontId="13" fillId="0" borderId="0" xfId="2" applyNumberFormat="1" applyFont="1" applyFill="1"/>
    <xf numFmtId="0" fontId="13" fillId="0" borderId="0" xfId="2" applyFont="1" applyFill="1"/>
    <xf numFmtId="0" fontId="13" fillId="0" borderId="0" xfId="2" applyFont="1" applyFill="1" applyBorder="1"/>
    <xf numFmtId="4" fontId="8" fillId="0" borderId="50" xfId="2" applyNumberFormat="1" applyFont="1" applyFill="1" applyBorder="1"/>
    <xf numFmtId="4" fontId="8" fillId="2" borderId="10" xfId="2" applyNumberFormat="1" applyFont="1" applyFill="1" applyBorder="1"/>
    <xf numFmtId="0" fontId="8" fillId="0" borderId="0" xfId="2" applyFont="1" applyFill="1" applyBorder="1"/>
    <xf numFmtId="0" fontId="2" fillId="0" borderId="0" xfId="1" applyFont="1" applyFill="1" applyBorder="1"/>
    <xf numFmtId="3" fontId="14" fillId="0" borderId="0" xfId="3" applyNumberFormat="1" applyFont="1" applyFill="1" applyAlignment="1">
      <alignment vertical="top"/>
    </xf>
    <xf numFmtId="0" fontId="14" fillId="0" borderId="0" xfId="3" applyFont="1" applyFill="1" applyAlignment="1">
      <alignment vertical="top"/>
    </xf>
    <xf numFmtId="0" fontId="14" fillId="0" borderId="0" xfId="3" applyFont="1" applyFill="1"/>
    <xf numFmtId="0" fontId="2" fillId="0" borderId="0" xfId="3" applyFont="1" applyFill="1"/>
    <xf numFmtId="3" fontId="15" fillId="0" borderId="0" xfId="3" applyNumberFormat="1" applyFont="1" applyFill="1" applyAlignment="1">
      <alignment horizontal="center" wrapText="1"/>
    </xf>
    <xf numFmtId="0" fontId="7" fillId="0" borderId="0" xfId="3" applyFont="1" applyFill="1" applyAlignment="1"/>
    <xf numFmtId="0" fontId="7" fillId="0" borderId="0" xfId="3" applyFont="1" applyFill="1"/>
    <xf numFmtId="0" fontId="16" fillId="0" borderId="0" xfId="3" applyFont="1" applyFill="1"/>
    <xf numFmtId="0" fontId="17" fillId="3" borderId="0" xfId="3" applyFont="1" applyFill="1" applyBorder="1" applyAlignment="1">
      <alignment horizontal="left"/>
    </xf>
    <xf numFmtId="3" fontId="7" fillId="3" borderId="0" xfId="3" applyNumberFormat="1" applyFont="1" applyFill="1" applyBorder="1"/>
    <xf numFmtId="0" fontId="16" fillId="0" borderId="0" xfId="3" applyFont="1" applyFill="1" applyBorder="1" applyAlignment="1">
      <alignment horizontal="left" wrapText="1" indent="3"/>
    </xf>
    <xf numFmtId="3" fontId="14" fillId="0" borderId="0" xfId="3" applyNumberFormat="1" applyFont="1" applyFill="1"/>
    <xf numFmtId="0" fontId="16" fillId="0" borderId="0" xfId="3" applyFont="1" applyFill="1" applyBorder="1" applyAlignment="1">
      <alignment horizontal="left" indent="3"/>
    </xf>
    <xf numFmtId="0" fontId="18" fillId="0" borderId="0" xfId="3" applyFont="1" applyFill="1" applyBorder="1" applyAlignment="1">
      <alignment horizontal="left" wrapText="1" indent="3"/>
    </xf>
    <xf numFmtId="3" fontId="18" fillId="0" borderId="0" xfId="3" applyNumberFormat="1" applyFont="1" applyFill="1"/>
    <xf numFmtId="0" fontId="18" fillId="0" borderId="0" xfId="3" applyFont="1" applyFill="1" applyBorder="1" applyAlignment="1">
      <alignment horizontal="left" indent="3"/>
    </xf>
    <xf numFmtId="0" fontId="7" fillId="3" borderId="0" xfId="3" applyFont="1" applyFill="1" applyBorder="1" applyAlignment="1">
      <alignment wrapText="1"/>
    </xf>
    <xf numFmtId="3" fontId="7" fillId="3" borderId="0" xfId="3" applyNumberFormat="1" applyFont="1" applyFill="1"/>
    <xf numFmtId="2" fontId="16" fillId="0" borderId="0" xfId="3" applyNumberFormat="1" applyFont="1" applyFill="1" applyBorder="1" applyAlignment="1">
      <alignment horizontal="left" wrapText="1" indent="3"/>
    </xf>
    <xf numFmtId="0" fontId="20" fillId="4" borderId="0" xfId="3" applyFont="1" applyFill="1"/>
    <xf numFmtId="0" fontId="20" fillId="4" borderId="0" xfId="3" applyFont="1" applyFill="1" applyAlignment="1">
      <alignment wrapText="1"/>
    </xf>
    <xf numFmtId="3" fontId="20" fillId="4" borderId="0" xfId="3" applyNumberFormat="1" applyFont="1" applyFill="1"/>
    <xf numFmtId="0" fontId="20" fillId="0" borderId="0" xfId="3" applyFont="1" applyFill="1"/>
    <xf numFmtId="0" fontId="14" fillId="0" borderId="0" xfId="3" applyFont="1" applyFill="1" applyAlignment="1">
      <alignment wrapText="1"/>
    </xf>
    <xf numFmtId="0" fontId="21" fillId="0" borderId="0" xfId="3" applyFont="1" applyFill="1"/>
    <xf numFmtId="0" fontId="17" fillId="0" borderId="0" xfId="3" applyFont="1" applyFill="1" applyAlignment="1">
      <alignment horizontal="right"/>
    </xf>
    <xf numFmtId="3" fontId="7" fillId="0" borderId="0" xfId="3" applyNumberFormat="1" applyFont="1" applyFill="1"/>
    <xf numFmtId="0" fontId="21" fillId="0" borderId="0" xfId="3" applyFont="1" applyFill="1" applyAlignment="1">
      <alignment horizontal="right"/>
    </xf>
    <xf numFmtId="0" fontId="20" fillId="0" borderId="0" xfId="2" applyFont="1" applyFill="1" applyBorder="1" applyAlignment="1">
      <alignment vertical="top"/>
    </xf>
    <xf numFmtId="0" fontId="14" fillId="0" borderId="0" xfId="2" applyFont="1" applyFill="1"/>
    <xf numFmtId="0" fontId="7" fillId="0" borderId="0" xfId="2" applyFont="1" applyFill="1"/>
    <xf numFmtId="0" fontId="7" fillId="0" borderId="5" xfId="2" applyFont="1" applyFill="1" applyBorder="1" applyAlignment="1">
      <alignment horizontal="center"/>
    </xf>
    <xf numFmtId="0" fontId="7" fillId="0" borderId="52" xfId="2" applyFont="1" applyFill="1" applyBorder="1" applyAlignment="1"/>
    <xf numFmtId="0" fontId="1" fillId="0" borderId="53" xfId="2" applyFont="1" applyFill="1" applyBorder="1" applyAlignment="1"/>
    <xf numFmtId="0" fontId="7" fillId="0" borderId="53" xfId="2" applyFont="1" applyFill="1" applyBorder="1" applyAlignment="1"/>
    <xf numFmtId="0" fontId="7" fillId="0" borderId="6" xfId="2" applyFont="1" applyFill="1" applyBorder="1" applyAlignment="1">
      <alignment wrapText="1"/>
    </xf>
    <xf numFmtId="0" fontId="7" fillId="0" borderId="6" xfId="2" applyFont="1" applyFill="1" applyBorder="1" applyAlignment="1">
      <alignment horizontal="center"/>
    </xf>
    <xf numFmtId="0" fontId="7" fillId="0" borderId="27" xfId="2" applyFont="1" applyFill="1" applyBorder="1" applyAlignment="1">
      <alignment horizontal="center"/>
    </xf>
    <xf numFmtId="4" fontId="14" fillId="0" borderId="6" xfId="2" applyNumberFormat="1" applyFont="1" applyFill="1" applyBorder="1" applyAlignment="1"/>
    <xf numFmtId="3" fontId="14" fillId="0" borderId="0" xfId="2" applyNumberFormat="1" applyFont="1" applyFill="1" applyBorder="1" applyAlignment="1"/>
    <xf numFmtId="0" fontId="7" fillId="6" borderId="6" xfId="2" applyFont="1" applyFill="1" applyBorder="1" applyAlignment="1">
      <alignment horizontal="center" wrapText="1"/>
    </xf>
    <xf numFmtId="0" fontId="7" fillId="6" borderId="0" xfId="2" applyFont="1" applyFill="1" applyBorder="1" applyAlignment="1">
      <alignment horizontal="center" wrapText="1"/>
    </xf>
    <xf numFmtId="0" fontId="7" fillId="0" borderId="6" xfId="2" applyFont="1" applyFill="1" applyBorder="1" applyAlignment="1">
      <alignment horizontal="right" wrapText="1"/>
    </xf>
    <xf numFmtId="0" fontId="7" fillId="0" borderId="27" xfId="2" applyFont="1" applyFill="1" applyBorder="1" applyAlignment="1">
      <alignment horizontal="center" wrapText="1"/>
    </xf>
    <xf numFmtId="3" fontId="7" fillId="0" borderId="6" xfId="2" applyNumberFormat="1" applyFont="1" applyFill="1" applyBorder="1" applyAlignment="1">
      <alignment horizontal="right" wrapText="1"/>
    </xf>
    <xf numFmtId="0" fontId="7" fillId="0" borderId="52" xfId="2" applyFont="1" applyFill="1" applyBorder="1" applyAlignment="1">
      <alignment wrapText="1"/>
    </xf>
    <xf numFmtId="0" fontId="7" fillId="0" borderId="52" xfId="2" applyFont="1" applyFill="1" applyBorder="1" applyAlignment="1">
      <alignment horizontal="center"/>
    </xf>
    <xf numFmtId="0" fontId="7" fillId="0" borderId="53" xfId="2" applyFont="1" applyFill="1" applyBorder="1" applyAlignment="1">
      <alignment horizontal="center"/>
    </xf>
    <xf numFmtId="0" fontId="7" fillId="0" borderId="54" xfId="2" applyFont="1" applyFill="1" applyBorder="1" applyAlignment="1">
      <alignment horizontal="center"/>
    </xf>
    <xf numFmtId="0" fontId="7" fillId="5" borderId="52" xfId="2" applyFont="1" applyFill="1" applyBorder="1" applyAlignment="1">
      <alignment horizontal="center" wrapText="1"/>
    </xf>
    <xf numFmtId="0" fontId="7" fillId="5" borderId="54" xfId="2" applyFont="1" applyFill="1" applyBorder="1" applyAlignment="1">
      <alignment horizontal="center" wrapText="1"/>
    </xf>
    <xf numFmtId="0" fontId="7" fillId="6" borderId="52" xfId="2" applyFont="1" applyFill="1" applyBorder="1" applyAlignment="1">
      <alignment horizontal="center" wrapText="1"/>
    </xf>
    <xf numFmtId="0" fontId="7" fillId="6" borderId="53" xfId="2" applyFont="1" applyFill="1" applyBorder="1" applyAlignment="1">
      <alignment horizontal="center" wrapText="1"/>
    </xf>
    <xf numFmtId="3" fontId="7" fillId="0" borderId="52" xfId="2" applyNumberFormat="1" applyFont="1" applyFill="1" applyBorder="1" applyAlignment="1">
      <alignment horizontal="right" wrapText="1"/>
    </xf>
    <xf numFmtId="3" fontId="7" fillId="0" borderId="6" xfId="2" applyNumberFormat="1" applyFont="1" applyFill="1" applyBorder="1" applyAlignment="1">
      <alignment horizontal="right"/>
    </xf>
    <xf numFmtId="3" fontId="7" fillId="0" borderId="27" xfId="2" applyNumberFormat="1" applyFont="1" applyFill="1" applyBorder="1" applyAlignment="1">
      <alignment horizontal="right"/>
    </xf>
    <xf numFmtId="0" fontId="7" fillId="6" borderId="55" xfId="2" applyFont="1" applyFill="1" applyBorder="1" applyAlignment="1">
      <alignment horizontal="center" wrapText="1"/>
    </xf>
    <xf numFmtId="0" fontId="7" fillId="6" borderId="3" xfId="2" applyFont="1" applyFill="1" applyBorder="1" applyAlignment="1">
      <alignment horizontal="center" wrapText="1"/>
    </xf>
    <xf numFmtId="3" fontId="7" fillId="0" borderId="55" xfId="2" applyNumberFormat="1" applyFont="1" applyFill="1" applyBorder="1" applyAlignment="1">
      <alignment horizontal="right" wrapText="1"/>
    </xf>
    <xf numFmtId="0" fontId="7" fillId="0" borderId="28" xfId="2" applyFont="1" applyFill="1" applyBorder="1" applyAlignment="1">
      <alignment horizontal="center" wrapText="1"/>
    </xf>
    <xf numFmtId="0" fontId="7" fillId="0" borderId="26" xfId="2" applyFont="1" applyFill="1" applyBorder="1" applyAlignment="1">
      <alignment horizontal="center"/>
    </xf>
    <xf numFmtId="0" fontId="7" fillId="0" borderId="56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7" fillId="6" borderId="26" xfId="2" applyFont="1" applyFill="1" applyBorder="1" applyAlignment="1">
      <alignment horizontal="center" wrapText="1"/>
    </xf>
    <xf numFmtId="0" fontId="7" fillId="6" borderId="20" xfId="2" applyFont="1" applyFill="1" applyBorder="1" applyAlignment="1">
      <alignment horizontal="center" wrapText="1"/>
    </xf>
    <xf numFmtId="0" fontId="22" fillId="0" borderId="26" xfId="2" applyFont="1" applyFill="1" applyBorder="1" applyAlignment="1">
      <alignment horizontal="right" wrapText="1"/>
    </xf>
    <xf numFmtId="0" fontId="22" fillId="0" borderId="56" xfId="2" applyFont="1" applyFill="1" applyBorder="1" applyAlignment="1">
      <alignment horizontal="center" wrapText="1"/>
    </xf>
    <xf numFmtId="0" fontId="7" fillId="0" borderId="14" xfId="2" applyFont="1" applyFill="1" applyBorder="1" applyAlignment="1">
      <alignment wrapText="1"/>
    </xf>
    <xf numFmtId="3" fontId="14" fillId="0" borderId="26" xfId="2" applyNumberFormat="1" applyFont="1" applyFill="1" applyBorder="1" applyAlignment="1">
      <alignment horizontal="right"/>
    </xf>
    <xf numFmtId="0" fontId="14" fillId="0" borderId="56" xfId="2" applyFont="1" applyFill="1" applyBorder="1" applyAlignment="1">
      <alignment horizontal="left"/>
    </xf>
    <xf numFmtId="0" fontId="7" fillId="0" borderId="26" xfId="2" applyFont="1" applyFill="1" applyBorder="1" applyAlignment="1">
      <alignment horizontal="right" wrapText="1"/>
    </xf>
    <xf numFmtId="0" fontId="7" fillId="0" borderId="56" xfId="2" applyFont="1" applyFill="1" applyBorder="1" applyAlignment="1">
      <alignment horizontal="center" wrapText="1"/>
    </xf>
    <xf numFmtId="0" fontId="14" fillId="0" borderId="57" xfId="2" applyFont="1" applyFill="1" applyBorder="1" applyAlignment="1">
      <alignment horizontal="left" wrapText="1" indent="4"/>
    </xf>
    <xf numFmtId="3" fontId="14" fillId="0" borderId="26" xfId="2" applyNumberFormat="1" applyFont="1" applyFill="1" applyBorder="1" applyAlignment="1">
      <alignment horizontal="right" wrapText="1"/>
    </xf>
    <xf numFmtId="0" fontId="14" fillId="0" borderId="56" xfId="2" applyFont="1" applyFill="1" applyBorder="1" applyAlignment="1">
      <alignment horizontal="left" wrapText="1"/>
    </xf>
    <xf numFmtId="0" fontId="14" fillId="0" borderId="20" xfId="2" applyFont="1" applyFill="1" applyBorder="1" applyAlignment="1">
      <alignment horizontal="left" wrapText="1"/>
    </xf>
    <xf numFmtId="3" fontId="14" fillId="6" borderId="6" xfId="2" applyNumberFormat="1" applyFont="1" applyFill="1" applyBorder="1" applyAlignment="1"/>
    <xf numFmtId="0" fontId="14" fillId="6" borderId="0" xfId="2" applyFont="1" applyFill="1" applyBorder="1" applyAlignment="1"/>
    <xf numFmtId="164" fontId="7" fillId="0" borderId="5" xfId="2" applyNumberFormat="1" applyFont="1" applyFill="1" applyBorder="1" applyAlignment="1">
      <alignment horizontal="right"/>
    </xf>
    <xf numFmtId="0" fontId="7" fillId="0" borderId="51" xfId="2" applyFont="1" applyFill="1" applyBorder="1" applyAlignment="1"/>
    <xf numFmtId="0" fontId="14" fillId="0" borderId="55" xfId="2" applyFont="1" applyFill="1" applyBorder="1" applyAlignment="1">
      <alignment horizontal="left" wrapText="1"/>
    </xf>
    <xf numFmtId="0" fontId="14" fillId="0" borderId="3" xfId="2" applyFont="1" applyFill="1" applyBorder="1" applyAlignment="1">
      <alignment horizontal="left" wrapText="1"/>
    </xf>
    <xf numFmtId="0" fontId="14" fillId="0" borderId="28" xfId="2" applyFont="1" applyFill="1" applyBorder="1" applyAlignment="1">
      <alignment horizontal="left" wrapText="1"/>
    </xf>
    <xf numFmtId="0" fontId="7" fillId="0" borderId="26" xfId="2" applyFont="1" applyFill="1" applyBorder="1" applyAlignment="1">
      <alignment wrapText="1"/>
    </xf>
    <xf numFmtId="3" fontId="14" fillId="5" borderId="26" xfId="2" applyNumberFormat="1" applyFont="1" applyFill="1" applyBorder="1" applyAlignment="1">
      <alignment horizontal="right"/>
    </xf>
    <xf numFmtId="0" fontId="14" fillId="5" borderId="56" xfId="2" applyFont="1" applyFill="1" applyBorder="1" applyAlignment="1"/>
    <xf numFmtId="0" fontId="14" fillId="0" borderId="55" xfId="2" applyFont="1" applyFill="1" applyBorder="1" applyAlignment="1">
      <alignment wrapText="1"/>
    </xf>
    <xf numFmtId="0" fontId="21" fillId="0" borderId="6" xfId="2" applyFont="1" applyFill="1" applyBorder="1" applyAlignment="1">
      <alignment horizontal="left"/>
    </xf>
    <xf numFmtId="0" fontId="21" fillId="0" borderId="27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14" fillId="5" borderId="6" xfId="2" applyFont="1" applyFill="1" applyBorder="1" applyAlignment="1"/>
    <xf numFmtId="0" fontId="14" fillId="5" borderId="27" xfId="2" applyFont="1" applyFill="1" applyBorder="1" applyAlignment="1"/>
    <xf numFmtId="0" fontId="14" fillId="6" borderId="6" xfId="2" applyFont="1" applyFill="1" applyBorder="1" applyAlignment="1"/>
    <xf numFmtId="4" fontId="7" fillId="0" borderId="5" xfId="2" applyNumberFormat="1" applyFont="1" applyFill="1" applyBorder="1" applyAlignment="1">
      <alignment horizontal="right" wrapText="1"/>
    </xf>
    <xf numFmtId="0" fontId="21" fillId="0" borderId="55" xfId="2" applyFont="1" applyFill="1" applyBorder="1" applyAlignment="1">
      <alignment horizontal="left"/>
    </xf>
    <xf numFmtId="3" fontId="7" fillId="0" borderId="8" xfId="2" applyNumberFormat="1" applyFont="1" applyFill="1" applyBorder="1" applyAlignment="1">
      <alignment horizontal="right" wrapText="1"/>
    </xf>
    <xf numFmtId="0" fontId="7" fillId="0" borderId="58" xfId="2" applyFont="1" applyFill="1" applyBorder="1" applyAlignment="1"/>
    <xf numFmtId="0" fontId="21" fillId="0" borderId="26" xfId="2" applyFont="1" applyFill="1" applyBorder="1" applyAlignment="1">
      <alignment horizontal="left"/>
    </xf>
    <xf numFmtId="0" fontId="14" fillId="5" borderId="26" xfId="2" applyFont="1" applyFill="1" applyBorder="1" applyAlignment="1"/>
    <xf numFmtId="166" fontId="14" fillId="5" borderId="26" xfId="2" applyNumberFormat="1" applyFont="1" applyFill="1" applyBorder="1" applyAlignment="1"/>
    <xf numFmtId="0" fontId="14" fillId="0" borderId="26" xfId="2" applyFont="1" applyFill="1" applyBorder="1" applyAlignment="1">
      <alignment wrapText="1"/>
    </xf>
    <xf numFmtId="0" fontId="14" fillId="0" borderId="6" xfId="2" applyFont="1" applyFill="1" applyBorder="1" applyAlignment="1">
      <alignment wrapText="1"/>
    </xf>
    <xf numFmtId="0" fontId="14" fillId="0" borderId="27" xfId="2" applyFont="1" applyFill="1" applyBorder="1" applyAlignment="1">
      <alignment wrapText="1"/>
    </xf>
    <xf numFmtId="0" fontId="14" fillId="0" borderId="0" xfId="2" applyFont="1" applyFill="1" applyBorder="1" applyAlignment="1">
      <alignment wrapText="1"/>
    </xf>
    <xf numFmtId="3" fontId="14" fillId="5" borderId="56" xfId="2" applyNumberFormat="1" applyFont="1" applyFill="1" applyBorder="1" applyAlignment="1"/>
    <xf numFmtId="0" fontId="7" fillId="0" borderId="27" xfId="2" applyFont="1" applyFill="1" applyBorder="1" applyAlignment="1"/>
    <xf numFmtId="0" fontId="14" fillId="0" borderId="6" xfId="2" applyFont="1" applyFill="1" applyBorder="1" applyAlignment="1">
      <alignment horizontal="left" wrapText="1"/>
    </xf>
    <xf numFmtId="0" fontId="14" fillId="0" borderId="27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3" fontId="7" fillId="0" borderId="5" xfId="2" applyNumberFormat="1" applyFont="1" applyFill="1" applyBorder="1" applyAlignment="1">
      <alignment horizontal="right" wrapText="1"/>
    </xf>
    <xf numFmtId="4" fontId="14" fillId="5" borderId="26" xfId="2" applyNumberFormat="1" applyFont="1" applyFill="1" applyBorder="1" applyAlignment="1"/>
    <xf numFmtId="3" fontId="14" fillId="0" borderId="27" xfId="2" applyNumberFormat="1" applyFont="1" applyFill="1" applyBorder="1" applyAlignment="1">
      <alignment horizontal="right"/>
    </xf>
    <xf numFmtId="0" fontId="14" fillId="0" borderId="26" xfId="2" applyFont="1" applyFill="1" applyBorder="1"/>
    <xf numFmtId="0" fontId="14" fillId="0" borderId="56" xfId="2" applyFont="1" applyFill="1" applyBorder="1"/>
    <xf numFmtId="0" fontId="14" fillId="0" borderId="20" xfId="2" applyFont="1" applyFill="1" applyBorder="1"/>
    <xf numFmtId="3" fontId="14" fillId="5" borderId="26" xfId="2" applyNumberFormat="1" applyFont="1" applyFill="1" applyBorder="1" applyAlignment="1"/>
    <xf numFmtId="0" fontId="14" fillId="0" borderId="55" xfId="2" applyFont="1" applyFill="1" applyBorder="1" applyAlignment="1">
      <alignment horizontal="left" indent="3"/>
    </xf>
    <xf numFmtId="3" fontId="14" fillId="0" borderId="26" xfId="2" applyNumberFormat="1" applyFont="1" applyFill="1" applyBorder="1" applyAlignment="1"/>
    <xf numFmtId="3" fontId="14" fillId="0" borderId="56" xfId="2" applyNumberFormat="1" applyFont="1" applyFill="1" applyBorder="1" applyAlignment="1"/>
    <xf numFmtId="0" fontId="14" fillId="0" borderId="6" xfId="2" applyFont="1" applyFill="1" applyBorder="1" applyAlignment="1">
      <alignment horizontal="right" wrapText="1"/>
    </xf>
    <xf numFmtId="0" fontId="23" fillId="0" borderId="0" xfId="0" applyFont="1" applyAlignment="1">
      <alignment horizontal="left" vertical="center" indent="3"/>
    </xf>
    <xf numFmtId="3" fontId="7" fillId="0" borderId="5" xfId="3" applyNumberFormat="1" applyFont="1" applyFill="1" applyBorder="1"/>
    <xf numFmtId="0" fontId="14" fillId="0" borderId="51" xfId="2" applyFont="1" applyFill="1" applyBorder="1" applyAlignment="1">
      <alignment horizontal="left" wrapText="1"/>
    </xf>
    <xf numFmtId="0" fontId="14" fillId="0" borderId="5" xfId="2" applyFont="1" applyFill="1" applyBorder="1" applyAlignment="1">
      <alignment horizontal="left" wrapText="1"/>
    </xf>
    <xf numFmtId="0" fontId="14" fillId="0" borderId="11" xfId="2" applyFont="1" applyFill="1" applyBorder="1" applyAlignment="1">
      <alignment horizontal="left" wrapText="1"/>
    </xf>
    <xf numFmtId="3" fontId="14" fillId="5" borderId="5" xfId="2" applyNumberFormat="1" applyFont="1" applyFill="1" applyBorder="1" applyAlignment="1">
      <alignment horizontal="right"/>
    </xf>
    <xf numFmtId="3" fontId="14" fillId="5" borderId="51" xfId="2" applyNumberFormat="1" applyFont="1" applyFill="1" applyBorder="1" applyAlignment="1">
      <alignment horizontal="right"/>
    </xf>
    <xf numFmtId="3" fontId="14" fillId="6" borderId="5" xfId="2" applyNumberFormat="1" applyFont="1" applyFill="1" applyBorder="1" applyAlignment="1">
      <alignment horizontal="right"/>
    </xf>
    <xf numFmtId="3" fontId="14" fillId="6" borderId="11" xfId="2" applyNumberFormat="1" applyFont="1" applyFill="1" applyBorder="1" applyAlignment="1">
      <alignment horizontal="right"/>
    </xf>
    <xf numFmtId="0" fontId="11" fillId="0" borderId="40" xfId="2" applyFont="1" applyFill="1" applyBorder="1" applyAlignment="1">
      <alignment horizontal="left" indent="2"/>
    </xf>
    <xf numFmtId="3" fontId="25" fillId="0" borderId="7" xfId="2" applyNumberFormat="1" applyFont="1" applyFill="1" applyBorder="1"/>
    <xf numFmtId="3" fontId="25" fillId="0" borderId="10" xfId="2" applyNumberFormat="1" applyFont="1" applyFill="1" applyBorder="1"/>
    <xf numFmtId="0" fontId="26" fillId="0" borderId="36" xfId="2" applyFont="1" applyFill="1" applyBorder="1"/>
    <xf numFmtId="3" fontId="26" fillId="0" borderId="37" xfId="2" applyNumberFormat="1" applyFont="1" applyFill="1" applyBorder="1"/>
    <xf numFmtId="3" fontId="26" fillId="0" borderId="29" xfId="2" applyNumberFormat="1" applyFont="1" applyFill="1" applyBorder="1"/>
    <xf numFmtId="3" fontId="28" fillId="0" borderId="0" xfId="2" applyNumberFormat="1" applyFont="1" applyFill="1"/>
    <xf numFmtId="0" fontId="28" fillId="0" borderId="0" xfId="2" applyFont="1" applyFill="1"/>
    <xf numFmtId="3" fontId="10" fillId="0" borderId="35" xfId="2" applyNumberFormat="1" applyFont="1" applyFill="1" applyBorder="1"/>
    <xf numFmtId="3" fontId="10" fillId="0" borderId="36" xfId="2" applyNumberFormat="1" applyFont="1" applyFill="1" applyBorder="1"/>
    <xf numFmtId="3" fontId="10" fillId="0" borderId="21" xfId="2" applyNumberFormat="1" applyFont="1" applyFill="1" applyBorder="1"/>
    <xf numFmtId="3" fontId="12" fillId="0" borderId="4" xfId="2" applyNumberFormat="1" applyFont="1" applyFill="1" applyBorder="1"/>
    <xf numFmtId="3" fontId="10" fillId="0" borderId="44" xfId="2" applyNumberFormat="1" applyFont="1" applyFill="1" applyBorder="1"/>
    <xf numFmtId="3" fontId="26" fillId="0" borderId="44" xfId="2" applyNumberFormat="1" applyFont="1" applyFill="1" applyBorder="1"/>
    <xf numFmtId="3" fontId="11" fillId="0" borderId="36" xfId="2" applyNumberFormat="1" applyFont="1" applyFill="1" applyBorder="1"/>
    <xf numFmtId="3" fontId="11" fillId="0" borderId="21" xfId="2" applyNumberFormat="1" applyFont="1" applyFill="1" applyBorder="1"/>
    <xf numFmtId="3" fontId="12" fillId="0" borderId="30" xfId="2" applyNumberFormat="1" applyFont="1" applyFill="1" applyBorder="1"/>
    <xf numFmtId="3" fontId="11" fillId="0" borderId="40" xfId="2" applyNumberFormat="1" applyFont="1" applyFill="1" applyBorder="1"/>
    <xf numFmtId="3" fontId="12" fillId="0" borderId="41" xfId="2" applyNumberFormat="1" applyFont="1" applyFill="1" applyBorder="1"/>
    <xf numFmtId="0" fontId="8" fillId="0" borderId="35" xfId="2" applyFont="1" applyFill="1" applyBorder="1"/>
    <xf numFmtId="3" fontId="13" fillId="0" borderId="36" xfId="2" applyNumberFormat="1" applyFont="1" applyFill="1" applyBorder="1" applyAlignment="1">
      <alignment horizontal="center"/>
    </xf>
    <xf numFmtId="3" fontId="8" fillId="0" borderId="40" xfId="2" applyNumberFormat="1" applyFont="1" applyFill="1" applyBorder="1"/>
    <xf numFmtId="0" fontId="14" fillId="0" borderId="0" xfId="2" applyFont="1" applyFill="1" applyAlignment="1"/>
    <xf numFmtId="3" fontId="14" fillId="0" borderId="0" xfId="2" applyNumberFormat="1" applyFont="1" applyFill="1" applyAlignment="1"/>
    <xf numFmtId="0" fontId="14" fillId="0" borderId="0" xfId="2" applyFont="1" applyFill="1" applyAlignment="1">
      <alignment wrapText="1"/>
    </xf>
    <xf numFmtId="0" fontId="7" fillId="0" borderId="0" xfId="2" applyFont="1" applyFill="1" applyAlignment="1">
      <alignment horizontal="left" vertical="top"/>
    </xf>
    <xf numFmtId="0" fontId="14" fillId="0" borderId="0" xfId="2" applyFont="1" applyFill="1" applyAlignment="1">
      <alignment horizontal="left" vertical="top"/>
    </xf>
    <xf numFmtId="0" fontId="14" fillId="0" borderId="0" xfId="2" applyFont="1" applyFill="1" applyAlignment="1">
      <alignment vertical="top"/>
    </xf>
    <xf numFmtId="3" fontId="14" fillId="0" borderId="0" xfId="2" applyNumberFormat="1" applyFont="1" applyFill="1" applyAlignment="1">
      <alignment vertical="top"/>
    </xf>
    <xf numFmtId="3" fontId="16" fillId="0" borderId="0" xfId="2" applyNumberFormat="1" applyFont="1" applyFill="1" applyAlignment="1">
      <alignment horizontal="right" vertical="top"/>
    </xf>
    <xf numFmtId="0" fontId="16" fillId="0" borderId="0" xfId="2" applyFont="1" applyFill="1" applyAlignment="1">
      <alignment vertical="top"/>
    </xf>
    <xf numFmtId="0" fontId="7" fillId="0" borderId="0" xfId="2" applyFont="1" applyFill="1" applyAlignment="1">
      <alignment vertical="top"/>
    </xf>
    <xf numFmtId="3" fontId="7" fillId="0" borderId="0" xfId="2" applyNumberFormat="1" applyFont="1" applyFill="1" applyAlignment="1">
      <alignment vertical="top"/>
    </xf>
    <xf numFmtId="0" fontId="7" fillId="0" borderId="0" xfId="2" applyFont="1" applyFill="1" applyAlignment="1">
      <alignment horizontal="right" vertical="top"/>
    </xf>
    <xf numFmtId="3" fontId="7" fillId="0" borderId="0" xfId="2" applyNumberFormat="1" applyFont="1" applyFill="1" applyAlignment="1">
      <alignment horizontal="right" vertical="top"/>
    </xf>
    <xf numFmtId="0" fontId="14" fillId="0" borderId="0" xfId="2" applyFont="1" applyFill="1" applyAlignment="1">
      <alignment horizontal="right" vertical="top"/>
    </xf>
    <xf numFmtId="3" fontId="14" fillId="0" borderId="0" xfId="2" applyNumberFormat="1" applyFont="1" applyFill="1" applyAlignment="1">
      <alignment horizontal="right" vertical="top"/>
    </xf>
    <xf numFmtId="0" fontId="16" fillId="0" borderId="0" xfId="2" applyFont="1" applyFill="1" applyAlignment="1">
      <alignment horizontal="left" vertical="top"/>
    </xf>
    <xf numFmtId="0" fontId="2" fillId="0" borderId="0" xfId="2" applyFont="1" applyFill="1" applyAlignment="1">
      <alignment horizontal="center" vertical="top"/>
    </xf>
    <xf numFmtId="3" fontId="2" fillId="0" borderId="0" xfId="2" applyNumberFormat="1" applyFont="1" applyFill="1" applyAlignment="1">
      <alignment horizontal="center" vertical="top"/>
    </xf>
    <xf numFmtId="0" fontId="2" fillId="0" borderId="0" xfId="2" applyFont="1" applyFill="1" applyAlignment="1">
      <alignment vertical="top"/>
    </xf>
    <xf numFmtId="3" fontId="16" fillId="0" borderId="0" xfId="2" applyNumberFormat="1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/>
    <xf numFmtId="0" fontId="14" fillId="0" borderId="0" xfId="2" applyFont="1" applyAlignment="1">
      <alignment vertical="top"/>
    </xf>
    <xf numFmtId="0" fontId="24" fillId="0" borderId="0" xfId="2" applyFont="1" applyAlignment="1">
      <alignment vertical="top"/>
    </xf>
    <xf numFmtId="0" fontId="14" fillId="0" borderId="0" xfId="5" applyFont="1" applyFill="1" applyAlignment="1">
      <alignment horizontal="left" vertical="top"/>
    </xf>
    <xf numFmtId="3" fontId="7" fillId="0" borderId="0" xfId="2" applyNumberFormat="1" applyFont="1" applyFill="1" applyBorder="1" applyAlignment="1">
      <alignment horizontal="right" vertical="top"/>
    </xf>
    <xf numFmtId="3" fontId="14" fillId="0" borderId="0" xfId="2" applyNumberFormat="1" applyFont="1" applyAlignment="1">
      <alignment vertical="top"/>
    </xf>
    <xf numFmtId="3" fontId="14" fillId="0" borderId="0" xfId="2" applyNumberFormat="1" applyFont="1" applyFill="1" applyBorder="1" applyAlignment="1">
      <alignment horizontal="right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Alignment="1">
      <alignment horizontal="left" vertical="top" wrapText="1"/>
    </xf>
    <xf numFmtId="0" fontId="14" fillId="0" borderId="0" xfId="2" applyFont="1" applyFill="1" applyBorder="1" applyAlignment="1">
      <alignment vertical="top"/>
    </xf>
    <xf numFmtId="3" fontId="14" fillId="0" borderId="0" xfId="2" applyNumberFormat="1" applyFont="1" applyFill="1" applyBorder="1" applyAlignment="1">
      <alignment vertical="top"/>
    </xf>
    <xf numFmtId="0" fontId="14" fillId="0" borderId="0" xfId="2" applyFont="1" applyFill="1" applyAlignment="1">
      <alignment vertical="top" wrapText="1"/>
    </xf>
    <xf numFmtId="0" fontId="1" fillId="0" borderId="0" xfId="2" applyFill="1"/>
    <xf numFmtId="3" fontId="1" fillId="0" borderId="0" xfId="2" applyNumberFormat="1" applyFill="1"/>
    <xf numFmtId="0" fontId="16" fillId="0" borderId="0" xfId="2" applyFont="1" applyFill="1" applyAlignment="1">
      <alignment horizontal="left"/>
    </xf>
    <xf numFmtId="0" fontId="14" fillId="0" borderId="0" xfId="2" applyFont="1" applyFill="1" applyBorder="1" applyAlignment="1">
      <alignment vertical="top" wrapText="1"/>
    </xf>
    <xf numFmtId="0" fontId="24" fillId="0" borderId="0" xfId="2" applyFont="1" applyFill="1" applyAlignment="1">
      <alignment vertical="top"/>
    </xf>
    <xf numFmtId="1" fontId="14" fillId="0" borderId="0" xfId="5" applyNumberFormat="1" applyFont="1" applyFill="1" applyAlignment="1">
      <alignment horizontal="left" vertical="top"/>
    </xf>
    <xf numFmtId="0" fontId="14" fillId="0" borderId="0" xfId="5" applyFont="1" applyFill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/>
    </xf>
    <xf numFmtId="0" fontId="20" fillId="0" borderId="0" xfId="2" applyFont="1" applyFill="1" applyAlignment="1">
      <alignment vertical="top"/>
    </xf>
    <xf numFmtId="0" fontId="20" fillId="0" borderId="0" xfId="2" applyFont="1" applyFill="1" applyAlignment="1">
      <alignment vertical="top" wrapText="1"/>
    </xf>
    <xf numFmtId="3" fontId="20" fillId="0" borderId="0" xfId="2" applyNumberFormat="1" applyFont="1" applyFill="1" applyAlignment="1">
      <alignment vertical="top"/>
    </xf>
    <xf numFmtId="3" fontId="20" fillId="0" borderId="0" xfId="2" applyNumberFormat="1" applyFont="1" applyFill="1" applyAlignment="1">
      <alignment horizontal="right" vertical="top"/>
    </xf>
    <xf numFmtId="0" fontId="24" fillId="0" borderId="0" xfId="2" applyFont="1" applyFill="1" applyAlignment="1">
      <alignment horizontal="right" vertical="top"/>
    </xf>
    <xf numFmtId="3" fontId="24" fillId="0" borderId="0" xfId="2" applyNumberFormat="1" applyFont="1" applyFill="1" applyAlignment="1">
      <alignment horizontal="right" vertical="top"/>
    </xf>
    <xf numFmtId="0" fontId="30" fillId="0" borderId="0" xfId="0" applyFont="1"/>
    <xf numFmtId="3" fontId="10" fillId="0" borderId="0" xfId="2" applyNumberFormat="1" applyFont="1"/>
    <xf numFmtId="0" fontId="14" fillId="0" borderId="0" xfId="2" applyFont="1"/>
    <xf numFmtId="0" fontId="2" fillId="0" borderId="0" xfId="2" applyFont="1" applyAlignment="1">
      <alignment horizontal="right"/>
    </xf>
    <xf numFmtId="0" fontId="9" fillId="0" borderId="0" xfId="2" applyFont="1" applyAlignment="1">
      <alignment wrapText="1"/>
    </xf>
    <xf numFmtId="0" fontId="16" fillId="0" borderId="0" xfId="2" applyFont="1"/>
    <xf numFmtId="3" fontId="16" fillId="0" borderId="0" xfId="2" applyNumberFormat="1" applyFont="1"/>
    <xf numFmtId="3" fontId="14" fillId="0" borderId="0" xfId="2" applyNumberFormat="1" applyFont="1"/>
    <xf numFmtId="0" fontId="14" fillId="0" borderId="0" xfId="2" applyFont="1" applyAlignment="1">
      <alignment wrapText="1"/>
    </xf>
    <xf numFmtId="0" fontId="2" fillId="0" borderId="0" xfId="2" applyFont="1"/>
    <xf numFmtId="0" fontId="0" fillId="0" borderId="0" xfId="0" applyFont="1"/>
    <xf numFmtId="0" fontId="37" fillId="0" borderId="2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justify" vertical="center" wrapText="1"/>
    </xf>
    <xf numFmtId="0" fontId="37" fillId="0" borderId="10" xfId="0" applyFont="1" applyBorder="1" applyAlignment="1">
      <alignment horizontal="justify" vertical="center" wrapText="1"/>
    </xf>
    <xf numFmtId="0" fontId="33" fillId="0" borderId="38" xfId="0" applyFont="1" applyBorder="1" applyAlignment="1">
      <alignment horizontal="justify" vertical="center" wrapText="1"/>
    </xf>
    <xf numFmtId="0" fontId="33" fillId="0" borderId="29" xfId="0" applyFont="1" applyBorder="1" applyAlignment="1">
      <alignment horizontal="justify" vertical="center" wrapText="1"/>
    </xf>
    <xf numFmtId="0" fontId="33" fillId="0" borderId="29" xfId="0" applyFont="1" applyBorder="1" applyAlignment="1">
      <alignment horizontal="right" vertical="center" wrapText="1"/>
    </xf>
    <xf numFmtId="0" fontId="37" fillId="0" borderId="37" xfId="0" applyFont="1" applyBorder="1" applyAlignment="1">
      <alignment horizontal="right" vertical="center" wrapText="1"/>
    </xf>
    <xf numFmtId="0" fontId="33" fillId="0" borderId="12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right" vertical="center" wrapText="1"/>
    </xf>
    <xf numFmtId="0" fontId="37" fillId="0" borderId="7" xfId="0" applyFont="1" applyBorder="1" applyAlignment="1">
      <alignment horizontal="right" vertical="center" wrapText="1"/>
    </xf>
    <xf numFmtId="0" fontId="33" fillId="0" borderId="12" xfId="0" applyFont="1" applyBorder="1" applyAlignment="1">
      <alignment horizontal="justify" vertical="center"/>
    </xf>
    <xf numFmtId="0" fontId="37" fillId="0" borderId="9" xfId="0" applyFont="1" applyBorder="1" applyAlignment="1">
      <alignment horizontal="right" vertical="center" wrapText="1"/>
    </xf>
    <xf numFmtId="0" fontId="37" fillId="0" borderId="1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justify" vertical="center" wrapText="1"/>
    </xf>
    <xf numFmtId="0" fontId="37" fillId="0" borderId="0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justify" vertical="center" wrapText="1"/>
    </xf>
    <xf numFmtId="0" fontId="33" fillId="0" borderId="11" xfId="0" applyFont="1" applyBorder="1" applyAlignment="1">
      <alignment horizontal="justify" vertical="center" wrapText="1"/>
    </xf>
    <xf numFmtId="0" fontId="33" fillId="0" borderId="51" xfId="0" applyFont="1" applyBorder="1" applyAlignment="1">
      <alignment horizontal="justify" vertical="center" wrapText="1"/>
    </xf>
    <xf numFmtId="167" fontId="33" fillId="0" borderId="1" xfId="6" applyNumberFormat="1" applyFont="1" applyBorder="1" applyAlignment="1">
      <alignment horizontal="right" vertical="center" wrapText="1" indent="1"/>
    </xf>
    <xf numFmtId="168" fontId="33" fillId="0" borderId="29" xfId="6" applyNumberFormat="1" applyFont="1" applyBorder="1" applyAlignment="1">
      <alignment horizontal="right" vertical="center" wrapText="1" indent="1"/>
    </xf>
    <xf numFmtId="168" fontId="33" fillId="0" borderId="37" xfId="6" applyNumberFormat="1" applyFont="1" applyBorder="1" applyAlignment="1">
      <alignment horizontal="right" vertical="center" wrapText="1" indent="1"/>
    </xf>
    <xf numFmtId="0" fontId="35" fillId="0" borderId="0" xfId="0" applyFont="1" applyAlignment="1">
      <alignment horizontal="left" vertical="top"/>
    </xf>
    <xf numFmtId="0" fontId="35" fillId="0" borderId="4" xfId="0" applyFont="1" applyBorder="1" applyAlignment="1">
      <alignment horizontal="left" vertical="top" wrapText="1"/>
    </xf>
    <xf numFmtId="0" fontId="35" fillId="0" borderId="54" xfId="0" applyFont="1" applyBorder="1" applyAlignment="1">
      <alignment horizontal="right" vertical="top"/>
    </xf>
    <xf numFmtId="0" fontId="23" fillId="0" borderId="58" xfId="0" applyFont="1" applyBorder="1" applyAlignment="1">
      <alignment horizontal="right" vertical="top"/>
    </xf>
    <xf numFmtId="0" fontId="23" fillId="0" borderId="41" xfId="0" applyFont="1" applyBorder="1" applyAlignment="1">
      <alignment horizontal="left" vertical="top" wrapText="1"/>
    </xf>
    <xf numFmtId="0" fontId="35" fillId="0" borderId="41" xfId="0" applyFont="1" applyBorder="1" applyAlignment="1">
      <alignment horizontal="left" vertical="top" wrapText="1"/>
    </xf>
    <xf numFmtId="0" fontId="35" fillId="0" borderId="58" xfId="0" applyFont="1" applyBorder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23" fillId="0" borderId="0" xfId="0" applyFont="1"/>
    <xf numFmtId="0" fontId="23" fillId="0" borderId="0" xfId="0" applyFont="1" applyAlignment="1">
      <alignment horizontal="right"/>
    </xf>
    <xf numFmtId="0" fontId="38" fillId="0" borderId="41" xfId="0" applyFont="1" applyBorder="1" applyAlignment="1">
      <alignment horizontal="left" vertical="top" wrapText="1" indent="2"/>
    </xf>
    <xf numFmtId="0" fontId="38" fillId="0" borderId="4" xfId="0" applyFont="1" applyBorder="1" applyAlignment="1">
      <alignment horizontal="left" vertical="top" wrapText="1" indent="2"/>
    </xf>
    <xf numFmtId="0" fontId="35" fillId="0" borderId="41" xfId="0" applyFont="1" applyFill="1" applyBorder="1" applyAlignment="1">
      <alignment horizontal="left" vertical="top" wrapText="1"/>
    </xf>
    <xf numFmtId="0" fontId="14" fillId="0" borderId="0" xfId="2" applyFont="1" applyAlignment="1">
      <alignment horizontal="left" indent="2"/>
    </xf>
    <xf numFmtId="0" fontId="14" fillId="0" borderId="0" xfId="2" applyFont="1" applyAlignment="1">
      <alignment horizontal="left" indent="3"/>
    </xf>
    <xf numFmtId="3" fontId="2" fillId="0" borderId="0" xfId="2" applyNumberFormat="1" applyFont="1"/>
    <xf numFmtId="3" fontId="7" fillId="0" borderId="0" xfId="2" applyNumberFormat="1" applyFont="1"/>
    <xf numFmtId="0" fontId="2" fillId="0" borderId="0" xfId="7" applyFont="1" applyFill="1" applyAlignment="1">
      <alignment wrapText="1"/>
    </xf>
    <xf numFmtId="0" fontId="14" fillId="0" borderId="0" xfId="8" applyFont="1" applyFill="1" applyBorder="1"/>
    <xf numFmtId="169" fontId="14" fillId="0" borderId="0" xfId="8" applyNumberFormat="1" applyFont="1" applyFill="1" applyBorder="1"/>
    <xf numFmtId="0" fontId="14" fillId="0" borderId="0" xfId="8" applyFont="1" applyFill="1"/>
    <xf numFmtId="0" fontId="14" fillId="0" borderId="0" xfId="8" applyFont="1" applyFill="1" applyAlignment="1">
      <alignment wrapText="1"/>
    </xf>
    <xf numFmtId="0" fontId="7" fillId="0" borderId="0" xfId="8" applyFont="1" applyFill="1"/>
    <xf numFmtId="169" fontId="14" fillId="0" borderId="0" xfId="8" applyNumberFormat="1" applyFont="1" applyFill="1"/>
    <xf numFmtId="0" fontId="14" fillId="0" borderId="23" xfId="8" applyFont="1" applyFill="1" applyBorder="1" applyAlignment="1">
      <alignment horizontal="center" wrapText="1"/>
    </xf>
    <xf numFmtId="0" fontId="14" fillId="0" borderId="17" xfId="8" applyFont="1" applyFill="1" applyBorder="1" applyAlignment="1">
      <alignment horizontal="center" wrapText="1"/>
    </xf>
    <xf numFmtId="0" fontId="7" fillId="0" borderId="16" xfId="8" applyFont="1" applyFill="1" applyBorder="1" applyAlignment="1">
      <alignment horizontal="center" wrapText="1"/>
    </xf>
    <xf numFmtId="0" fontId="7" fillId="0" borderId="24" xfId="8" applyFont="1" applyFill="1" applyBorder="1" applyAlignment="1">
      <alignment horizontal="center" wrapText="1"/>
    </xf>
    <xf numFmtId="169" fontId="14" fillId="0" borderId="0" xfId="8" applyNumberFormat="1" applyFont="1" applyFill="1" applyAlignment="1">
      <alignment horizontal="center" wrapText="1"/>
    </xf>
    <xf numFmtId="0" fontId="14" fillId="0" borderId="0" xfId="8" applyFont="1" applyFill="1" applyAlignment="1">
      <alignment horizontal="center" wrapText="1"/>
    </xf>
    <xf numFmtId="0" fontId="14" fillId="0" borderId="12" xfId="8" applyFont="1" applyFill="1" applyBorder="1"/>
    <xf numFmtId="0" fontId="14" fillId="0" borderId="1" xfId="8" applyFont="1" applyFill="1" applyBorder="1" applyAlignment="1">
      <alignment wrapText="1"/>
    </xf>
    <xf numFmtId="3" fontId="14" fillId="0" borderId="1" xfId="8" applyNumberFormat="1" applyFont="1" applyFill="1" applyBorder="1"/>
    <xf numFmtId="3" fontId="7" fillId="0" borderId="7" xfId="8" applyNumberFormat="1" applyFont="1" applyFill="1" applyBorder="1"/>
    <xf numFmtId="0" fontId="7" fillId="0" borderId="1" xfId="8" applyFont="1" applyFill="1" applyBorder="1" applyAlignment="1">
      <alignment wrapText="1"/>
    </xf>
    <xf numFmtId="3" fontId="7" fillId="0" borderId="1" xfId="8" applyNumberFormat="1" applyFont="1" applyFill="1" applyBorder="1"/>
    <xf numFmtId="0" fontId="7" fillId="0" borderId="9" xfId="8" applyFont="1" applyFill="1" applyBorder="1" applyAlignment="1">
      <alignment wrapText="1"/>
    </xf>
    <xf numFmtId="3" fontId="7" fillId="0" borderId="9" xfId="8" applyNumberFormat="1" applyFont="1" applyFill="1" applyBorder="1"/>
    <xf numFmtId="0" fontId="14" fillId="0" borderId="6" xfId="8" applyFont="1" applyFill="1" applyBorder="1"/>
    <xf numFmtId="0" fontId="7" fillId="0" borderId="0" xfId="8" applyFont="1" applyFill="1" applyBorder="1" applyAlignment="1">
      <alignment wrapText="1"/>
    </xf>
    <xf numFmtId="3" fontId="7" fillId="0" borderId="0" xfId="8" applyNumberFormat="1" applyFont="1" applyFill="1" applyBorder="1"/>
    <xf numFmtId="3" fontId="7" fillId="0" borderId="27" xfId="8" applyNumberFormat="1" applyFont="1" applyFill="1" applyBorder="1"/>
    <xf numFmtId="0" fontId="14" fillId="0" borderId="23" xfId="8" applyFont="1" applyFill="1" applyBorder="1"/>
    <xf numFmtId="0" fontId="14" fillId="0" borderId="17" xfId="8" applyFont="1" applyFill="1" applyBorder="1" applyAlignment="1">
      <alignment wrapText="1"/>
    </xf>
    <xf numFmtId="3" fontId="7" fillId="0" borderId="24" xfId="8" applyNumberFormat="1" applyFont="1" applyFill="1" applyBorder="1"/>
    <xf numFmtId="169" fontId="7" fillId="0" borderId="0" xfId="8" applyNumberFormat="1" applyFont="1" applyFill="1"/>
    <xf numFmtId="0" fontId="14" fillId="0" borderId="25" xfId="8" applyFont="1" applyFill="1" applyBorder="1"/>
    <xf numFmtId="3" fontId="7" fillId="0" borderId="10" xfId="8" applyNumberFormat="1" applyFont="1" applyFill="1" applyBorder="1"/>
    <xf numFmtId="0" fontId="31" fillId="0" borderId="0" xfId="8" applyFont="1" applyFill="1" applyAlignment="1">
      <alignment horizontal="center"/>
    </xf>
    <xf numFmtId="0" fontId="2" fillId="0" borderId="17" xfId="8" applyFont="1" applyFill="1" applyBorder="1" applyAlignment="1">
      <alignment horizontal="center" wrapText="1"/>
    </xf>
    <xf numFmtId="3" fontId="14" fillId="0" borderId="2" xfId="8" applyNumberFormat="1" applyFont="1" applyFill="1" applyBorder="1"/>
    <xf numFmtId="3" fontId="14" fillId="0" borderId="29" xfId="8" applyNumberFormat="1" applyFont="1" applyFill="1" applyBorder="1"/>
    <xf numFmtId="0" fontId="7" fillId="0" borderId="17" xfId="8" applyFont="1" applyFill="1" applyBorder="1" applyAlignment="1">
      <alignment horizontal="center" wrapText="1"/>
    </xf>
    <xf numFmtId="0" fontId="14" fillId="0" borderId="12" xfId="8" applyFont="1" applyFill="1" applyBorder="1" applyAlignment="1">
      <alignment wrapText="1"/>
    </xf>
    <xf numFmtId="3" fontId="14" fillId="0" borderId="1" xfId="8" applyNumberFormat="1" applyFont="1" applyFill="1" applyBorder="1" applyAlignment="1">
      <alignment wrapText="1"/>
    </xf>
    <xf numFmtId="3" fontId="7" fillId="0" borderId="7" xfId="8" applyNumberFormat="1" applyFont="1" applyFill="1" applyBorder="1" applyAlignment="1">
      <alignment wrapText="1"/>
    </xf>
    <xf numFmtId="169" fontId="7" fillId="0" borderId="0" xfId="8" applyNumberFormat="1" applyFont="1" applyFill="1" applyAlignment="1">
      <alignment wrapText="1"/>
    </xf>
    <xf numFmtId="0" fontId="7" fillId="0" borderId="0" xfId="8" applyFont="1" applyFill="1" applyAlignment="1">
      <alignment wrapText="1"/>
    </xf>
    <xf numFmtId="169" fontId="14" fillId="0" borderId="0" xfId="8" applyNumberFormat="1" applyFont="1" applyFill="1" applyAlignment="1">
      <alignment wrapText="1"/>
    </xf>
    <xf numFmtId="3" fontId="7" fillId="0" borderId="1" xfId="8" applyNumberFormat="1" applyFont="1" applyFill="1" applyBorder="1" applyAlignment="1">
      <alignment wrapText="1"/>
    </xf>
    <xf numFmtId="0" fontId="14" fillId="0" borderId="25" xfId="8" applyFont="1" applyFill="1" applyBorder="1" applyAlignment="1">
      <alignment wrapText="1"/>
    </xf>
    <xf numFmtId="3" fontId="7" fillId="0" borderId="9" xfId="8" applyNumberFormat="1" applyFont="1" applyFill="1" applyBorder="1" applyAlignment="1">
      <alignment wrapText="1"/>
    </xf>
    <xf numFmtId="3" fontId="7" fillId="0" borderId="10" xfId="8" applyNumberFormat="1" applyFont="1" applyFill="1" applyBorder="1" applyAlignment="1">
      <alignment wrapText="1"/>
    </xf>
    <xf numFmtId="0" fontId="14" fillId="0" borderId="0" xfId="8" applyFont="1" applyFill="1" applyBorder="1" applyAlignment="1">
      <alignment wrapText="1"/>
    </xf>
    <xf numFmtId="169" fontId="14" fillId="0" borderId="0" xfId="8" applyNumberFormat="1" applyFont="1" applyFill="1" applyBorder="1" applyAlignment="1">
      <alignment wrapText="1"/>
    </xf>
    <xf numFmtId="3" fontId="14" fillId="0" borderId="2" xfId="8" applyNumberFormat="1" applyFont="1" applyFill="1" applyBorder="1" applyAlignment="1">
      <alignment wrapText="1"/>
    </xf>
    <xf numFmtId="3" fontId="14" fillId="0" borderId="29" xfId="8" applyNumberFormat="1" applyFont="1" applyFill="1" applyBorder="1" applyAlignment="1">
      <alignment wrapText="1"/>
    </xf>
    <xf numFmtId="0" fontId="14" fillId="0" borderId="6" xfId="8" applyFont="1" applyFill="1" applyBorder="1" applyAlignment="1">
      <alignment wrapText="1"/>
    </xf>
    <xf numFmtId="3" fontId="7" fillId="0" borderId="0" xfId="8" applyNumberFormat="1" applyFont="1" applyFill="1" applyBorder="1" applyAlignment="1">
      <alignment wrapText="1"/>
    </xf>
    <xf numFmtId="3" fontId="7" fillId="0" borderId="27" xfId="8" applyNumberFormat="1" applyFont="1" applyFill="1" applyBorder="1" applyAlignment="1">
      <alignment wrapText="1"/>
    </xf>
    <xf numFmtId="0" fontId="14" fillId="0" borderId="23" xfId="8" applyFont="1" applyFill="1" applyBorder="1" applyAlignment="1">
      <alignment wrapText="1"/>
    </xf>
    <xf numFmtId="0" fontId="14" fillId="0" borderId="45" xfId="8" applyFont="1" applyFill="1" applyBorder="1" applyAlignment="1">
      <alignment wrapText="1"/>
    </xf>
    <xf numFmtId="3" fontId="14" fillId="0" borderId="17" xfId="8" applyNumberFormat="1" applyFont="1" applyFill="1" applyBorder="1" applyAlignment="1">
      <alignment wrapText="1"/>
    </xf>
    <xf numFmtId="3" fontId="7" fillId="0" borderId="24" xfId="8" applyNumberFormat="1" applyFont="1" applyFill="1" applyBorder="1" applyAlignment="1">
      <alignment wrapText="1"/>
    </xf>
    <xf numFmtId="0" fontId="14" fillId="0" borderId="47" xfId="8" applyFont="1" applyFill="1" applyBorder="1" applyAlignment="1">
      <alignment wrapText="1"/>
    </xf>
    <xf numFmtId="0" fontId="7" fillId="0" borderId="47" xfId="8" applyFont="1" applyFill="1" applyBorder="1" applyAlignment="1">
      <alignment wrapText="1"/>
    </xf>
    <xf numFmtId="0" fontId="7" fillId="0" borderId="50" xfId="8" applyFont="1" applyFill="1" applyBorder="1" applyAlignment="1">
      <alignment wrapText="1"/>
    </xf>
    <xf numFmtId="165" fontId="23" fillId="0" borderId="58" xfId="6" applyNumberFormat="1" applyFont="1" applyBorder="1" applyAlignment="1">
      <alignment vertical="top"/>
    </xf>
    <xf numFmtId="165" fontId="35" fillId="0" borderId="58" xfId="6" applyNumberFormat="1" applyFont="1" applyFill="1" applyBorder="1" applyAlignment="1">
      <alignment vertical="top"/>
    </xf>
    <xf numFmtId="165" fontId="35" fillId="0" borderId="58" xfId="6" applyNumberFormat="1" applyFont="1" applyBorder="1" applyAlignment="1">
      <alignment vertical="top"/>
    </xf>
    <xf numFmtId="165" fontId="23" fillId="0" borderId="58" xfId="6" applyNumberFormat="1" applyFont="1" applyFill="1" applyBorder="1" applyAlignment="1">
      <alignment vertical="top"/>
    </xf>
    <xf numFmtId="165" fontId="34" fillId="0" borderId="58" xfId="6" applyNumberFormat="1" applyFont="1" applyBorder="1" applyAlignment="1">
      <alignment vertical="top"/>
    </xf>
    <xf numFmtId="0" fontId="35" fillId="0" borderId="54" xfId="0" applyFont="1" applyBorder="1" applyAlignment="1">
      <alignment horizontal="center" vertical="center"/>
    </xf>
    <xf numFmtId="165" fontId="35" fillId="0" borderId="58" xfId="0" applyNumberFormat="1" applyFont="1" applyBorder="1" applyAlignment="1">
      <alignment horizontal="right" vertical="top"/>
    </xf>
    <xf numFmtId="0" fontId="34" fillId="0" borderId="0" xfId="0" applyFont="1" applyAlignment="1">
      <alignment horizontal="left" vertical="top"/>
    </xf>
    <xf numFmtId="0" fontId="2" fillId="0" borderId="0" xfId="2" applyFont="1" applyFill="1" applyBorder="1" applyAlignment="1">
      <alignment vertical="top" wrapText="1"/>
    </xf>
    <xf numFmtId="0" fontId="2" fillId="0" borderId="0" xfId="7" applyFont="1" applyFill="1" applyAlignment="1"/>
    <xf numFmtId="3" fontId="2" fillId="0" borderId="0" xfId="2" applyNumberFormat="1" applyFont="1" applyFill="1" applyAlignment="1">
      <alignment horizontal="right" vertical="top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Alignment="1">
      <alignment horizontal="center"/>
    </xf>
    <xf numFmtId="0" fontId="7" fillId="0" borderId="54" xfId="2" applyFont="1" applyFill="1" applyBorder="1" applyAlignment="1">
      <alignment horizontal="center" wrapText="1"/>
    </xf>
    <xf numFmtId="3" fontId="14" fillId="0" borderId="6" xfId="2" applyNumberFormat="1" applyFont="1" applyFill="1" applyBorder="1" applyAlignment="1">
      <alignment horizontal="right"/>
    </xf>
    <xf numFmtId="0" fontId="7" fillId="5" borderId="6" xfId="2" applyFont="1" applyFill="1" applyBorder="1" applyAlignment="1">
      <alignment horizontal="center" wrapText="1"/>
    </xf>
    <xf numFmtId="0" fontId="7" fillId="5" borderId="27" xfId="2" applyFont="1" applyFill="1" applyBorder="1" applyAlignment="1">
      <alignment horizontal="center" wrapText="1"/>
    </xf>
    <xf numFmtId="0" fontId="20" fillId="0" borderId="0" xfId="2" applyFont="1" applyFill="1" applyBorder="1" applyAlignment="1">
      <alignment horizontal="center" vertical="top"/>
    </xf>
    <xf numFmtId="0" fontId="14" fillId="0" borderId="6" xfId="2" applyFont="1" applyFill="1" applyBorder="1" applyAlignment="1">
      <alignment horizontal="left" wrapText="1" indent="4"/>
    </xf>
    <xf numFmtId="0" fontId="7" fillId="0" borderId="5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28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 wrapText="1"/>
    </xf>
    <xf numFmtId="0" fontId="7" fillId="5" borderId="56" xfId="2" applyFont="1" applyFill="1" applyBorder="1" applyAlignment="1">
      <alignment horizontal="center" wrapText="1"/>
    </xf>
    <xf numFmtId="3" fontId="14" fillId="5" borderId="55" xfId="2" applyNumberFormat="1" applyFont="1" applyFill="1" applyBorder="1" applyAlignment="1">
      <alignment horizontal="right"/>
    </xf>
    <xf numFmtId="3" fontId="14" fillId="5" borderId="28" xfId="2" applyNumberFormat="1" applyFont="1" applyFill="1" applyBorder="1" applyAlignment="1">
      <alignment horizontal="right"/>
    </xf>
    <xf numFmtId="0" fontId="14" fillId="0" borderId="26" xfId="2" applyFont="1" applyFill="1" applyBorder="1" applyAlignment="1">
      <alignment horizontal="left" wrapText="1"/>
    </xf>
    <xf numFmtId="3" fontId="14" fillId="5" borderId="6" xfId="2" applyNumberFormat="1" applyFont="1" applyFill="1" applyBorder="1" applyAlignment="1">
      <alignment horizontal="right"/>
    </xf>
    <xf numFmtId="3" fontId="14" fillId="5" borderId="27" xfId="2" applyNumberFormat="1" applyFont="1" applyFill="1" applyBorder="1" applyAlignment="1">
      <alignment horizontal="right"/>
    </xf>
    <xf numFmtId="3" fontId="14" fillId="6" borderId="6" xfId="2" applyNumberFormat="1" applyFont="1" applyFill="1" applyBorder="1" applyAlignment="1">
      <alignment horizontal="right"/>
    </xf>
    <xf numFmtId="3" fontId="14" fillId="6" borderId="0" xfId="2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center"/>
    </xf>
    <xf numFmtId="0" fontId="9" fillId="0" borderId="0" xfId="2" applyFont="1" applyFill="1" applyAlignment="1">
      <alignment horizontal="left" wrapText="1"/>
    </xf>
    <xf numFmtId="0" fontId="7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9" fillId="0" borderId="0" xfId="2" applyFont="1" applyAlignment="1">
      <alignment horizontal="left" wrapText="1"/>
    </xf>
    <xf numFmtId="0" fontId="7" fillId="8" borderId="0" xfId="3" applyFont="1" applyFill="1" applyAlignment="1"/>
    <xf numFmtId="3" fontId="7" fillId="8" borderId="0" xfId="3" applyNumberFormat="1" applyFont="1" applyFill="1" applyAlignment="1"/>
    <xf numFmtId="0" fontId="7" fillId="0" borderId="0" xfId="3" applyFont="1" applyFill="1" applyBorder="1" applyAlignment="1">
      <alignment wrapText="1"/>
    </xf>
    <xf numFmtId="0" fontId="14" fillId="0" borderId="55" xfId="2" applyFont="1" applyFill="1" applyBorder="1" applyAlignment="1">
      <alignment horizontal="right" wrapText="1"/>
    </xf>
    <xf numFmtId="0" fontId="14" fillId="0" borderId="28" xfId="2" applyFont="1" applyFill="1" applyBorder="1" applyAlignment="1">
      <alignment horizontal="right" wrapText="1"/>
    </xf>
    <xf numFmtId="0" fontId="14" fillId="0" borderId="26" xfId="2" applyFont="1" applyFill="1" applyBorder="1" applyAlignment="1">
      <alignment horizontal="left"/>
    </xf>
    <xf numFmtId="0" fontId="14" fillId="0" borderId="6" xfId="2" applyFont="1" applyFill="1" applyBorder="1" applyAlignment="1">
      <alignment horizontal="left"/>
    </xf>
    <xf numFmtId="0" fontId="14" fillId="0" borderId="26" xfId="2" applyFont="1" applyFill="1" applyBorder="1" applyAlignment="1">
      <alignment horizontal="left" indent="2"/>
    </xf>
    <xf numFmtId="0" fontId="14" fillId="0" borderId="6" xfId="2" applyFont="1" applyFill="1" applyBorder="1" applyAlignment="1"/>
    <xf numFmtId="0" fontId="14" fillId="5" borderId="20" xfId="2" applyFont="1" applyFill="1" applyBorder="1" applyAlignment="1"/>
    <xf numFmtId="3" fontId="14" fillId="6" borderId="14" xfId="2" applyNumberFormat="1" applyFont="1" applyFill="1" applyBorder="1" applyAlignment="1"/>
    <xf numFmtId="0" fontId="14" fillId="6" borderId="63" xfId="2" applyFont="1" applyFill="1" applyBorder="1" applyAlignment="1"/>
    <xf numFmtId="4" fontId="7" fillId="0" borderId="11" xfId="2" applyNumberFormat="1" applyFont="1" applyFill="1" applyBorder="1" applyAlignment="1">
      <alignment horizontal="right" wrapText="1"/>
    </xf>
    <xf numFmtId="3" fontId="7" fillId="0" borderId="59" xfId="2" applyNumberFormat="1" applyFont="1" applyFill="1" applyBorder="1" applyAlignment="1">
      <alignment horizontal="right" wrapText="1"/>
    </xf>
    <xf numFmtId="0" fontId="19" fillId="8" borderId="52" xfId="2" applyFont="1" applyFill="1" applyBorder="1" applyAlignment="1">
      <alignment horizontal="left" wrapText="1"/>
    </xf>
    <xf numFmtId="0" fontId="14" fillId="0" borderId="5" xfId="2" applyFont="1" applyFill="1" applyBorder="1" applyAlignment="1">
      <alignment wrapText="1"/>
    </xf>
    <xf numFmtId="0" fontId="14" fillId="0" borderId="5" xfId="2" applyFont="1" applyFill="1" applyBorder="1" applyAlignment="1">
      <alignment horizontal="right" wrapText="1"/>
    </xf>
    <xf numFmtId="0" fontId="14" fillId="5" borderId="51" xfId="2" applyFont="1" applyFill="1" applyBorder="1" applyAlignment="1"/>
    <xf numFmtId="0" fontId="14" fillId="6" borderId="5" xfId="2" applyFont="1" applyFill="1" applyBorder="1" applyAlignment="1"/>
    <xf numFmtId="0" fontId="14" fillId="6" borderId="11" xfId="2" applyFont="1" applyFill="1" applyBorder="1" applyAlignment="1"/>
    <xf numFmtId="0" fontId="14" fillId="0" borderId="8" xfId="2" applyFont="1" applyFill="1" applyBorder="1" applyAlignment="1">
      <alignment wrapText="1"/>
    </xf>
    <xf numFmtId="0" fontId="14" fillId="0" borderId="8" xfId="2" applyFont="1" applyFill="1" applyBorder="1" applyAlignment="1">
      <alignment horizontal="left" wrapText="1"/>
    </xf>
    <xf numFmtId="0" fontId="14" fillId="0" borderId="59" xfId="2" applyFont="1" applyFill="1" applyBorder="1" applyAlignment="1">
      <alignment horizontal="left" wrapText="1"/>
    </xf>
    <xf numFmtId="0" fontId="14" fillId="5" borderId="11" xfId="2" applyFont="1" applyFill="1" applyBorder="1" applyAlignment="1"/>
    <xf numFmtId="3" fontId="14" fillId="6" borderId="68" xfId="2" applyNumberFormat="1" applyFont="1" applyFill="1" applyBorder="1" applyAlignment="1"/>
    <xf numFmtId="0" fontId="14" fillId="6" borderId="69" xfId="2" applyFont="1" applyFill="1" applyBorder="1" applyAlignment="1"/>
    <xf numFmtId="0" fontId="23" fillId="0" borderId="8" xfId="0" applyFont="1" applyBorder="1" applyAlignment="1">
      <alignment horizontal="left" vertical="center"/>
    </xf>
    <xf numFmtId="0" fontId="14" fillId="0" borderId="58" xfId="2" applyFont="1" applyFill="1" applyBorder="1" applyAlignment="1">
      <alignment horizontal="left" wrapText="1"/>
    </xf>
    <xf numFmtId="3" fontId="14" fillId="0" borderId="59" xfId="3" applyNumberFormat="1" applyFont="1" applyFill="1" applyBorder="1"/>
    <xf numFmtId="3" fontId="14" fillId="6" borderId="5" xfId="2" applyNumberFormat="1" applyFont="1" applyFill="1" applyBorder="1" applyAlignment="1"/>
    <xf numFmtId="0" fontId="23" fillId="0" borderId="8" xfId="0" applyFont="1" applyBorder="1" applyAlignment="1">
      <alignment horizontal="left" vertical="center" indent="3"/>
    </xf>
    <xf numFmtId="0" fontId="19" fillId="0" borderId="59" xfId="2" applyFont="1" applyFill="1" applyBorder="1" applyAlignment="1">
      <alignment horizontal="left" wrapText="1"/>
    </xf>
    <xf numFmtId="3" fontId="7" fillId="0" borderId="3" xfId="2" applyNumberFormat="1" applyFont="1" applyFill="1" applyBorder="1" applyAlignment="1">
      <alignment horizontal="right"/>
    </xf>
    <xf numFmtId="0" fontId="19" fillId="7" borderId="52" xfId="2" applyFont="1" applyFill="1" applyBorder="1" applyAlignment="1">
      <alignment horizontal="left" wrapText="1"/>
    </xf>
    <xf numFmtId="0" fontId="7" fillId="0" borderId="25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49" xfId="2" applyFont="1" applyFill="1" applyBorder="1" applyAlignment="1">
      <alignment horizontal="center" vertical="center" wrapText="1"/>
    </xf>
    <xf numFmtId="0" fontId="2" fillId="9" borderId="34" xfId="2" applyFont="1" applyFill="1" applyBorder="1" applyAlignment="1">
      <alignment horizontal="center" wrapText="1"/>
    </xf>
    <xf numFmtId="0" fontId="2" fillId="9" borderId="31" xfId="2" applyFont="1" applyFill="1" applyBorder="1" applyAlignment="1">
      <alignment horizontal="center" wrapText="1"/>
    </xf>
    <xf numFmtId="0" fontId="2" fillId="9" borderId="33" xfId="2" applyFont="1" applyFill="1" applyBorder="1" applyAlignment="1">
      <alignment horizontal="center" vertical="center" wrapText="1"/>
    </xf>
    <xf numFmtId="0" fontId="8" fillId="9" borderId="34" xfId="2" applyFont="1" applyFill="1" applyBorder="1" applyAlignment="1">
      <alignment horizontal="center" wrapText="1"/>
    </xf>
    <xf numFmtId="0" fontId="7" fillId="9" borderId="9" xfId="2" applyFont="1" applyFill="1" applyBorder="1" applyAlignment="1">
      <alignment horizontal="center" wrapText="1"/>
    </xf>
    <xf numFmtId="0" fontId="7" fillId="9" borderId="10" xfId="2" applyFont="1" applyFill="1" applyBorder="1" applyAlignment="1">
      <alignment horizontal="center" vertical="center" wrapText="1"/>
    </xf>
    <xf numFmtId="0" fontId="8" fillId="10" borderId="34" xfId="2" applyFont="1" applyFill="1" applyBorder="1" applyAlignment="1">
      <alignment horizontal="center" wrapText="1"/>
    </xf>
    <xf numFmtId="0" fontId="7" fillId="10" borderId="9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 wrapText="1"/>
    </xf>
    <xf numFmtId="3" fontId="10" fillId="0" borderId="38" xfId="2" applyNumberFormat="1" applyFont="1" applyFill="1" applyBorder="1"/>
    <xf numFmtId="3" fontId="10" fillId="0" borderId="67" xfId="2" applyNumberFormat="1" applyFont="1" applyFill="1" applyBorder="1"/>
    <xf numFmtId="3" fontId="13" fillId="0" borderId="24" xfId="2" applyNumberFormat="1" applyFont="1" applyFill="1" applyBorder="1"/>
    <xf numFmtId="3" fontId="13" fillId="0" borderId="29" xfId="2" applyNumberFormat="1" applyFont="1" applyFill="1" applyBorder="1"/>
    <xf numFmtId="3" fontId="13" fillId="0" borderId="64" xfId="2" applyNumberFormat="1" applyFont="1" applyFill="1" applyBorder="1"/>
    <xf numFmtId="3" fontId="9" fillId="9" borderId="23" xfId="2" applyNumberFormat="1" applyFont="1" applyFill="1" applyBorder="1"/>
    <xf numFmtId="3" fontId="9" fillId="9" borderId="45" xfId="2" applyNumberFormat="1" applyFont="1" applyFill="1" applyBorder="1"/>
    <xf numFmtId="3" fontId="9" fillId="9" borderId="64" xfId="2" applyNumberFormat="1" applyFont="1" applyFill="1" applyBorder="1"/>
    <xf numFmtId="3" fontId="8" fillId="9" borderId="23" xfId="2" applyNumberFormat="1" applyFont="1" applyFill="1" applyBorder="1"/>
    <xf numFmtId="3" fontId="12" fillId="9" borderId="29" xfId="2" applyNumberFormat="1" applyFont="1" applyFill="1" applyBorder="1"/>
    <xf numFmtId="3" fontId="12" fillId="9" borderId="37" xfId="2" applyNumberFormat="1" applyFont="1" applyFill="1" applyBorder="1"/>
    <xf numFmtId="3" fontId="8" fillId="10" borderId="67" xfId="2" applyNumberFormat="1" applyFont="1" applyFill="1" applyBorder="1"/>
    <xf numFmtId="3" fontId="8" fillId="10" borderId="29" xfId="2" applyNumberFormat="1" applyFont="1" applyFill="1" applyBorder="1"/>
    <xf numFmtId="3" fontId="8" fillId="10" borderId="37" xfId="2" applyNumberFormat="1" applyFont="1" applyFill="1" applyBorder="1"/>
    <xf numFmtId="3" fontId="10" fillId="0" borderId="60" xfId="2" applyNumberFormat="1" applyFont="1" applyFill="1" applyBorder="1"/>
    <xf numFmtId="3" fontId="13" fillId="0" borderId="7" xfId="2" applyNumberFormat="1" applyFont="1" applyFill="1" applyBorder="1"/>
    <xf numFmtId="3" fontId="13" fillId="0" borderId="1" xfId="2" applyNumberFormat="1" applyFont="1" applyFill="1" applyBorder="1"/>
    <xf numFmtId="3" fontId="13" fillId="0" borderId="46" xfId="2" applyNumberFormat="1" applyFont="1" applyFill="1" applyBorder="1"/>
    <xf numFmtId="3" fontId="9" fillId="9" borderId="12" xfId="2" applyNumberFormat="1" applyFont="1" applyFill="1" applyBorder="1"/>
    <xf numFmtId="3" fontId="39" fillId="9" borderId="1" xfId="2" applyNumberFormat="1" applyFont="1" applyFill="1" applyBorder="1"/>
    <xf numFmtId="3" fontId="39" fillId="9" borderId="46" xfId="2" applyNumberFormat="1" applyFont="1" applyFill="1" applyBorder="1"/>
    <xf numFmtId="3" fontId="8" fillId="9" borderId="12" xfId="2" applyNumberFormat="1" applyFont="1" applyFill="1" applyBorder="1"/>
    <xf numFmtId="3" fontId="12" fillId="9" borderId="1" xfId="2" applyNumberFormat="1" applyFont="1" applyFill="1" applyBorder="1"/>
    <xf numFmtId="3" fontId="12" fillId="9" borderId="7" xfId="2" applyNumberFormat="1" applyFont="1" applyFill="1" applyBorder="1"/>
    <xf numFmtId="3" fontId="8" fillId="10" borderId="60" xfId="2" applyNumberFormat="1" applyFont="1" applyFill="1" applyBorder="1"/>
    <xf numFmtId="3" fontId="8" fillId="10" borderId="1" xfId="2" applyNumberFormat="1" applyFont="1" applyFill="1" applyBorder="1"/>
    <xf numFmtId="3" fontId="8" fillId="10" borderId="7" xfId="2" applyNumberFormat="1" applyFont="1" applyFill="1" applyBorder="1"/>
    <xf numFmtId="3" fontId="10" fillId="0" borderId="22" xfId="2" applyNumberFormat="1" applyFont="1" applyFill="1" applyBorder="1"/>
    <xf numFmtId="3" fontId="10" fillId="0" borderId="2" xfId="2" applyNumberFormat="1" applyFont="1" applyFill="1" applyBorder="1"/>
    <xf numFmtId="3" fontId="10" fillId="0" borderId="56" xfId="2" applyNumberFormat="1" applyFont="1" applyFill="1" applyBorder="1"/>
    <xf numFmtId="3" fontId="13" fillId="0" borderId="15" xfId="2" applyNumberFormat="1" applyFont="1" applyFill="1" applyBorder="1"/>
    <xf numFmtId="3" fontId="13" fillId="0" borderId="2" xfId="2" applyNumberFormat="1" applyFont="1" applyFill="1" applyBorder="1"/>
    <xf numFmtId="3" fontId="13" fillId="0" borderId="14" xfId="2" applyNumberFormat="1" applyFont="1" applyFill="1" applyBorder="1"/>
    <xf numFmtId="3" fontId="39" fillId="9" borderId="2" xfId="2" applyNumberFormat="1" applyFont="1" applyFill="1" applyBorder="1"/>
    <xf numFmtId="3" fontId="39" fillId="9" borderId="14" xfId="2" applyNumberFormat="1" applyFont="1" applyFill="1" applyBorder="1"/>
    <xf numFmtId="3" fontId="8" fillId="9" borderId="22" xfId="2" applyNumberFormat="1" applyFont="1" applyFill="1" applyBorder="1"/>
    <xf numFmtId="3" fontId="12" fillId="9" borderId="2" xfId="2" applyNumberFormat="1" applyFont="1" applyFill="1" applyBorder="1"/>
    <xf numFmtId="3" fontId="12" fillId="9" borderId="15" xfId="2" applyNumberFormat="1" applyFont="1" applyFill="1" applyBorder="1"/>
    <xf numFmtId="3" fontId="8" fillId="10" borderId="56" xfId="2" applyNumberFormat="1" applyFont="1" applyFill="1" applyBorder="1"/>
    <xf numFmtId="3" fontId="8" fillId="10" borderId="2" xfId="2" applyNumberFormat="1" applyFont="1" applyFill="1" applyBorder="1"/>
    <xf numFmtId="3" fontId="8" fillId="10" borderId="15" xfId="2" applyNumberFormat="1" applyFont="1" applyFill="1" applyBorder="1"/>
    <xf numFmtId="3" fontId="12" fillId="0" borderId="54" xfId="2" applyNumberFormat="1" applyFont="1" applyFill="1" applyBorder="1"/>
    <xf numFmtId="3" fontId="8" fillId="0" borderId="33" xfId="2" applyNumberFormat="1" applyFont="1" applyFill="1" applyBorder="1"/>
    <xf numFmtId="3" fontId="9" fillId="9" borderId="34" xfId="2" applyNumberFormat="1" applyFont="1" applyFill="1" applyBorder="1"/>
    <xf numFmtId="3" fontId="39" fillId="9" borderId="31" xfId="2" applyNumberFormat="1" applyFont="1" applyFill="1" applyBorder="1"/>
    <xf numFmtId="3" fontId="39" fillId="9" borderId="33" xfId="2" applyNumberFormat="1" applyFont="1" applyFill="1" applyBorder="1"/>
    <xf numFmtId="3" fontId="8" fillId="9" borderId="34" xfId="2" applyNumberFormat="1" applyFont="1" applyFill="1" applyBorder="1"/>
    <xf numFmtId="3" fontId="12" fillId="9" borderId="31" xfId="2" applyNumberFormat="1" applyFont="1" applyFill="1" applyBorder="1"/>
    <xf numFmtId="3" fontId="12" fillId="9" borderId="32" xfId="2" applyNumberFormat="1" applyFont="1" applyFill="1" applyBorder="1"/>
    <xf numFmtId="3" fontId="8" fillId="10" borderId="54" xfId="2" applyNumberFormat="1" applyFont="1" applyFill="1" applyBorder="1"/>
    <xf numFmtId="3" fontId="10" fillId="0" borderId="28" xfId="2" applyNumberFormat="1" applyFont="1" applyFill="1" applyBorder="1"/>
    <xf numFmtId="3" fontId="13" fillId="0" borderId="37" xfId="2" applyNumberFormat="1" applyFont="1" applyFill="1" applyBorder="1"/>
    <xf numFmtId="3" fontId="9" fillId="9" borderId="38" xfId="2" applyNumberFormat="1" applyFont="1" applyFill="1" applyBorder="1"/>
    <xf numFmtId="3" fontId="39" fillId="9" borderId="29" xfId="2" applyNumberFormat="1" applyFont="1" applyFill="1" applyBorder="1"/>
    <xf numFmtId="3" fontId="39" fillId="9" borderId="64" xfId="2" applyNumberFormat="1" applyFont="1" applyFill="1" applyBorder="1"/>
    <xf numFmtId="3" fontId="8" fillId="9" borderId="38" xfId="2" applyNumberFormat="1" applyFont="1" applyFill="1" applyBorder="1"/>
    <xf numFmtId="3" fontId="8" fillId="10" borderId="28" xfId="2" applyNumberFormat="1" applyFont="1" applyFill="1" applyBorder="1"/>
    <xf numFmtId="3" fontId="26" fillId="0" borderId="12" xfId="2" applyNumberFormat="1" applyFont="1" applyFill="1" applyBorder="1"/>
    <xf numFmtId="3" fontId="26" fillId="0" borderId="1" xfId="2" applyNumberFormat="1" applyFont="1" applyFill="1" applyBorder="1"/>
    <xf numFmtId="3" fontId="26" fillId="0" borderId="7" xfId="2" applyNumberFormat="1" applyFont="1" applyFill="1" applyBorder="1"/>
    <xf numFmtId="3" fontId="26" fillId="0" borderId="28" xfId="2" applyNumberFormat="1" applyFont="1" applyFill="1" applyBorder="1"/>
    <xf numFmtId="3" fontId="25" fillId="0" borderId="37" xfId="2" applyNumberFormat="1" applyFont="1" applyFill="1" applyBorder="1"/>
    <xf numFmtId="3" fontId="25" fillId="0" borderId="1" xfId="2" applyNumberFormat="1" applyFont="1" applyFill="1" applyBorder="1"/>
    <xf numFmtId="3" fontId="25" fillId="0" borderId="46" xfId="2" applyNumberFormat="1" applyFont="1" applyFill="1" applyBorder="1"/>
    <xf numFmtId="3" fontId="39" fillId="9" borderId="38" xfId="2" applyNumberFormat="1" applyFont="1" applyFill="1" applyBorder="1"/>
    <xf numFmtId="3" fontId="27" fillId="9" borderId="38" xfId="2" applyNumberFormat="1" applyFont="1" applyFill="1" applyBorder="1"/>
    <xf numFmtId="3" fontId="27" fillId="9" borderId="1" xfId="2" applyNumberFormat="1" applyFont="1" applyFill="1" applyBorder="1"/>
    <xf numFmtId="3" fontId="27" fillId="9" borderId="7" xfId="2" applyNumberFormat="1" applyFont="1" applyFill="1" applyBorder="1"/>
    <xf numFmtId="3" fontId="40" fillId="10" borderId="28" xfId="2" applyNumberFormat="1" applyFont="1" applyFill="1" applyBorder="1"/>
    <xf numFmtId="3" fontId="41" fillId="10" borderId="1" xfId="2" applyNumberFormat="1" applyFont="1" applyFill="1" applyBorder="1"/>
    <xf numFmtId="3" fontId="41" fillId="10" borderId="7" xfId="2" applyNumberFormat="1" applyFont="1" applyFill="1" applyBorder="1"/>
    <xf numFmtId="3" fontId="11" fillId="0" borderId="60" xfId="2" applyNumberFormat="1" applyFont="1" applyFill="1" applyBorder="1"/>
    <xf numFmtId="3" fontId="11" fillId="0" borderId="46" xfId="2" applyNumberFormat="1" applyFont="1" applyFill="1" applyBorder="1"/>
    <xf numFmtId="3" fontId="9" fillId="9" borderId="1" xfId="2" applyNumberFormat="1" applyFont="1" applyFill="1" applyBorder="1"/>
    <xf numFmtId="3" fontId="9" fillId="9" borderId="46" xfId="2" applyNumberFormat="1" applyFont="1" applyFill="1" applyBorder="1"/>
    <xf numFmtId="3" fontId="8" fillId="9" borderId="1" xfId="2" applyNumberFormat="1" applyFont="1" applyFill="1" applyBorder="1"/>
    <xf numFmtId="3" fontId="8" fillId="9" borderId="7" xfId="2" applyNumberFormat="1" applyFont="1" applyFill="1" applyBorder="1"/>
    <xf numFmtId="3" fontId="9" fillId="10" borderId="60" xfId="2" applyNumberFormat="1" applyFont="1" applyFill="1" applyBorder="1"/>
    <xf numFmtId="3" fontId="11" fillId="0" borderId="56" xfId="2" applyNumberFormat="1" applyFont="1" applyFill="1" applyBorder="1"/>
    <xf numFmtId="3" fontId="11" fillId="0" borderId="14" xfId="2" applyNumberFormat="1" applyFont="1" applyFill="1" applyBorder="1"/>
    <xf numFmtId="3" fontId="9" fillId="9" borderId="2" xfId="2" applyNumberFormat="1" applyFont="1" applyFill="1" applyBorder="1"/>
    <xf numFmtId="3" fontId="9" fillId="9" borderId="14" xfId="2" applyNumberFormat="1" applyFont="1" applyFill="1" applyBorder="1"/>
    <xf numFmtId="3" fontId="8" fillId="9" borderId="2" xfId="2" applyNumberFormat="1" applyFont="1" applyFill="1" applyBorder="1"/>
    <xf numFmtId="3" fontId="8" fillId="9" borderId="15" xfId="2" applyNumberFormat="1" applyFont="1" applyFill="1" applyBorder="1"/>
    <xf numFmtId="3" fontId="9" fillId="10" borderId="56" xfId="2" applyNumberFormat="1" applyFont="1" applyFill="1" applyBorder="1"/>
    <xf numFmtId="3" fontId="8" fillId="10" borderId="31" xfId="2" applyNumberFormat="1" applyFont="1" applyFill="1" applyBorder="1"/>
    <xf numFmtId="3" fontId="8" fillId="10" borderId="32" xfId="2" applyNumberFormat="1" applyFont="1" applyFill="1" applyBorder="1"/>
    <xf numFmtId="3" fontId="12" fillId="0" borderId="51" xfId="2" applyNumberFormat="1" applyFont="1" applyFill="1" applyBorder="1"/>
    <xf numFmtId="3" fontId="8" fillId="0" borderId="18" xfId="2" applyNumberFormat="1" applyFont="1" applyFill="1" applyBorder="1"/>
    <xf numFmtId="3" fontId="9" fillId="9" borderId="39" xfId="2" applyNumberFormat="1" applyFont="1" applyFill="1" applyBorder="1"/>
    <xf numFmtId="3" fontId="8" fillId="9" borderId="39" xfId="2" applyNumberFormat="1" applyFont="1" applyFill="1" applyBorder="1"/>
    <xf numFmtId="3" fontId="8" fillId="10" borderId="51" xfId="2" applyNumberFormat="1" applyFont="1" applyFill="1" applyBorder="1"/>
    <xf numFmtId="3" fontId="10" fillId="0" borderId="34" xfId="2" applyNumberFormat="1" applyFont="1" applyFill="1" applyBorder="1"/>
    <xf numFmtId="3" fontId="10" fillId="0" borderId="31" xfId="2" applyNumberFormat="1" applyFont="1" applyFill="1" applyBorder="1"/>
    <xf numFmtId="3" fontId="10" fillId="0" borderId="32" xfId="2" applyNumberFormat="1" applyFont="1" applyFill="1" applyBorder="1"/>
    <xf numFmtId="3" fontId="13" fillId="0" borderId="31" xfId="2" applyNumberFormat="1" applyFont="1" applyFill="1" applyBorder="1"/>
    <xf numFmtId="3" fontId="13" fillId="0" borderId="33" xfId="2" applyNumberFormat="1" applyFont="1" applyFill="1" applyBorder="1"/>
    <xf numFmtId="3" fontId="13" fillId="0" borderId="67" xfId="2" applyNumberFormat="1" applyFont="1" applyFill="1" applyBorder="1"/>
    <xf numFmtId="3" fontId="13" fillId="0" borderId="17" xfId="2" applyNumberFormat="1" applyFont="1" applyFill="1" applyBorder="1"/>
    <xf numFmtId="3" fontId="13" fillId="0" borderId="73" xfId="2" applyNumberFormat="1" applyFont="1" applyFill="1" applyBorder="1"/>
    <xf numFmtId="3" fontId="39" fillId="9" borderId="17" xfId="2" applyNumberFormat="1" applyFont="1" applyFill="1" applyBorder="1"/>
    <xf numFmtId="3" fontId="39" fillId="9" borderId="73" xfId="2" applyNumberFormat="1" applyFont="1" applyFill="1" applyBorder="1"/>
    <xf numFmtId="3" fontId="12" fillId="9" borderId="17" xfId="2" applyNumberFormat="1" applyFont="1" applyFill="1" applyBorder="1"/>
    <xf numFmtId="3" fontId="12" fillId="9" borderId="24" xfId="2" applyNumberFormat="1" applyFont="1" applyFill="1" applyBorder="1"/>
    <xf numFmtId="3" fontId="8" fillId="10" borderId="24" xfId="2" applyNumberFormat="1" applyFont="1" applyFill="1" applyBorder="1"/>
    <xf numFmtId="3" fontId="25" fillId="0" borderId="12" xfId="2" applyNumberFormat="1" applyFont="1" applyFill="1" applyBorder="1"/>
    <xf numFmtId="3" fontId="41" fillId="9" borderId="1" xfId="2" applyNumberFormat="1" applyFont="1" applyFill="1" applyBorder="1"/>
    <xf numFmtId="3" fontId="41" fillId="9" borderId="7" xfId="2" applyNumberFormat="1" applyFont="1" applyFill="1" applyBorder="1"/>
    <xf numFmtId="3" fontId="25" fillId="0" borderId="25" xfId="2" applyNumberFormat="1" applyFont="1" applyFill="1" applyBorder="1"/>
    <xf numFmtId="3" fontId="25" fillId="0" borderId="9" xfId="2" applyNumberFormat="1" applyFont="1" applyFill="1" applyBorder="1"/>
    <xf numFmtId="3" fontId="11" fillId="0" borderId="61" xfId="2" applyNumberFormat="1" applyFont="1" applyFill="1" applyBorder="1"/>
    <xf numFmtId="3" fontId="25" fillId="0" borderId="49" xfId="2" applyNumberFormat="1" applyFont="1" applyFill="1" applyBorder="1"/>
    <xf numFmtId="3" fontId="9" fillId="9" borderId="25" xfId="2" applyNumberFormat="1" applyFont="1" applyFill="1" applyBorder="1"/>
    <xf numFmtId="3" fontId="9" fillId="9" borderId="9" xfId="2" applyNumberFormat="1" applyFont="1" applyFill="1" applyBorder="1"/>
    <xf numFmtId="3" fontId="9" fillId="9" borderId="49" xfId="2" applyNumberFormat="1" applyFont="1" applyFill="1" applyBorder="1"/>
    <xf numFmtId="3" fontId="8" fillId="9" borderId="25" xfId="2" applyNumberFormat="1" applyFont="1" applyFill="1" applyBorder="1"/>
    <xf numFmtId="3" fontId="41" fillId="9" borderId="9" xfId="2" applyNumberFormat="1" applyFont="1" applyFill="1" applyBorder="1"/>
    <xf numFmtId="3" fontId="41" fillId="9" borderId="10" xfId="2" applyNumberFormat="1" applyFont="1" applyFill="1" applyBorder="1"/>
    <xf numFmtId="3" fontId="9" fillId="10" borderId="61" xfId="2" applyNumberFormat="1" applyFont="1" applyFill="1" applyBorder="1"/>
    <xf numFmtId="3" fontId="41" fillId="10" borderId="9" xfId="2" applyNumberFormat="1" applyFont="1" applyFill="1" applyBorder="1"/>
    <xf numFmtId="3" fontId="41" fillId="10" borderId="10" xfId="2" applyNumberFormat="1" applyFont="1" applyFill="1" applyBorder="1"/>
    <xf numFmtId="3" fontId="8" fillId="0" borderId="54" xfId="2" applyNumberFormat="1" applyFont="1" applyFill="1" applyBorder="1"/>
    <xf numFmtId="3" fontId="8" fillId="0" borderId="58" xfId="2" applyNumberFormat="1" applyFont="1" applyFill="1" applyBorder="1"/>
    <xf numFmtId="3" fontId="8" fillId="0" borderId="42" xfId="2" applyNumberFormat="1" applyFont="1" applyFill="1" applyBorder="1"/>
    <xf numFmtId="3" fontId="9" fillId="9" borderId="13" xfId="2" applyNumberFormat="1" applyFont="1" applyFill="1" applyBorder="1"/>
    <xf numFmtId="3" fontId="8" fillId="9" borderId="13" xfId="2" applyNumberFormat="1" applyFont="1" applyFill="1" applyBorder="1"/>
    <xf numFmtId="3" fontId="8" fillId="10" borderId="58" xfId="2" applyNumberFormat="1" applyFont="1" applyFill="1" applyBorder="1"/>
    <xf numFmtId="0" fontId="7" fillId="0" borderId="34" xfId="2" applyFont="1" applyFill="1" applyBorder="1" applyAlignment="1">
      <alignment horizontal="center" wrapText="1"/>
    </xf>
    <xf numFmtId="0" fontId="7" fillId="0" borderId="31" xfId="2" applyFont="1" applyFill="1" applyBorder="1" applyAlignment="1">
      <alignment horizontal="center" wrapText="1"/>
    </xf>
    <xf numFmtId="0" fontId="7" fillId="0" borderId="32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0" fontId="7" fillId="9" borderId="25" xfId="2" applyFont="1" applyFill="1" applyBorder="1" applyAlignment="1">
      <alignment horizontal="center" wrapText="1"/>
    </xf>
    <xf numFmtId="0" fontId="7" fillId="9" borderId="31" xfId="2" applyFont="1" applyFill="1" applyBorder="1" applyAlignment="1">
      <alignment horizontal="center" wrapText="1"/>
    </xf>
    <xf numFmtId="0" fontId="7" fillId="9" borderId="33" xfId="2" applyFont="1" applyFill="1" applyBorder="1" applyAlignment="1">
      <alignment horizontal="center" vertical="center" wrapText="1"/>
    </xf>
    <xf numFmtId="0" fontId="8" fillId="9" borderId="34" xfId="2" applyFont="1" applyFill="1" applyBorder="1" applyAlignment="1">
      <alignment horizontal="left" wrapText="1"/>
    </xf>
    <xf numFmtId="0" fontId="7" fillId="9" borderId="32" xfId="2" applyFont="1" applyFill="1" applyBorder="1" applyAlignment="1">
      <alignment horizontal="center" vertical="center" wrapText="1"/>
    </xf>
    <xf numFmtId="3" fontId="13" fillId="0" borderId="38" xfId="2" applyNumberFormat="1" applyFont="1" applyFill="1" applyBorder="1"/>
    <xf numFmtId="3" fontId="13" fillId="0" borderId="28" xfId="2" applyNumberFormat="1" applyFont="1" applyFill="1" applyBorder="1"/>
    <xf numFmtId="3" fontId="9" fillId="9" borderId="29" xfId="2" applyNumberFormat="1" applyFont="1" applyFill="1" applyBorder="1"/>
    <xf numFmtId="3" fontId="12" fillId="10" borderId="37" xfId="2" applyNumberFormat="1" applyFont="1" applyFill="1" applyBorder="1"/>
    <xf numFmtId="3" fontId="13" fillId="0" borderId="12" xfId="2" applyNumberFormat="1" applyFont="1" applyFill="1" applyBorder="1"/>
    <xf numFmtId="3" fontId="13" fillId="0" borderId="60" xfId="2" applyNumberFormat="1" applyFont="1" applyFill="1" applyBorder="1"/>
    <xf numFmtId="3" fontId="12" fillId="10" borderId="7" xfId="2" applyNumberFormat="1" applyFont="1" applyFill="1" applyBorder="1"/>
    <xf numFmtId="3" fontId="13" fillId="0" borderId="22" xfId="2" applyNumberFormat="1" applyFont="1" applyFill="1" applyBorder="1"/>
    <xf numFmtId="3" fontId="13" fillId="0" borderId="61" xfId="2" applyNumberFormat="1" applyFont="1" applyFill="1" applyBorder="1"/>
    <xf numFmtId="3" fontId="13" fillId="0" borderId="10" xfId="2" applyNumberFormat="1" applyFont="1" applyFill="1" applyBorder="1"/>
    <xf numFmtId="3" fontId="10" fillId="0" borderId="40" xfId="2" applyNumberFormat="1" applyFont="1" applyFill="1" applyBorder="1"/>
    <xf numFmtId="3" fontId="8" fillId="10" borderId="61" xfId="2" applyNumberFormat="1" applyFont="1" applyFill="1" applyBorder="1"/>
    <xf numFmtId="3" fontId="12" fillId="10" borderId="15" xfId="2" applyNumberFormat="1" applyFont="1" applyFill="1" applyBorder="1"/>
    <xf numFmtId="3" fontId="9" fillId="9" borderId="31" xfId="2" applyNumberFormat="1" applyFont="1" applyFill="1" applyBorder="1"/>
    <xf numFmtId="3" fontId="9" fillId="9" borderId="33" xfId="2" applyNumberFormat="1" applyFont="1" applyFill="1" applyBorder="1"/>
    <xf numFmtId="3" fontId="12" fillId="10" borderId="32" xfId="2" applyNumberFormat="1" applyFont="1" applyFill="1" applyBorder="1"/>
    <xf numFmtId="3" fontId="9" fillId="10" borderId="1" xfId="2" applyNumberFormat="1" applyFont="1" applyFill="1" applyBorder="1"/>
    <xf numFmtId="3" fontId="9" fillId="10" borderId="2" xfId="2" applyNumberFormat="1" applyFont="1" applyFill="1" applyBorder="1"/>
    <xf numFmtId="3" fontId="12" fillId="10" borderId="54" xfId="2" applyNumberFormat="1" applyFont="1" applyFill="1" applyBorder="1"/>
    <xf numFmtId="3" fontId="8" fillId="0" borderId="51" xfId="2" applyNumberFormat="1" applyFont="1" applyFill="1" applyBorder="1"/>
    <xf numFmtId="3" fontId="12" fillId="10" borderId="51" xfId="2" applyNumberFormat="1" applyFont="1" applyFill="1" applyBorder="1"/>
    <xf numFmtId="3" fontId="8" fillId="0" borderId="4" xfId="2" applyNumberFormat="1" applyFont="1" applyFill="1" applyBorder="1"/>
    <xf numFmtId="3" fontId="8" fillId="9" borderId="31" xfId="2" applyNumberFormat="1" applyFont="1" applyFill="1" applyBorder="1"/>
    <xf numFmtId="3" fontId="8" fillId="9" borderId="32" xfId="2" applyNumberFormat="1" applyFont="1" applyFill="1" applyBorder="1"/>
    <xf numFmtId="3" fontId="12" fillId="10" borderId="58" xfId="2" applyNumberFormat="1" applyFont="1" applyFill="1" applyBorder="1"/>
    <xf numFmtId="0" fontId="42" fillId="0" borderId="0" xfId="2" applyFont="1" applyFill="1"/>
    <xf numFmtId="4" fontId="8" fillId="0" borderId="74" xfId="2" applyNumberFormat="1" applyFont="1" applyFill="1" applyBorder="1"/>
    <xf numFmtId="4" fontId="8" fillId="0" borderId="17" xfId="2" applyNumberFormat="1" applyFont="1" applyFill="1" applyBorder="1"/>
    <xf numFmtId="4" fontId="8" fillId="0" borderId="24" xfId="2" applyNumberFormat="1" applyFont="1" applyFill="1" applyBorder="1"/>
    <xf numFmtId="4" fontId="8" fillId="2" borderId="23" xfId="2" applyNumberFormat="1" applyFont="1" applyFill="1" applyBorder="1"/>
    <xf numFmtId="4" fontId="13" fillId="0" borderId="75" xfId="2" applyNumberFormat="1" applyFont="1" applyFill="1" applyBorder="1"/>
    <xf numFmtId="4" fontId="13" fillId="0" borderId="12" xfId="2" applyNumberFormat="1" applyFont="1" applyFill="1" applyBorder="1"/>
    <xf numFmtId="4" fontId="13" fillId="0" borderId="1" xfId="2" applyNumberFormat="1" applyFont="1" applyFill="1" applyBorder="1"/>
    <xf numFmtId="4" fontId="13" fillId="0" borderId="7" xfId="2" applyNumberFormat="1" applyFont="1" applyFill="1" applyBorder="1"/>
    <xf numFmtId="4" fontId="13" fillId="2" borderId="12" xfId="2" applyNumberFormat="1" applyFont="1" applyFill="1" applyBorder="1"/>
    <xf numFmtId="4" fontId="8" fillId="0" borderId="62" xfId="2" applyNumberFormat="1" applyFont="1" applyFill="1" applyBorder="1"/>
    <xf numFmtId="4" fontId="8" fillId="0" borderId="25" xfId="2" applyNumberFormat="1" applyFont="1" applyFill="1" applyBorder="1"/>
    <xf numFmtId="4" fontId="8" fillId="0" borderId="9" xfId="2" applyNumberFormat="1" applyFont="1" applyFill="1" applyBorder="1"/>
    <xf numFmtId="4" fontId="8" fillId="0" borderId="10" xfId="2" applyNumberFormat="1" applyFont="1" applyFill="1" applyBorder="1"/>
    <xf numFmtId="4" fontId="8" fillId="2" borderId="25" xfId="2" applyNumberFormat="1" applyFont="1" applyFill="1" applyBorder="1"/>
    <xf numFmtId="0" fontId="7" fillId="0" borderId="0" xfId="2" applyFont="1" applyFill="1" applyAlignment="1"/>
    <xf numFmtId="0" fontId="7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horizontal="right" wrapText="1"/>
    </xf>
    <xf numFmtId="0" fontId="14" fillId="0" borderId="0" xfId="2" applyFont="1" applyFill="1" applyBorder="1" applyAlignment="1">
      <alignment horizontal="right"/>
    </xf>
    <xf numFmtId="0" fontId="2" fillId="11" borderId="0" xfId="2" applyFont="1" applyFill="1" applyAlignment="1">
      <alignment horizontal="left" vertical="top" wrapText="1"/>
    </xf>
    <xf numFmtId="3" fontId="7" fillId="11" borderId="0" xfId="2" applyNumberFormat="1" applyFont="1" applyFill="1" applyAlignment="1">
      <alignment horizontal="center" wrapText="1"/>
    </xf>
    <xf numFmtId="3" fontId="7" fillId="11" borderId="0" xfId="2" applyNumberFormat="1" applyFont="1" applyFill="1" applyAlignment="1">
      <alignment horizontal="center"/>
    </xf>
    <xf numFmtId="0" fontId="7" fillId="11" borderId="0" xfId="2" applyFont="1" applyFill="1" applyAlignment="1">
      <alignment vertical="top" wrapText="1"/>
    </xf>
    <xf numFmtId="0" fontId="2" fillId="11" borderId="0" xfId="2" applyFont="1" applyFill="1" applyAlignment="1">
      <alignment horizontal="left" vertical="top"/>
    </xf>
    <xf numFmtId="0" fontId="7" fillId="11" borderId="0" xfId="2" applyFont="1" applyFill="1" applyAlignment="1">
      <alignment horizontal="left" vertical="top"/>
    </xf>
    <xf numFmtId="0" fontId="1" fillId="0" borderId="0" xfId="8" applyFont="1" applyFill="1"/>
    <xf numFmtId="0" fontId="14" fillId="0" borderId="12" xfId="8" applyFont="1" applyFill="1" applyBorder="1" applyAlignment="1">
      <alignment horizontal="left" wrapText="1"/>
    </xf>
    <xf numFmtId="0" fontId="14" fillId="0" borderId="25" xfId="8" applyFont="1" applyFill="1" applyBorder="1" applyAlignment="1">
      <alignment horizontal="left" wrapText="1"/>
    </xf>
    <xf numFmtId="0" fontId="1" fillId="0" borderId="0" xfId="8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24" fillId="0" borderId="25" xfId="2" applyFont="1" applyFill="1" applyBorder="1" applyAlignment="1">
      <alignment horizontal="center"/>
    </xf>
    <xf numFmtId="0" fontId="24" fillId="0" borderId="9" xfId="2" applyFont="1" applyFill="1" applyBorder="1" applyAlignment="1">
      <alignment horizontal="center"/>
    </xf>
    <xf numFmtId="3" fontId="24" fillId="0" borderId="9" xfId="2" applyNumberFormat="1" applyFont="1" applyFill="1" applyBorder="1" applyAlignment="1">
      <alignment horizontal="center" wrapText="1"/>
    </xf>
    <xf numFmtId="3" fontId="7" fillId="7" borderId="19" xfId="2" applyNumberFormat="1" applyFont="1" applyFill="1" applyBorder="1" applyAlignment="1">
      <alignment horizontal="right"/>
    </xf>
    <xf numFmtId="3" fontId="7" fillId="7" borderId="60" xfId="2" applyNumberFormat="1" applyFont="1" applyFill="1" applyBorder="1" applyAlignment="1">
      <alignment horizontal="right"/>
    </xf>
    <xf numFmtId="3" fontId="24" fillId="0" borderId="55" xfId="2" applyNumberFormat="1" applyFont="1" applyFill="1" applyBorder="1" applyAlignment="1">
      <alignment horizontal="center"/>
    </xf>
    <xf numFmtId="3" fontId="24" fillId="0" borderId="3" xfId="2" applyNumberFormat="1" applyFont="1" applyFill="1" applyBorder="1" applyAlignment="1">
      <alignment horizontal="center"/>
    </xf>
    <xf numFmtId="3" fontId="24" fillId="0" borderId="29" xfId="2" applyNumberFormat="1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3" fontId="7" fillId="8" borderId="52" xfId="2" applyNumberFormat="1" applyFont="1" applyFill="1" applyBorder="1" applyAlignment="1">
      <alignment horizontal="right"/>
    </xf>
    <xf numFmtId="3" fontId="7" fillId="8" borderId="54" xfId="2" applyNumberFormat="1" applyFont="1" applyFill="1" applyBorder="1" applyAlignment="1">
      <alignment horizontal="right"/>
    </xf>
    <xf numFmtId="165" fontId="14" fillId="0" borderId="8" xfId="4" applyNumberFormat="1" applyFont="1" applyFill="1" applyBorder="1" applyAlignment="1">
      <alignment horizontal="center" wrapText="1"/>
    </xf>
    <xf numFmtId="165" fontId="14" fillId="0" borderId="58" xfId="4" applyNumberFormat="1" applyFont="1" applyFill="1" applyBorder="1" applyAlignment="1">
      <alignment horizontal="center" wrapText="1"/>
    </xf>
    <xf numFmtId="3" fontId="14" fillId="5" borderId="8" xfId="2" applyNumberFormat="1" applyFont="1" applyFill="1" applyBorder="1" applyAlignment="1">
      <alignment horizontal="right"/>
    </xf>
    <xf numFmtId="0" fontId="14" fillId="5" borderId="58" xfId="2" applyFont="1" applyFill="1" applyBorder="1" applyAlignment="1">
      <alignment horizontal="right"/>
    </xf>
    <xf numFmtId="3" fontId="14" fillId="6" borderId="8" xfId="2" applyNumberFormat="1" applyFont="1" applyFill="1" applyBorder="1" applyAlignment="1">
      <alignment horizontal="right"/>
    </xf>
    <xf numFmtId="3" fontId="14" fillId="6" borderId="59" xfId="2" applyNumberFormat="1" applyFont="1" applyFill="1" applyBorder="1" applyAlignment="1">
      <alignment horizontal="right"/>
    </xf>
    <xf numFmtId="0" fontId="14" fillId="5" borderId="59" xfId="2" applyFont="1" applyFill="1" applyBorder="1" applyAlignment="1">
      <alignment horizontal="right"/>
    </xf>
    <xf numFmtId="3" fontId="14" fillId="6" borderId="70" xfId="2" applyNumberFormat="1" applyFont="1" applyFill="1" applyBorder="1" applyAlignment="1">
      <alignment horizontal="right"/>
    </xf>
    <xf numFmtId="3" fontId="14" fillId="6" borderId="71" xfId="2" applyNumberFormat="1" applyFont="1" applyFill="1" applyBorder="1" applyAlignment="1">
      <alignment horizontal="right"/>
    </xf>
    <xf numFmtId="3" fontId="7" fillId="8" borderId="19" xfId="2" applyNumberFormat="1" applyFont="1" applyFill="1" applyBorder="1" applyAlignment="1">
      <alignment horizontal="right"/>
    </xf>
    <xf numFmtId="3" fontId="7" fillId="8" borderId="60" xfId="2" applyNumberFormat="1" applyFont="1" applyFill="1" applyBorder="1" applyAlignment="1">
      <alignment horizontal="right"/>
    </xf>
    <xf numFmtId="3" fontId="7" fillId="8" borderId="66" xfId="2" applyNumberFormat="1" applyFont="1" applyFill="1" applyBorder="1" applyAlignment="1">
      <alignment horizontal="right"/>
    </xf>
    <xf numFmtId="3" fontId="7" fillId="8" borderId="67" xfId="2" applyNumberFormat="1" applyFont="1" applyFill="1" applyBorder="1" applyAlignment="1">
      <alignment horizontal="right"/>
    </xf>
    <xf numFmtId="0" fontId="7" fillId="0" borderId="53" xfId="2" applyFont="1" applyFill="1" applyBorder="1" applyAlignment="1">
      <alignment horizontal="center" wrapText="1"/>
    </xf>
    <xf numFmtId="0" fontId="7" fillId="0" borderId="54" xfId="2" applyFont="1" applyFill="1" applyBorder="1" applyAlignment="1">
      <alignment horizontal="center" wrapText="1"/>
    </xf>
    <xf numFmtId="3" fontId="14" fillId="0" borderId="8" xfId="2" applyNumberFormat="1" applyFont="1" applyFill="1" applyBorder="1" applyAlignment="1">
      <alignment horizontal="center" wrapText="1"/>
    </xf>
    <xf numFmtId="3" fontId="14" fillId="0" borderId="58" xfId="2" applyNumberFormat="1" applyFont="1" applyFill="1" applyBorder="1" applyAlignment="1">
      <alignment horizontal="center" wrapText="1"/>
    </xf>
    <xf numFmtId="3" fontId="14" fillId="0" borderId="55" xfId="2" applyNumberFormat="1" applyFont="1" applyFill="1" applyBorder="1" applyAlignment="1">
      <alignment horizontal="center" wrapText="1"/>
    </xf>
    <xf numFmtId="3" fontId="14" fillId="0" borderId="28" xfId="2" applyNumberFormat="1" applyFont="1" applyFill="1" applyBorder="1" applyAlignment="1">
      <alignment horizontal="center" wrapText="1"/>
    </xf>
    <xf numFmtId="3" fontId="14" fillId="5" borderId="55" xfId="2" applyNumberFormat="1" applyFont="1" applyFill="1" applyBorder="1" applyAlignment="1">
      <alignment horizontal="right"/>
    </xf>
    <xf numFmtId="3" fontId="14" fillId="5" borderId="28" xfId="2" applyNumberFormat="1" applyFont="1" applyFill="1" applyBorder="1" applyAlignment="1">
      <alignment horizontal="right"/>
    </xf>
    <xf numFmtId="3" fontId="14" fillId="6" borderId="55" xfId="2" applyNumberFormat="1" applyFont="1" applyFill="1" applyBorder="1" applyAlignment="1">
      <alignment horizontal="right"/>
    </xf>
    <xf numFmtId="3" fontId="14" fillId="6" borderId="3" xfId="2" applyNumberFormat="1" applyFont="1" applyFill="1" applyBorder="1" applyAlignment="1">
      <alignment horizontal="right"/>
    </xf>
    <xf numFmtId="165" fontId="14" fillId="0" borderId="6" xfId="4" applyNumberFormat="1" applyFont="1" applyFill="1" applyBorder="1" applyAlignment="1">
      <alignment horizontal="center" wrapText="1"/>
    </xf>
    <xf numFmtId="165" fontId="14" fillId="0" borderId="27" xfId="4" applyNumberFormat="1" applyFont="1" applyFill="1" applyBorder="1" applyAlignment="1">
      <alignment horizontal="center" wrapText="1"/>
    </xf>
    <xf numFmtId="3" fontId="14" fillId="5" borderId="6" xfId="2" applyNumberFormat="1" applyFont="1" applyFill="1" applyBorder="1" applyAlignment="1">
      <alignment horizontal="right"/>
    </xf>
    <xf numFmtId="0" fontId="14" fillId="5" borderId="27" xfId="2" applyFont="1" applyFill="1" applyBorder="1" applyAlignment="1">
      <alignment horizontal="right"/>
    </xf>
    <xf numFmtId="0" fontId="14" fillId="5" borderId="0" xfId="2" applyFont="1" applyFill="1" applyBorder="1" applyAlignment="1">
      <alignment horizontal="right"/>
    </xf>
    <xf numFmtId="3" fontId="14" fillId="6" borderId="64" xfId="2" applyNumberFormat="1" applyFont="1" applyFill="1" applyBorder="1" applyAlignment="1">
      <alignment horizontal="right"/>
    </xf>
    <xf numFmtId="3" fontId="14" fillId="6" borderId="65" xfId="2" applyNumberFormat="1" applyFont="1" applyFill="1" applyBorder="1" applyAlignment="1">
      <alignment horizontal="right"/>
    </xf>
    <xf numFmtId="3" fontId="14" fillId="6" borderId="6" xfId="2" applyNumberFormat="1" applyFont="1" applyFill="1" applyBorder="1" applyAlignment="1">
      <alignment horizontal="right"/>
    </xf>
    <xf numFmtId="3" fontId="14" fillId="6" borderId="0" xfId="2" applyNumberFormat="1" applyFont="1" applyFill="1" applyBorder="1" applyAlignment="1">
      <alignment horizontal="right"/>
    </xf>
    <xf numFmtId="165" fontId="14" fillId="0" borderId="55" xfId="4" applyNumberFormat="1" applyFont="1" applyFill="1" applyBorder="1" applyAlignment="1">
      <alignment horizontal="center" wrapText="1"/>
    </xf>
    <xf numFmtId="165" fontId="14" fillId="0" borderId="28" xfId="4" applyNumberFormat="1" applyFont="1" applyFill="1" applyBorder="1" applyAlignment="1">
      <alignment horizontal="center" wrapText="1"/>
    </xf>
    <xf numFmtId="0" fontId="14" fillId="5" borderId="28" xfId="2" applyFont="1" applyFill="1" applyBorder="1" applyAlignment="1">
      <alignment horizontal="right"/>
    </xf>
    <xf numFmtId="3" fontId="14" fillId="5" borderId="55" xfId="2" applyNumberFormat="1" applyFont="1" applyFill="1" applyBorder="1" applyAlignment="1">
      <alignment horizontal="center"/>
    </xf>
    <xf numFmtId="3" fontId="14" fillId="5" borderId="28" xfId="2" applyNumberFormat="1" applyFont="1" applyFill="1" applyBorder="1" applyAlignment="1">
      <alignment horizontal="center"/>
    </xf>
    <xf numFmtId="3" fontId="14" fillId="0" borderId="55" xfId="2" applyNumberFormat="1" applyFont="1" applyFill="1" applyBorder="1" applyAlignment="1">
      <alignment horizontal="right"/>
    </xf>
    <xf numFmtId="3" fontId="14" fillId="0" borderId="28" xfId="2" applyNumberFormat="1" applyFont="1" applyFill="1" applyBorder="1" applyAlignment="1">
      <alignment horizontal="right"/>
    </xf>
    <xf numFmtId="0" fontId="14" fillId="0" borderId="55" xfId="2" applyFont="1" applyFill="1" applyBorder="1" applyAlignment="1">
      <alignment horizontal="center" wrapText="1"/>
    </xf>
    <xf numFmtId="0" fontId="14" fillId="0" borderId="3" xfId="2" applyFont="1" applyFill="1" applyBorder="1" applyAlignment="1">
      <alignment horizontal="center" wrapText="1"/>
    </xf>
    <xf numFmtId="0" fontId="14" fillId="0" borderId="28" xfId="2" applyFont="1" applyFill="1" applyBorder="1" applyAlignment="1">
      <alignment horizontal="center" wrapText="1"/>
    </xf>
    <xf numFmtId="3" fontId="14" fillId="5" borderId="55" xfId="2" applyNumberFormat="1" applyFont="1" applyFill="1" applyBorder="1" applyAlignment="1"/>
    <xf numFmtId="0" fontId="14" fillId="5" borderId="28" xfId="2" applyFont="1" applyFill="1" applyBorder="1" applyAlignment="1"/>
    <xf numFmtId="3" fontId="14" fillId="5" borderId="28" xfId="2" applyNumberFormat="1" applyFont="1" applyFill="1" applyBorder="1" applyAlignment="1"/>
    <xf numFmtId="3" fontId="14" fillId="6" borderId="28" xfId="2" applyNumberFormat="1" applyFont="1" applyFill="1" applyBorder="1" applyAlignment="1">
      <alignment horizontal="right"/>
    </xf>
    <xf numFmtId="0" fontId="14" fillId="0" borderId="28" xfId="2" applyFont="1" applyFill="1" applyBorder="1" applyAlignment="1">
      <alignment horizontal="right"/>
    </xf>
    <xf numFmtId="3" fontId="14" fillId="5" borderId="27" xfId="2" applyNumberFormat="1" applyFont="1" applyFill="1" applyBorder="1" applyAlignment="1">
      <alignment horizontal="right"/>
    </xf>
    <xf numFmtId="0" fontId="7" fillId="0" borderId="59" xfId="2" applyFont="1" applyFill="1" applyBorder="1" applyAlignment="1">
      <alignment horizontal="center" wrapText="1"/>
    </xf>
    <xf numFmtId="0" fontId="7" fillId="0" borderId="58" xfId="2" applyFont="1" applyFill="1" applyBorder="1" applyAlignment="1">
      <alignment horizontal="center" wrapText="1"/>
    </xf>
    <xf numFmtId="0" fontId="21" fillId="0" borderId="6" xfId="2" applyFont="1" applyFill="1" applyBorder="1" applyAlignment="1">
      <alignment horizontal="center"/>
    </xf>
    <xf numFmtId="0" fontId="21" fillId="0" borderId="27" xfId="2" applyFont="1" applyFill="1" applyBorder="1" applyAlignment="1">
      <alignment horizontal="center"/>
    </xf>
    <xf numFmtId="0" fontId="21" fillId="0" borderId="0" xfId="2" applyFont="1" applyFill="1" applyBorder="1" applyAlignment="1">
      <alignment horizontal="center"/>
    </xf>
    <xf numFmtId="0" fontId="14" fillId="0" borderId="26" xfId="2" applyFont="1" applyFill="1" applyBorder="1" applyAlignment="1">
      <alignment horizontal="left" wrapText="1"/>
    </xf>
    <xf numFmtId="0" fontId="1" fillId="0" borderId="55" xfId="2" applyFont="1" applyBorder="1"/>
    <xf numFmtId="0" fontId="21" fillId="0" borderId="55" xfId="2" applyFont="1" applyFill="1" applyBorder="1" applyAlignment="1">
      <alignment horizontal="center"/>
    </xf>
    <xf numFmtId="0" fontId="21" fillId="0" borderId="28" xfId="2" applyFont="1" applyFill="1" applyBorder="1" applyAlignment="1">
      <alignment horizontal="center"/>
    </xf>
    <xf numFmtId="0" fontId="21" fillId="0" borderId="3" xfId="2" applyFont="1" applyFill="1" applyBorder="1" applyAlignment="1">
      <alignment horizontal="center"/>
    </xf>
    <xf numFmtId="0" fontId="7" fillId="5" borderId="55" xfId="2" applyFont="1" applyFill="1" applyBorder="1" applyAlignment="1">
      <alignment horizontal="center" wrapText="1"/>
    </xf>
    <xf numFmtId="0" fontId="7" fillId="5" borderId="28" xfId="2" applyFont="1" applyFill="1" applyBorder="1" applyAlignment="1">
      <alignment horizontal="center" wrapText="1"/>
    </xf>
    <xf numFmtId="0" fontId="7" fillId="0" borderId="11" xfId="2" applyFont="1" applyFill="1" applyBorder="1" applyAlignment="1">
      <alignment horizontal="center" wrapText="1"/>
    </xf>
    <xf numFmtId="0" fontId="7" fillId="0" borderId="51" xfId="2" applyFont="1" applyFill="1" applyBorder="1" applyAlignment="1">
      <alignment horizontal="center" wrapText="1"/>
    </xf>
    <xf numFmtId="0" fontId="14" fillId="5" borderId="55" xfId="2" applyFont="1" applyFill="1" applyBorder="1" applyAlignment="1">
      <alignment horizontal="right" wrapText="1"/>
    </xf>
    <xf numFmtId="0" fontId="14" fillId="5" borderId="28" xfId="2" applyFont="1" applyFill="1" applyBorder="1" applyAlignment="1">
      <alignment horizontal="right" wrapText="1"/>
    </xf>
    <xf numFmtId="0" fontId="14" fillId="5" borderId="55" xfId="2" applyFont="1" applyFill="1" applyBorder="1" applyAlignment="1">
      <alignment horizontal="center" wrapText="1"/>
    </xf>
    <xf numFmtId="0" fontId="14" fillId="5" borderId="28" xfId="2" applyFont="1" applyFill="1" applyBorder="1" applyAlignment="1">
      <alignment horizontal="center" wrapText="1"/>
    </xf>
    <xf numFmtId="3" fontId="14" fillId="0" borderId="55" xfId="2" applyNumberFormat="1" applyFont="1" applyFill="1" applyBorder="1" applyAlignment="1">
      <alignment horizontal="right" wrapText="1"/>
    </xf>
    <xf numFmtId="3" fontId="14" fillId="0" borderId="28" xfId="2" applyNumberFormat="1" applyFont="1" applyFill="1" applyBorder="1" applyAlignment="1">
      <alignment horizontal="right" wrapText="1"/>
    </xf>
    <xf numFmtId="0" fontId="7" fillId="0" borderId="21" xfId="2" applyFont="1" applyFill="1" applyBorder="1" applyAlignment="1">
      <alignment horizontal="left" wrapText="1"/>
    </xf>
    <xf numFmtId="0" fontId="7" fillId="0" borderId="4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center" wrapText="1"/>
    </xf>
    <xf numFmtId="0" fontId="7" fillId="5" borderId="56" xfId="2" applyFont="1" applyFill="1" applyBorder="1" applyAlignment="1">
      <alignment horizontal="center" wrapText="1"/>
    </xf>
    <xf numFmtId="0" fontId="14" fillId="0" borderId="26" xfId="2" applyFont="1" applyFill="1" applyBorder="1" applyAlignment="1">
      <alignment horizontal="left" wrapText="1" indent="4"/>
    </xf>
    <xf numFmtId="0" fontId="14" fillId="0" borderId="55" xfId="2" applyFont="1" applyFill="1" applyBorder="1" applyAlignment="1">
      <alignment horizontal="left" wrapText="1" indent="4"/>
    </xf>
    <xf numFmtId="3" fontId="14" fillId="0" borderId="55" xfId="2" applyNumberFormat="1" applyFont="1" applyFill="1" applyBorder="1" applyAlignment="1"/>
    <xf numFmtId="0" fontId="14" fillId="0" borderId="28" xfId="2" applyFont="1" applyFill="1" applyBorder="1" applyAlignment="1"/>
    <xf numFmtId="0" fontId="14" fillId="0" borderId="26" xfId="2" applyFont="1" applyFill="1" applyBorder="1" applyAlignment="1">
      <alignment horizontal="left" wrapText="1" indent="4" shrinkToFit="1"/>
    </xf>
    <xf numFmtId="0" fontId="14" fillId="0" borderId="55" xfId="2" applyFont="1" applyFill="1" applyBorder="1" applyAlignment="1">
      <alignment horizontal="left" wrapText="1" indent="4" shrinkToFit="1"/>
    </xf>
    <xf numFmtId="3" fontId="7" fillId="0" borderId="52" xfId="2" applyNumberFormat="1" applyFont="1" applyFill="1" applyBorder="1" applyAlignment="1">
      <alignment horizontal="right"/>
    </xf>
    <xf numFmtId="3" fontId="7" fillId="0" borderId="54" xfId="2" applyNumberFormat="1" applyFont="1" applyFill="1" applyBorder="1" applyAlignment="1">
      <alignment horizontal="right"/>
    </xf>
    <xf numFmtId="0" fontId="14" fillId="0" borderId="6" xfId="2" applyFont="1" applyFill="1" applyBorder="1" applyAlignment="1">
      <alignment horizontal="left" wrapText="1" indent="4"/>
    </xf>
    <xf numFmtId="0" fontId="7" fillId="0" borderId="5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28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 wrapText="1"/>
    </xf>
    <xf numFmtId="3" fontId="7" fillId="0" borderId="53" xfId="2" applyNumberFormat="1" applyFont="1" applyFill="1" applyBorder="1" applyAlignment="1">
      <alignment horizontal="center" wrapText="1"/>
    </xf>
    <xf numFmtId="3" fontId="14" fillId="0" borderId="6" xfId="2" applyNumberFormat="1" applyFont="1" applyFill="1" applyBorder="1" applyAlignment="1">
      <alignment horizontal="right"/>
    </xf>
    <xf numFmtId="3" fontId="14" fillId="0" borderId="0" xfId="2" applyNumberFormat="1" applyFont="1" applyFill="1" applyBorder="1" applyAlignment="1">
      <alignment horizontal="right"/>
    </xf>
    <xf numFmtId="0" fontId="7" fillId="5" borderId="6" xfId="2" applyFont="1" applyFill="1" applyBorder="1" applyAlignment="1">
      <alignment horizontal="center" wrapText="1"/>
    </xf>
    <xf numFmtId="0" fontId="7" fillId="5" borderId="27" xfId="2" applyFont="1" applyFill="1" applyBorder="1" applyAlignment="1">
      <alignment horizontal="center" wrapText="1"/>
    </xf>
    <xf numFmtId="0" fontId="20" fillId="0" borderId="0" xfId="2" applyFont="1" applyFill="1" applyBorder="1" applyAlignment="1">
      <alignment horizontal="center" vertical="top"/>
    </xf>
    <xf numFmtId="0" fontId="7" fillId="5" borderId="5" xfId="2" applyFont="1" applyFill="1" applyBorder="1" applyAlignment="1">
      <alignment horizontal="center" wrapText="1"/>
    </xf>
    <xf numFmtId="0" fontId="7" fillId="5" borderId="51" xfId="2" applyFont="1" applyFill="1" applyBorder="1" applyAlignment="1">
      <alignment horizontal="center" wrapText="1"/>
    </xf>
    <xf numFmtId="0" fontId="7" fillId="6" borderId="5" xfId="2" applyFont="1" applyFill="1" applyBorder="1" applyAlignment="1">
      <alignment horizontal="center" wrapText="1"/>
    </xf>
    <xf numFmtId="0" fontId="7" fillId="6" borderId="11" xfId="2" applyFont="1" applyFill="1" applyBorder="1" applyAlignment="1">
      <alignment horizontal="center" wrapText="1"/>
    </xf>
    <xf numFmtId="0" fontId="8" fillId="9" borderId="34" xfId="2" applyFont="1" applyFill="1" applyBorder="1" applyAlignment="1">
      <alignment horizontal="center" wrapText="1"/>
    </xf>
    <xf numFmtId="0" fontId="8" fillId="9" borderId="31" xfId="2" applyFont="1" applyFill="1" applyBorder="1" applyAlignment="1">
      <alignment horizontal="center" wrapText="1"/>
    </xf>
    <xf numFmtId="0" fontId="8" fillId="9" borderId="32" xfId="2" applyFont="1" applyFill="1" applyBorder="1" applyAlignment="1">
      <alignment horizontal="center" wrapText="1"/>
    </xf>
    <xf numFmtId="0" fontId="8" fillId="10" borderId="52" xfId="2" applyFont="1" applyFill="1" applyBorder="1" applyAlignment="1">
      <alignment horizontal="center" wrapText="1"/>
    </xf>
    <xf numFmtId="0" fontId="8" fillId="10" borderId="53" xfId="2" applyFont="1" applyFill="1" applyBorder="1" applyAlignment="1">
      <alignment horizontal="center" wrapText="1"/>
    </xf>
    <xf numFmtId="0" fontId="8" fillId="10" borderId="54" xfId="2" applyFont="1" applyFill="1" applyBorder="1" applyAlignment="1">
      <alignment horizont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0" fontId="7" fillId="0" borderId="39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8" xfId="2" applyFont="1" applyFill="1" applyBorder="1" applyAlignment="1">
      <alignment horizontal="center" wrapText="1"/>
    </xf>
    <xf numFmtId="0" fontId="8" fillId="0" borderId="52" xfId="2" applyFont="1" applyFill="1" applyBorder="1" applyAlignment="1">
      <alignment horizontal="center" wrapText="1"/>
    </xf>
    <xf numFmtId="0" fontId="8" fillId="0" borderId="53" xfId="2" applyFont="1" applyFill="1" applyBorder="1" applyAlignment="1">
      <alignment horizontal="center" wrapText="1"/>
    </xf>
    <xf numFmtId="0" fontId="8" fillId="0" borderId="72" xfId="2" applyFont="1" applyFill="1" applyBorder="1" applyAlignment="1">
      <alignment horizontal="center" wrapText="1"/>
    </xf>
    <xf numFmtId="0" fontId="8" fillId="0" borderId="33" xfId="2" applyFont="1" applyFill="1" applyBorder="1" applyAlignment="1">
      <alignment horizontal="center" wrapText="1"/>
    </xf>
    <xf numFmtId="0" fontId="9" fillId="9" borderId="34" xfId="2" applyFont="1" applyFill="1" applyBorder="1" applyAlignment="1">
      <alignment horizontal="center" wrapText="1"/>
    </xf>
    <xf numFmtId="0" fontId="9" fillId="9" borderId="31" xfId="2" applyFont="1" applyFill="1" applyBorder="1" applyAlignment="1">
      <alignment horizontal="center" wrapText="1"/>
    </xf>
    <xf numFmtId="0" fontId="9" fillId="9" borderId="33" xfId="2" applyFont="1" applyFill="1" applyBorder="1" applyAlignment="1">
      <alignment horizontal="center" wrapText="1"/>
    </xf>
    <xf numFmtId="0" fontId="8" fillId="0" borderId="52" xfId="2" applyFont="1" applyBorder="1" applyAlignment="1">
      <alignment horizontal="center" wrapText="1"/>
    </xf>
    <xf numFmtId="0" fontId="8" fillId="0" borderId="53" xfId="2" applyFont="1" applyBorder="1" applyAlignment="1">
      <alignment horizontal="center" wrapText="1"/>
    </xf>
    <xf numFmtId="0" fontId="8" fillId="0" borderId="54" xfId="2" applyFont="1" applyBorder="1" applyAlignment="1">
      <alignment horizontal="center" wrapText="1"/>
    </xf>
    <xf numFmtId="0" fontId="6" fillId="0" borderId="59" xfId="2" applyFont="1" applyFill="1" applyBorder="1" applyAlignment="1">
      <alignment horizontal="center" wrapText="1"/>
    </xf>
    <xf numFmtId="0" fontId="6" fillId="0" borderId="30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0" fontId="7" fillId="0" borderId="24" xfId="2" applyFont="1" applyFill="1" applyBorder="1" applyAlignment="1">
      <alignment horizontal="center" wrapText="1"/>
    </xf>
    <xf numFmtId="0" fontId="9" fillId="9" borderId="53" xfId="2" applyFont="1" applyFill="1" applyBorder="1" applyAlignment="1">
      <alignment horizontal="center" wrapText="1"/>
    </xf>
    <xf numFmtId="0" fontId="9" fillId="0" borderId="0" xfId="2" applyFont="1" applyFill="1" applyAlignment="1">
      <alignment horizontal="left" wrapText="1"/>
    </xf>
    <xf numFmtId="0" fontId="7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9" fillId="0" borderId="0" xfId="2" applyFont="1" applyAlignment="1">
      <alignment horizontal="left" wrapText="1"/>
    </xf>
    <xf numFmtId="0" fontId="37" fillId="0" borderId="25" xfId="0" applyFont="1" applyBorder="1" applyAlignment="1">
      <alignment horizontal="justify" vertical="center" wrapText="1"/>
    </xf>
    <xf numFmtId="0" fontId="37" fillId="0" borderId="9" xfId="0" applyFont="1" applyBorder="1" applyAlignment="1">
      <alignment horizontal="justify" vertical="center" wrapText="1"/>
    </xf>
    <xf numFmtId="0" fontId="36" fillId="0" borderId="0" xfId="0" applyFont="1" applyAlignment="1">
      <alignment horizontal="left" vertical="center" wrapText="1"/>
    </xf>
    <xf numFmtId="0" fontId="37" fillId="0" borderId="5" xfId="0" applyFont="1" applyBorder="1" applyAlignment="1">
      <alignment horizontal="justify" vertical="center" wrapText="1"/>
    </xf>
    <xf numFmtId="0" fontId="37" fillId="0" borderId="11" xfId="0" applyFont="1" applyBorder="1" applyAlignment="1">
      <alignment horizontal="justify" vertical="center" wrapText="1"/>
    </xf>
    <xf numFmtId="0" fontId="37" fillId="0" borderId="51" xfId="0" applyFont="1" applyBorder="1" applyAlignment="1">
      <alignment horizontal="justify" vertical="center" wrapText="1"/>
    </xf>
    <xf numFmtId="0" fontId="37" fillId="0" borderId="6" xfId="0" applyFont="1" applyBorder="1" applyAlignment="1">
      <alignment horizontal="justify" vertical="center" wrapText="1"/>
    </xf>
    <xf numFmtId="0" fontId="37" fillId="0" borderId="0" xfId="0" applyFont="1" applyBorder="1" applyAlignment="1">
      <alignment horizontal="justify" vertical="center" wrapText="1"/>
    </xf>
    <xf numFmtId="0" fontId="37" fillId="0" borderId="27" xfId="0" applyFont="1" applyBorder="1" applyAlignment="1">
      <alignment horizontal="justify" vertical="center" wrapText="1"/>
    </xf>
    <xf numFmtId="0" fontId="37" fillId="0" borderId="8" xfId="0" applyFont="1" applyBorder="1" applyAlignment="1">
      <alignment horizontal="justify" vertical="center" wrapText="1"/>
    </xf>
    <xf numFmtId="0" fontId="37" fillId="0" borderId="59" xfId="0" applyFont="1" applyBorder="1" applyAlignment="1">
      <alignment horizontal="justify" vertical="center" wrapText="1"/>
    </xf>
    <xf numFmtId="0" fontId="37" fillId="0" borderId="58" xfId="0" applyFont="1" applyBorder="1" applyAlignment="1">
      <alignment horizontal="justify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justify" vertical="center" wrapText="1"/>
    </xf>
    <xf numFmtId="0" fontId="33" fillId="0" borderId="50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justify" vertical="center" wrapText="1"/>
    </xf>
    <xf numFmtId="0" fontId="33" fillId="0" borderId="9" xfId="0" applyFont="1" applyBorder="1" applyAlignment="1">
      <alignment horizontal="justify" vertical="center" wrapText="1"/>
    </xf>
    <xf numFmtId="0" fontId="33" fillId="0" borderId="7" xfId="0" applyFont="1" applyBorder="1" applyAlignment="1">
      <alignment horizontal="justify" vertical="center" wrapText="1"/>
    </xf>
    <xf numFmtId="0" fontId="33" fillId="0" borderId="10" xfId="0" applyFont="1" applyBorder="1" applyAlignment="1">
      <alignment horizontal="justify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62" xfId="0" applyFont="1" applyBorder="1" applyAlignment="1">
      <alignment horizontal="left" vertical="center" wrapText="1"/>
    </xf>
    <xf numFmtId="0" fontId="37" fillId="0" borderId="50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9" fillId="0" borderId="0" xfId="2" applyFont="1" applyAlignment="1">
      <alignment horizontal="center" wrapText="1"/>
    </xf>
    <xf numFmtId="0" fontId="1" fillId="0" borderId="0" xfId="2" applyAlignment="1">
      <alignment horizontal="center" wrapText="1"/>
    </xf>
    <xf numFmtId="0" fontId="12" fillId="0" borderId="0" xfId="2" applyFont="1" applyAlignment="1">
      <alignment horizontal="center" wrapText="1"/>
    </xf>
    <xf numFmtId="0" fontId="31" fillId="7" borderId="0" xfId="8" applyFont="1" applyFill="1" applyAlignment="1">
      <alignment horizontal="center" wrapText="1"/>
    </xf>
    <xf numFmtId="0" fontId="31" fillId="7" borderId="0" xfId="8" applyFont="1" applyFill="1" applyAlignment="1">
      <alignment horizontal="center"/>
    </xf>
  </cellXfs>
  <cellStyles count="9">
    <cellStyle name="Ezres" xfId="6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2_mellékletek 2013. III. névi rendelethez Kőszeg" xfId="8" xr:uid="{00000000-0005-0000-0000-000004000000}"/>
    <cellStyle name="Normál_2013. költségvetés mell" xfId="3" xr:uid="{00000000-0005-0000-0000-000005000000}"/>
    <cellStyle name="Normál_2013. költségvetés mell Bozsok" xfId="7" xr:uid="{00000000-0005-0000-0000-000006000000}"/>
    <cellStyle name="Normál_melléklet összesen_2012. koncepció kiegészítő táblázatok" xfId="5" xr:uid="{00000000-0005-0000-0000-000007000000}"/>
    <cellStyle name="Normál_R_2MELL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ilvi/Documents/2018/K&#214;LTS&#201;GVET&#201;S%20GENCSAP&#193;TI%202018/ktgvet&#233;si%20rendelet%20m&#243;dos&#237;t&#225;sa%202018.06.30/2018.%20&#233;vi%20k&#246;lts&#233;gvet&#233;s%20mell&#233;kletei%20njt-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melléklet"/>
      <sheetName val="2. melléklet"/>
      <sheetName val="3. melléklet "/>
      <sheetName val="4. melléklet"/>
      <sheetName val="5. melléklet "/>
      <sheetName val="6. melléklet"/>
      <sheetName val="7. melléklet"/>
    </sheetNames>
    <sheetDataSet>
      <sheetData sheetId="0"/>
      <sheetData sheetId="1"/>
      <sheetData sheetId="2"/>
      <sheetData sheetId="3">
        <row r="28">
          <cell r="C28">
            <v>280002821</v>
          </cell>
          <cell r="D28">
            <v>329766069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7EC5-C259-47BD-A412-4033E53B61F3}">
  <sheetPr>
    <pageSetUpPr fitToPage="1"/>
  </sheetPr>
  <dimension ref="A1:F56"/>
  <sheetViews>
    <sheetView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2.85546875" style="79" customWidth="1"/>
    <col min="2" max="2" width="92.85546875" style="79" customWidth="1"/>
    <col min="3" max="5" width="14" style="88" customWidth="1"/>
    <col min="6" max="16384" width="9.140625" style="79"/>
  </cols>
  <sheetData>
    <row r="1" spans="1:6" s="78" customFormat="1" ht="15" customHeight="1" x14ac:dyDescent="0.25">
      <c r="A1" s="76"/>
      <c r="B1" s="76" t="s">
        <v>331</v>
      </c>
      <c r="C1" s="77"/>
      <c r="D1" s="77"/>
      <c r="E1" s="77"/>
    </row>
    <row r="2" spans="1:6" x14ac:dyDescent="0.2">
      <c r="A2" s="663" t="s">
        <v>54</v>
      </c>
      <c r="B2" s="663"/>
      <c r="C2" s="663"/>
      <c r="D2" s="663"/>
      <c r="E2" s="402"/>
    </row>
    <row r="3" spans="1:6" s="80" customFormat="1" ht="34.5" x14ac:dyDescent="0.25">
      <c r="B3" s="80" t="s">
        <v>55</v>
      </c>
      <c r="C3" s="81" t="s">
        <v>345</v>
      </c>
      <c r="D3" s="81" t="s">
        <v>346</v>
      </c>
      <c r="E3" s="81" t="s">
        <v>347</v>
      </c>
    </row>
    <row r="4" spans="1:6" s="83" customFormat="1" ht="24" customHeight="1" x14ac:dyDescent="0.2">
      <c r="A4" s="82" t="s">
        <v>339</v>
      </c>
      <c r="B4" s="82"/>
      <c r="C4" s="82"/>
      <c r="D4" s="82"/>
      <c r="E4" s="82"/>
      <c r="F4" s="82"/>
    </row>
    <row r="5" spans="1:6" s="84" customFormat="1" ht="13.35" customHeight="1" x14ac:dyDescent="0.2">
      <c r="B5" s="85" t="s">
        <v>56</v>
      </c>
      <c r="C5" s="86">
        <f>C6+C7+C12+C15+C13+C14</f>
        <v>45199231</v>
      </c>
      <c r="D5" s="86">
        <f>D6+D7+D12+D15+D13+D14</f>
        <v>45870527</v>
      </c>
      <c r="E5" s="86">
        <f>E6+E7+E12+E15+E13+E14</f>
        <v>45899563</v>
      </c>
    </row>
    <row r="6" spans="1:6" ht="13.35" customHeight="1" x14ac:dyDescent="0.2">
      <c r="B6" s="87" t="s">
        <v>57</v>
      </c>
      <c r="C6" s="88">
        <v>34029400</v>
      </c>
      <c r="D6" s="88">
        <v>34029400</v>
      </c>
      <c r="E6" s="88">
        <v>34029400</v>
      </c>
    </row>
    <row r="7" spans="1:6" ht="13.35" customHeight="1" x14ac:dyDescent="0.2">
      <c r="B7" s="89" t="s">
        <v>58</v>
      </c>
      <c r="C7" s="88">
        <f>C8+C9+C10+C11</f>
        <v>11114586</v>
      </c>
      <c r="D7" s="88">
        <f>D8+D9+D10+D11</f>
        <v>11320627</v>
      </c>
      <c r="E7" s="88">
        <f>E8+E9+E10+E11</f>
        <v>11320627</v>
      </c>
    </row>
    <row r="8" spans="1:6" ht="13.35" customHeight="1" x14ac:dyDescent="0.2">
      <c r="B8" s="90" t="s">
        <v>59</v>
      </c>
      <c r="C8" s="91">
        <f>5942950-3915087</f>
        <v>2027863</v>
      </c>
      <c r="D8" s="91">
        <f>5942950-3933046</f>
        <v>2009904</v>
      </c>
      <c r="E8" s="91">
        <f>5942950-3933046</f>
        <v>2009904</v>
      </c>
    </row>
    <row r="9" spans="1:6" ht="13.35" customHeight="1" x14ac:dyDescent="0.2">
      <c r="B9" s="92" t="s">
        <v>60</v>
      </c>
      <c r="C9" s="91">
        <v>5600000</v>
      </c>
      <c r="D9" s="91">
        <v>5824000</v>
      </c>
      <c r="E9" s="91">
        <v>5824000</v>
      </c>
    </row>
    <row r="10" spans="1:6" ht="13.35" customHeight="1" x14ac:dyDescent="0.2">
      <c r="B10" s="92" t="s">
        <v>61</v>
      </c>
      <c r="C10" s="91">
        <v>694623</v>
      </c>
      <c r="D10" s="91">
        <v>694623</v>
      </c>
      <c r="E10" s="91">
        <v>694623</v>
      </c>
    </row>
    <row r="11" spans="1:6" ht="13.35" customHeight="1" x14ac:dyDescent="0.2">
      <c r="B11" s="92" t="s">
        <v>62</v>
      </c>
      <c r="C11" s="91">
        <v>2792100</v>
      </c>
      <c r="D11" s="91">
        <v>2792100</v>
      </c>
      <c r="E11" s="91">
        <v>2792100</v>
      </c>
    </row>
    <row r="12" spans="1:6" ht="13.35" customHeight="1" x14ac:dyDescent="0.2">
      <c r="B12" s="87" t="s">
        <v>63</v>
      </c>
      <c r="C12" s="88">
        <f>10200-10200</f>
        <v>0</v>
      </c>
      <c r="D12" s="88">
        <f>7335900-7335900</f>
        <v>0</v>
      </c>
      <c r="E12" s="88">
        <f>7335900-7335900</f>
        <v>0</v>
      </c>
    </row>
    <row r="13" spans="1:6" ht="13.35" customHeight="1" x14ac:dyDescent="0.2">
      <c r="B13" s="87" t="s">
        <v>64</v>
      </c>
      <c r="D13" s="88">
        <f>10200-10200</f>
        <v>0</v>
      </c>
      <c r="E13" s="88">
        <f>10200-10200</f>
        <v>0</v>
      </c>
    </row>
    <row r="14" spans="1:6" ht="13.35" customHeight="1" x14ac:dyDescent="0.2">
      <c r="B14" s="87" t="s">
        <v>65</v>
      </c>
      <c r="C14" s="88">
        <v>55245</v>
      </c>
      <c r="E14" s="88">
        <v>29036</v>
      </c>
    </row>
    <row r="15" spans="1:6" ht="13.35" customHeight="1" x14ac:dyDescent="0.2">
      <c r="B15" s="87" t="s">
        <v>66</v>
      </c>
      <c r="D15" s="88">
        <v>520500</v>
      </c>
      <c r="E15" s="88">
        <v>520500</v>
      </c>
    </row>
    <row r="16" spans="1:6" ht="13.35" customHeight="1" x14ac:dyDescent="0.2">
      <c r="B16" s="93" t="s">
        <v>67</v>
      </c>
      <c r="C16" s="94">
        <f>SUM(C17:C25)</f>
        <v>74081653</v>
      </c>
      <c r="D16" s="94">
        <f>SUM(D17:D25)</f>
        <v>80006067</v>
      </c>
      <c r="E16" s="94">
        <f>SUM(E17:E25)</f>
        <v>80138067</v>
      </c>
      <c r="F16" s="88"/>
    </row>
    <row r="17" spans="2:6" ht="13.35" customHeight="1" x14ac:dyDescent="0.2">
      <c r="B17" s="87" t="s">
        <v>68</v>
      </c>
      <c r="C17" s="88">
        <v>34865220</v>
      </c>
      <c r="D17" s="88">
        <v>36825000</v>
      </c>
      <c r="E17" s="88">
        <v>36825000</v>
      </c>
      <c r="F17" s="88"/>
    </row>
    <row r="18" spans="2:6" ht="13.35" customHeight="1" x14ac:dyDescent="0.2">
      <c r="B18" s="87" t="s">
        <v>69</v>
      </c>
      <c r="C18" s="88">
        <v>8400000</v>
      </c>
      <c r="D18" s="88">
        <v>10290000</v>
      </c>
      <c r="E18" s="88">
        <f>10290000</f>
        <v>10290000</v>
      </c>
      <c r="F18" s="88"/>
    </row>
    <row r="19" spans="2:6" ht="13.35" customHeight="1" x14ac:dyDescent="0.2">
      <c r="B19" s="87" t="s">
        <v>70</v>
      </c>
      <c r="C19" s="88">
        <v>15495653</v>
      </c>
      <c r="D19" s="88">
        <v>16350300</v>
      </c>
      <c r="E19" s="88">
        <v>16350300</v>
      </c>
      <c r="F19" s="88"/>
    </row>
    <row r="20" spans="2:6" ht="13.35" customHeight="1" x14ac:dyDescent="0.2">
      <c r="B20" s="87" t="s">
        <v>71</v>
      </c>
      <c r="C20" s="88">
        <v>4200000</v>
      </c>
      <c r="D20" s="88">
        <v>5145000</v>
      </c>
      <c r="E20" s="88">
        <v>5145000</v>
      </c>
      <c r="F20" s="88"/>
    </row>
    <row r="21" spans="2:6" ht="13.35" customHeight="1" x14ac:dyDescent="0.2">
      <c r="B21" s="87" t="s">
        <v>72</v>
      </c>
      <c r="C21" s="88">
        <v>397280</v>
      </c>
      <c r="F21" s="88"/>
    </row>
    <row r="22" spans="2:6" ht="13.35" customHeight="1" x14ac:dyDescent="0.2">
      <c r="B22" s="95" t="s">
        <v>73</v>
      </c>
      <c r="C22" s="88">
        <v>6862800</v>
      </c>
      <c r="D22" s="88">
        <v>7353000</v>
      </c>
      <c r="E22" s="88">
        <v>7353000</v>
      </c>
      <c r="F22" s="88"/>
    </row>
    <row r="23" spans="2:6" ht="13.35" customHeight="1" x14ac:dyDescent="0.2">
      <c r="B23" s="95" t="s">
        <v>74</v>
      </c>
      <c r="C23" s="88">
        <v>3022900</v>
      </c>
      <c r="D23" s="88">
        <v>3240767</v>
      </c>
      <c r="E23" s="88">
        <v>3240767</v>
      </c>
      <c r="F23" s="88"/>
    </row>
    <row r="24" spans="2:6" x14ac:dyDescent="0.2">
      <c r="B24" s="87" t="s">
        <v>75</v>
      </c>
      <c r="C24" s="88">
        <v>837800</v>
      </c>
      <c r="D24" s="88">
        <v>802000</v>
      </c>
      <c r="E24" s="88">
        <v>802000</v>
      </c>
      <c r="F24" s="88"/>
    </row>
    <row r="25" spans="2:6" x14ac:dyDescent="0.2">
      <c r="B25" s="87" t="s">
        <v>348</v>
      </c>
      <c r="E25" s="88">
        <v>132000</v>
      </c>
      <c r="F25" s="88"/>
    </row>
    <row r="26" spans="2:6" ht="13.35" customHeight="1" x14ac:dyDescent="0.2">
      <c r="B26" s="93" t="s">
        <v>76</v>
      </c>
      <c r="C26" s="94">
        <f>SUM(C27:C34)</f>
        <v>31622763</v>
      </c>
      <c r="D26" s="94">
        <f>SUM(D27:D34)</f>
        <v>35851198</v>
      </c>
      <c r="E26" s="94">
        <f>SUM(E27:E34)</f>
        <v>36540522</v>
      </c>
      <c r="F26" s="88"/>
    </row>
    <row r="27" spans="2:6" ht="13.35" customHeight="1" x14ac:dyDescent="0.2">
      <c r="B27" s="87" t="s">
        <v>349</v>
      </c>
      <c r="E27" s="88">
        <v>689324</v>
      </c>
      <c r="F27" s="88"/>
    </row>
    <row r="28" spans="2:6" ht="13.35" customHeight="1" x14ac:dyDescent="0.2">
      <c r="B28" s="87" t="s">
        <v>77</v>
      </c>
      <c r="C28" s="88">
        <v>15520000</v>
      </c>
      <c r="D28" s="88">
        <v>15294000</v>
      </c>
      <c r="E28" s="88">
        <v>15294000</v>
      </c>
      <c r="F28" s="88"/>
    </row>
    <row r="29" spans="2:6" ht="13.35" customHeight="1" x14ac:dyDescent="0.2">
      <c r="B29" s="87" t="s">
        <v>78</v>
      </c>
      <c r="C29" s="88">
        <v>1826880</v>
      </c>
      <c r="D29" s="88">
        <v>1992960</v>
      </c>
      <c r="E29" s="88">
        <v>1992960</v>
      </c>
      <c r="F29" s="88"/>
    </row>
    <row r="30" spans="2:6" ht="13.35" customHeight="1" x14ac:dyDescent="0.2">
      <c r="B30" s="87" t="s">
        <v>79</v>
      </c>
      <c r="C30" s="88">
        <v>50000</v>
      </c>
      <c r="D30" s="88">
        <v>50000</v>
      </c>
      <c r="E30" s="88">
        <v>50000</v>
      </c>
      <c r="F30" s="88"/>
    </row>
    <row r="31" spans="2:6" ht="13.35" customHeight="1" x14ac:dyDescent="0.2">
      <c r="B31" s="87" t="s">
        <v>80</v>
      </c>
      <c r="C31" s="88">
        <v>630000</v>
      </c>
      <c r="D31" s="88">
        <v>2310000</v>
      </c>
      <c r="E31" s="88">
        <v>2310000</v>
      </c>
      <c r="F31" s="88"/>
    </row>
    <row r="32" spans="2:6" ht="13.35" customHeight="1" x14ac:dyDescent="0.2">
      <c r="B32" s="87" t="s">
        <v>81</v>
      </c>
      <c r="C32" s="88">
        <v>2616000</v>
      </c>
      <c r="D32" s="88">
        <v>2616000</v>
      </c>
      <c r="E32" s="88">
        <v>2616000</v>
      </c>
      <c r="F32" s="88"/>
    </row>
    <row r="33" spans="1:6" ht="13.35" customHeight="1" x14ac:dyDescent="0.2">
      <c r="B33" s="87" t="s">
        <v>82</v>
      </c>
      <c r="C33" s="88">
        <v>8763840</v>
      </c>
      <c r="D33" s="88">
        <v>10488000</v>
      </c>
      <c r="E33" s="88">
        <v>10488000</v>
      </c>
      <c r="F33" s="88"/>
    </row>
    <row r="34" spans="1:6" ht="13.35" customHeight="1" x14ac:dyDescent="0.2">
      <c r="B34" s="87" t="s">
        <v>83</v>
      </c>
      <c r="C34" s="88">
        <v>2216043</v>
      </c>
      <c r="D34" s="88">
        <v>3100238</v>
      </c>
      <c r="E34" s="88">
        <v>3100238</v>
      </c>
      <c r="F34" s="88"/>
    </row>
    <row r="35" spans="1:6" ht="13.35" customHeight="1" x14ac:dyDescent="0.2">
      <c r="B35" s="93" t="s">
        <v>84</v>
      </c>
      <c r="C35" s="94">
        <f>SUM(C36:C38)</f>
        <v>3097380</v>
      </c>
      <c r="D35" s="94">
        <f t="shared" ref="D35" si="0">SUM(D36:D38)</f>
        <v>3287570</v>
      </c>
      <c r="E35" s="94">
        <f>SUM(E36:E38)</f>
        <v>4171444</v>
      </c>
      <c r="F35" s="88"/>
    </row>
    <row r="36" spans="1:6" ht="13.35" customHeight="1" x14ac:dyDescent="0.2">
      <c r="B36" s="87" t="s">
        <v>350</v>
      </c>
      <c r="C36" s="103"/>
      <c r="D36" s="103"/>
      <c r="E36" s="88">
        <v>291056</v>
      </c>
      <c r="F36" s="88"/>
    </row>
    <row r="37" spans="1:6" ht="13.35" customHeight="1" x14ac:dyDescent="0.2">
      <c r="B37" s="87" t="s">
        <v>85</v>
      </c>
      <c r="C37" s="88">
        <v>3097380</v>
      </c>
      <c r="D37" s="88">
        <v>3287570</v>
      </c>
      <c r="E37" s="88">
        <v>3287570</v>
      </c>
      <c r="F37" s="88"/>
    </row>
    <row r="38" spans="1:6" ht="13.35" customHeight="1" x14ac:dyDescent="0.2">
      <c r="B38" s="87" t="s">
        <v>351</v>
      </c>
      <c r="E38" s="88">
        <v>592818</v>
      </c>
      <c r="F38" s="88"/>
    </row>
    <row r="39" spans="1:6" ht="13.35" customHeight="1" x14ac:dyDescent="0.2">
      <c r="B39" s="93" t="s">
        <v>86</v>
      </c>
      <c r="C39" s="94">
        <v>11261187</v>
      </c>
      <c r="D39" s="94">
        <v>11279146</v>
      </c>
      <c r="E39" s="94">
        <v>11279146</v>
      </c>
      <c r="F39" s="88"/>
    </row>
    <row r="40" spans="1:6" s="83" customFormat="1" ht="24" customHeight="1" x14ac:dyDescent="0.2">
      <c r="A40" s="426" t="s">
        <v>339</v>
      </c>
      <c r="B40" s="426"/>
      <c r="C40" s="427">
        <f>C5+C16+C26+C35</f>
        <v>154001027</v>
      </c>
      <c r="D40" s="427">
        <f>D5+D16+D26+D35</f>
        <v>165015362</v>
      </c>
      <c r="E40" s="427">
        <f>E5+E16+E26+E35</f>
        <v>166749596</v>
      </c>
      <c r="F40" s="82"/>
    </row>
    <row r="41" spans="1:6" s="83" customFormat="1" ht="24" customHeight="1" x14ac:dyDescent="0.2">
      <c r="A41" s="82"/>
      <c r="B41" s="82"/>
      <c r="C41" s="82"/>
      <c r="D41" s="82"/>
      <c r="E41" s="82"/>
      <c r="F41" s="82"/>
    </row>
    <row r="42" spans="1:6" s="83" customFormat="1" ht="24" customHeight="1" x14ac:dyDescent="0.2">
      <c r="A42" s="82" t="s">
        <v>352</v>
      </c>
      <c r="B42" s="82"/>
      <c r="C42" s="82"/>
      <c r="D42" s="82"/>
      <c r="E42" s="82"/>
      <c r="F42" s="82"/>
    </row>
    <row r="43" spans="1:6" ht="13.35" customHeight="1" x14ac:dyDescent="0.2">
      <c r="B43" s="87" t="s">
        <v>353</v>
      </c>
      <c r="C43" s="103"/>
      <c r="D43" s="103"/>
      <c r="E43" s="88">
        <v>103062</v>
      </c>
      <c r="F43" s="88"/>
    </row>
    <row r="44" spans="1:6" ht="13.35" customHeight="1" x14ac:dyDescent="0.2">
      <c r="B44" s="87" t="s">
        <v>354</v>
      </c>
      <c r="C44" s="103"/>
      <c r="D44" s="103"/>
      <c r="E44" s="88">
        <v>297200</v>
      </c>
      <c r="F44" s="88"/>
    </row>
    <row r="45" spans="1:6" ht="13.35" customHeight="1" x14ac:dyDescent="0.2">
      <c r="B45" s="87" t="s">
        <v>355</v>
      </c>
      <c r="C45" s="103"/>
      <c r="D45" s="103"/>
      <c r="E45" s="88">
        <v>391160</v>
      </c>
      <c r="F45" s="88"/>
    </row>
    <row r="46" spans="1:6" s="83" customFormat="1" ht="24" customHeight="1" x14ac:dyDescent="0.2">
      <c r="A46" s="426" t="s">
        <v>352</v>
      </c>
      <c r="B46" s="426"/>
      <c r="C46" s="427">
        <f>SUM(C43:C45)</f>
        <v>0</v>
      </c>
      <c r="D46" s="427">
        <f>SUM(D43:D45)</f>
        <v>0</v>
      </c>
      <c r="E46" s="427">
        <f>SUM(E43:E45)</f>
        <v>791422</v>
      </c>
      <c r="F46" s="82"/>
    </row>
    <row r="47" spans="1:6" ht="13.35" customHeight="1" x14ac:dyDescent="0.2">
      <c r="B47" s="87"/>
      <c r="C47" s="103"/>
      <c r="D47" s="103"/>
      <c r="F47" s="88"/>
    </row>
    <row r="48" spans="1:6" ht="13.35" customHeight="1" x14ac:dyDescent="0.2">
      <c r="B48" s="428"/>
      <c r="C48" s="103"/>
      <c r="D48" s="103"/>
      <c r="E48" s="103"/>
      <c r="F48" s="88"/>
    </row>
    <row r="49" spans="1:6" ht="17.25" customHeight="1" x14ac:dyDescent="0.2">
      <c r="A49" s="401"/>
      <c r="B49" s="401"/>
      <c r="C49" s="401"/>
      <c r="D49" s="401"/>
      <c r="E49" s="401"/>
      <c r="F49" s="401"/>
    </row>
    <row r="50" spans="1:6" s="99" customFormat="1" ht="31.5" x14ac:dyDescent="0.25">
      <c r="A50" s="96"/>
      <c r="B50" s="97" t="s">
        <v>87</v>
      </c>
      <c r="C50" s="98">
        <f>C46+C40</f>
        <v>154001027</v>
      </c>
      <c r="D50" s="98">
        <f t="shared" ref="D50:E50" si="1">D46+D40</f>
        <v>165015362</v>
      </c>
      <c r="E50" s="98">
        <f t="shared" si="1"/>
        <v>167541018</v>
      </c>
    </row>
    <row r="51" spans="1:6" ht="13.35" customHeight="1" x14ac:dyDescent="0.2">
      <c r="B51" s="100"/>
    </row>
    <row r="52" spans="1:6" ht="13.35" customHeight="1" x14ac:dyDescent="0.2">
      <c r="B52" s="101"/>
    </row>
    <row r="53" spans="1:6" s="83" customFormat="1" ht="13.35" customHeight="1" x14ac:dyDescent="0.2">
      <c r="B53" s="102"/>
      <c r="C53" s="103"/>
      <c r="D53" s="103"/>
      <c r="E53" s="103"/>
    </row>
    <row r="54" spans="1:6" s="83" customFormat="1" ht="13.35" customHeight="1" x14ac:dyDescent="0.2">
      <c r="B54" s="104"/>
      <c r="C54" s="103"/>
      <c r="D54" s="103"/>
      <c r="E54" s="103"/>
    </row>
    <row r="55" spans="1:6" s="83" customFormat="1" ht="13.35" customHeight="1" x14ac:dyDescent="0.2">
      <c r="B55" s="102"/>
      <c r="C55" s="103"/>
      <c r="D55" s="103"/>
      <c r="E55" s="103"/>
    </row>
    <row r="56" spans="1:6" ht="13.35" customHeight="1" x14ac:dyDescent="0.2"/>
  </sheetData>
  <mergeCells count="1">
    <mergeCell ref="A2:D2"/>
  </mergeCells>
  <pageMargins left="0.59055118110236227" right="0" top="0.39370078740157483" bottom="0.27559055118110237" header="0.51181102362204722" footer="0.51181102362204722"/>
  <pageSetup paperSize="9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DFA5-5C40-42E5-8C49-E937A7A9D47D}">
  <dimension ref="A1:S82"/>
  <sheetViews>
    <sheetView zoomScaleNormal="150" zoomScaleSheetLayoutView="100" workbookViewId="0">
      <pane xSplit="1" ySplit="6" topLeftCell="B76" activePane="bottomRight" state="frozen"/>
      <selection activeCell="B42" sqref="B42"/>
      <selection pane="topRight" activeCell="B42" sqref="B42"/>
      <selection pane="bottomLeft" activeCell="B42" sqref="B42"/>
      <selection pane="bottomRight"/>
    </sheetView>
  </sheetViews>
  <sheetFormatPr defaultColWidth="9.140625" defaultRowHeight="12.75" x14ac:dyDescent="0.2"/>
  <cols>
    <col min="1" max="1" width="46.140625" style="106" customWidth="1"/>
    <col min="2" max="2" width="10.85546875" style="106" customWidth="1"/>
    <col min="3" max="3" width="2.5703125" style="106" bestFit="1" customWidth="1"/>
    <col min="4" max="4" width="10.28515625" style="106" customWidth="1"/>
    <col min="5" max="5" width="2.85546875" style="106" customWidth="1"/>
    <col min="6" max="6" width="10" style="106" customWidth="1"/>
    <col min="7" max="7" width="2.85546875" style="106" customWidth="1"/>
    <col min="8" max="8" width="11.42578125" style="106" customWidth="1"/>
    <col min="9" max="9" width="2.28515625" style="106" customWidth="1"/>
    <col min="10" max="10" width="9.42578125" style="106" customWidth="1"/>
    <col min="11" max="11" width="2.5703125" style="106" bestFit="1" customWidth="1"/>
    <col min="12" max="12" width="8.5703125" style="106" customWidth="1"/>
    <col min="13" max="13" width="2.5703125" style="106" customWidth="1"/>
    <col min="14" max="14" width="7.42578125" style="106" customWidth="1"/>
    <col min="15" max="15" width="2.5703125" style="106" customWidth="1"/>
    <col min="16" max="16" width="8.28515625" style="106" customWidth="1"/>
    <col min="17" max="17" width="3.140625" style="106" customWidth="1"/>
    <col min="18" max="18" width="12.140625" style="107" customWidth="1"/>
    <col min="19" max="19" width="5.5703125" style="107" customWidth="1"/>
    <col min="20" max="16384" width="9.140625" style="106"/>
  </cols>
  <sheetData>
    <row r="1" spans="1:19" ht="27" x14ac:dyDescent="0.2">
      <c r="A1" s="398" t="s">
        <v>332</v>
      </c>
      <c r="B1" s="766" t="s">
        <v>88</v>
      </c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105"/>
    </row>
    <row r="2" spans="1:19" ht="15.75" x14ac:dyDescent="0.2">
      <c r="B2" s="766" t="s">
        <v>89</v>
      </c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6"/>
      <c r="Q2" s="766"/>
      <c r="R2" s="766"/>
      <c r="S2" s="105"/>
    </row>
    <row r="3" spans="1:19" ht="8.25" customHeight="1" thickBot="1" x14ac:dyDescent="0.25">
      <c r="A3" s="407"/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</row>
    <row r="4" spans="1:19" s="423" customFormat="1" ht="75.75" customHeight="1" thickBot="1" x14ac:dyDescent="0.25">
      <c r="A4" s="108" t="s">
        <v>55</v>
      </c>
      <c r="B4" s="760" t="s">
        <v>11</v>
      </c>
      <c r="C4" s="737"/>
      <c r="D4" s="760" t="s">
        <v>9</v>
      </c>
      <c r="E4" s="736"/>
      <c r="F4" s="760" t="s">
        <v>7</v>
      </c>
      <c r="G4" s="737"/>
      <c r="H4" s="760" t="s">
        <v>90</v>
      </c>
      <c r="I4" s="737"/>
      <c r="J4" s="767" t="s">
        <v>91</v>
      </c>
      <c r="K4" s="768"/>
      <c r="L4" s="767" t="s">
        <v>92</v>
      </c>
      <c r="M4" s="768"/>
      <c r="N4" s="767" t="s">
        <v>93</v>
      </c>
      <c r="O4" s="768"/>
      <c r="P4" s="769" t="s">
        <v>94</v>
      </c>
      <c r="Q4" s="770"/>
      <c r="R4" s="760" t="s">
        <v>95</v>
      </c>
      <c r="S4" s="737"/>
    </row>
    <row r="5" spans="1:19" s="423" customFormat="1" ht="20.25" customHeight="1" thickBot="1" x14ac:dyDescent="0.25">
      <c r="A5" s="109" t="s">
        <v>96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689"/>
      <c r="S5" s="690"/>
    </row>
    <row r="6" spans="1:19" s="423" customFormat="1" ht="20.25" customHeight="1" thickBot="1" x14ac:dyDescent="0.25">
      <c r="A6" s="109" t="s">
        <v>97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761">
        <f>R8+R9+R23+R25</f>
        <v>45899563</v>
      </c>
      <c r="S6" s="690"/>
    </row>
    <row r="7" spans="1:19" s="423" customFormat="1" x14ac:dyDescent="0.2">
      <c r="A7" s="112" t="s">
        <v>57</v>
      </c>
      <c r="B7" s="113"/>
      <c r="C7" s="114"/>
      <c r="D7" s="115">
        <v>7.43</v>
      </c>
      <c r="E7" s="116" t="s">
        <v>98</v>
      </c>
      <c r="F7" s="113"/>
      <c r="G7" s="114"/>
      <c r="H7" s="113"/>
      <c r="I7" s="114"/>
      <c r="J7" s="405"/>
      <c r="K7" s="406"/>
      <c r="L7" s="405"/>
      <c r="M7" s="406"/>
      <c r="N7" s="405"/>
      <c r="O7" s="406"/>
      <c r="P7" s="117"/>
      <c r="Q7" s="118"/>
      <c r="R7" s="119"/>
      <c r="S7" s="120"/>
    </row>
    <row r="8" spans="1:19" s="423" customFormat="1" ht="15" customHeight="1" thickBot="1" x14ac:dyDescent="0.25">
      <c r="A8" s="408" t="s">
        <v>99</v>
      </c>
      <c r="B8" s="113"/>
      <c r="C8" s="114"/>
      <c r="D8" s="762">
        <f>ROUND(D7*4580000,0)</f>
        <v>34029400</v>
      </c>
      <c r="E8" s="763"/>
      <c r="F8" s="113"/>
      <c r="G8" s="114"/>
      <c r="H8" s="113"/>
      <c r="I8" s="114"/>
      <c r="J8" s="764"/>
      <c r="K8" s="765"/>
      <c r="L8" s="764"/>
      <c r="M8" s="765"/>
      <c r="N8" s="764"/>
      <c r="O8" s="765"/>
      <c r="P8" s="117">
        <f>J8+L8+N8</f>
        <v>0</v>
      </c>
      <c r="Q8" s="118" t="s">
        <v>100</v>
      </c>
      <c r="R8" s="121">
        <f>P8+H8+F8+D8+B8</f>
        <v>34029400</v>
      </c>
      <c r="S8" s="120" t="s">
        <v>100</v>
      </c>
    </row>
    <row r="9" spans="1:19" s="423" customFormat="1" ht="26.25" thickBot="1" x14ac:dyDescent="0.25">
      <c r="A9" s="122" t="s">
        <v>101</v>
      </c>
      <c r="B9" s="754">
        <f>B11+B13+B15+B17</f>
        <v>11320627</v>
      </c>
      <c r="C9" s="755"/>
      <c r="D9" s="123"/>
      <c r="E9" s="124"/>
      <c r="F9" s="123"/>
      <c r="G9" s="125"/>
      <c r="H9" s="123"/>
      <c r="I9" s="125"/>
      <c r="J9" s="126"/>
      <c r="K9" s="127"/>
      <c r="L9" s="126"/>
      <c r="M9" s="127"/>
      <c r="N9" s="126"/>
      <c r="O9" s="127"/>
      <c r="P9" s="128">
        <f>J9+L9+N9</f>
        <v>0</v>
      </c>
      <c r="Q9" s="129" t="s">
        <v>100</v>
      </c>
      <c r="R9" s="130">
        <f>P9+H9+F9+D9+B9</f>
        <v>11320627</v>
      </c>
      <c r="S9" s="403" t="s">
        <v>100</v>
      </c>
    </row>
    <row r="10" spans="1:19" s="423" customFormat="1" ht="25.5" customHeight="1" x14ac:dyDescent="0.2">
      <c r="A10" s="756" t="s">
        <v>102</v>
      </c>
      <c r="B10" s="131"/>
      <c r="C10" s="132"/>
      <c r="D10" s="113"/>
      <c r="E10" s="421"/>
      <c r="F10" s="113"/>
      <c r="G10" s="114"/>
      <c r="H10" s="113"/>
      <c r="I10" s="114"/>
      <c r="J10" s="405"/>
      <c r="K10" s="406"/>
      <c r="L10" s="405"/>
      <c r="M10" s="406"/>
      <c r="N10" s="405"/>
      <c r="O10" s="406"/>
      <c r="P10" s="117"/>
      <c r="Q10" s="118"/>
      <c r="R10" s="119"/>
      <c r="S10" s="120"/>
    </row>
    <row r="11" spans="1:19" s="423" customFormat="1" x14ac:dyDescent="0.2">
      <c r="A11" s="749"/>
      <c r="B11" s="713">
        <v>2009904</v>
      </c>
      <c r="C11" s="714"/>
      <c r="D11" s="757"/>
      <c r="E11" s="758"/>
      <c r="F11" s="757"/>
      <c r="G11" s="759"/>
      <c r="H11" s="757"/>
      <c r="I11" s="759"/>
      <c r="J11" s="734"/>
      <c r="K11" s="735"/>
      <c r="L11" s="734"/>
      <c r="M11" s="735"/>
      <c r="N11" s="734"/>
      <c r="O11" s="735"/>
      <c r="P11" s="133">
        <f>J11+L11+N11</f>
        <v>0</v>
      </c>
      <c r="Q11" s="134" t="s">
        <v>100</v>
      </c>
      <c r="R11" s="135">
        <f>P11+H11+F11+D11+B11</f>
        <v>2009904</v>
      </c>
      <c r="S11" s="136" t="s">
        <v>100</v>
      </c>
    </row>
    <row r="12" spans="1:19" s="423" customFormat="1" x14ac:dyDescent="0.2">
      <c r="A12" s="748" t="s">
        <v>103</v>
      </c>
      <c r="B12" s="137"/>
      <c r="C12" s="138"/>
      <c r="D12" s="137"/>
      <c r="E12" s="139"/>
      <c r="F12" s="137"/>
      <c r="G12" s="138"/>
      <c r="H12" s="137"/>
      <c r="I12" s="138"/>
      <c r="J12" s="412"/>
      <c r="K12" s="413"/>
      <c r="L12" s="412"/>
      <c r="M12" s="413"/>
      <c r="N12" s="412"/>
      <c r="O12" s="413"/>
      <c r="P12" s="140"/>
      <c r="Q12" s="141"/>
      <c r="R12" s="142"/>
      <c r="S12" s="143"/>
    </row>
    <row r="13" spans="1:19" s="423" customFormat="1" x14ac:dyDescent="0.2">
      <c r="A13" s="749"/>
      <c r="B13" s="750">
        <v>5824000</v>
      </c>
      <c r="C13" s="751"/>
      <c r="D13" s="409"/>
      <c r="E13" s="410"/>
      <c r="F13" s="409"/>
      <c r="G13" s="411"/>
      <c r="H13" s="409"/>
      <c r="I13" s="411"/>
      <c r="J13" s="734"/>
      <c r="K13" s="735"/>
      <c r="L13" s="734"/>
      <c r="M13" s="735"/>
      <c r="N13" s="734"/>
      <c r="O13" s="735"/>
      <c r="P13" s="133">
        <f>J13+L13+N13</f>
        <v>0</v>
      </c>
      <c r="Q13" s="134" t="s">
        <v>100</v>
      </c>
      <c r="R13" s="135">
        <f>P13+H13+F13+D13+B13</f>
        <v>5824000</v>
      </c>
      <c r="S13" s="136" t="s">
        <v>100</v>
      </c>
    </row>
    <row r="14" spans="1:19" s="423" customFormat="1" x14ac:dyDescent="0.2">
      <c r="A14" s="748" t="s">
        <v>104</v>
      </c>
      <c r="B14" s="137"/>
      <c r="C14" s="138"/>
      <c r="D14" s="137"/>
      <c r="E14" s="139"/>
      <c r="F14" s="137"/>
      <c r="G14" s="138"/>
      <c r="H14" s="137"/>
      <c r="I14" s="138"/>
      <c r="J14" s="412"/>
      <c r="K14" s="413"/>
      <c r="L14" s="412"/>
      <c r="M14" s="413"/>
      <c r="N14" s="412"/>
      <c r="O14" s="413"/>
      <c r="P14" s="140"/>
      <c r="Q14" s="141"/>
      <c r="R14" s="142"/>
      <c r="S14" s="143"/>
    </row>
    <row r="15" spans="1:19" s="423" customFormat="1" x14ac:dyDescent="0.2">
      <c r="A15" s="749"/>
      <c r="B15" s="750">
        <v>694623</v>
      </c>
      <c r="C15" s="751"/>
      <c r="D15" s="409"/>
      <c r="E15" s="410"/>
      <c r="F15" s="409"/>
      <c r="G15" s="411"/>
      <c r="H15" s="409"/>
      <c r="I15" s="411"/>
      <c r="J15" s="734"/>
      <c r="K15" s="735"/>
      <c r="L15" s="734"/>
      <c r="M15" s="735"/>
      <c r="N15" s="734"/>
      <c r="O15" s="735"/>
      <c r="P15" s="133">
        <f>J15+L15+N15</f>
        <v>0</v>
      </c>
      <c r="Q15" s="134" t="s">
        <v>100</v>
      </c>
      <c r="R15" s="135">
        <f>P15+H15+F15+D15+B15</f>
        <v>694623</v>
      </c>
      <c r="S15" s="136" t="s">
        <v>100</v>
      </c>
    </row>
    <row r="16" spans="1:19" s="423" customFormat="1" ht="12.75" customHeight="1" x14ac:dyDescent="0.2">
      <c r="A16" s="752" t="s">
        <v>105</v>
      </c>
      <c r="B16" s="137"/>
      <c r="C16" s="138"/>
      <c r="D16" s="137"/>
      <c r="E16" s="139"/>
      <c r="F16" s="137"/>
      <c r="G16" s="138"/>
      <c r="H16" s="137"/>
      <c r="I16" s="138"/>
      <c r="J16" s="412"/>
      <c r="K16" s="413"/>
      <c r="L16" s="412"/>
      <c r="M16" s="413"/>
      <c r="N16" s="412"/>
      <c r="O16" s="413"/>
      <c r="P16" s="140"/>
      <c r="Q16" s="141"/>
      <c r="R16" s="142"/>
      <c r="S16" s="143"/>
    </row>
    <row r="17" spans="1:19" s="423" customFormat="1" x14ac:dyDescent="0.2">
      <c r="A17" s="753"/>
      <c r="B17" s="750">
        <v>2792100</v>
      </c>
      <c r="C17" s="751"/>
      <c r="D17" s="409"/>
      <c r="E17" s="410"/>
      <c r="F17" s="409"/>
      <c r="G17" s="411"/>
      <c r="H17" s="409"/>
      <c r="I17" s="411"/>
      <c r="J17" s="734"/>
      <c r="K17" s="735"/>
      <c r="L17" s="734"/>
      <c r="M17" s="735"/>
      <c r="N17" s="734"/>
      <c r="O17" s="735"/>
      <c r="P17" s="133">
        <f>J17+L17+N17</f>
        <v>0</v>
      </c>
      <c r="Q17" s="134" t="s">
        <v>100</v>
      </c>
      <c r="R17" s="135">
        <f>P17+H17+F17+D17+B17</f>
        <v>2792100</v>
      </c>
      <c r="S17" s="136" t="s">
        <v>100</v>
      </c>
    </row>
    <row r="18" spans="1:19" s="423" customFormat="1" ht="25.5" x14ac:dyDescent="0.2">
      <c r="A18" s="144" t="s">
        <v>106</v>
      </c>
      <c r="B18" s="145">
        <v>2717</v>
      </c>
      <c r="C18" s="146" t="s">
        <v>98</v>
      </c>
      <c r="D18" s="137"/>
      <c r="E18" s="139"/>
      <c r="F18" s="137"/>
      <c r="G18" s="138"/>
      <c r="H18" s="137"/>
      <c r="I18" s="138"/>
      <c r="J18" s="412"/>
      <c r="K18" s="413"/>
      <c r="L18" s="412"/>
      <c r="M18" s="413"/>
      <c r="N18" s="412"/>
      <c r="O18" s="413"/>
      <c r="P18" s="140"/>
      <c r="Q18" s="141"/>
      <c r="R18" s="147"/>
      <c r="S18" s="148"/>
    </row>
    <row r="19" spans="1:19" s="423" customFormat="1" ht="26.25" customHeight="1" thickBot="1" x14ac:dyDescent="0.25">
      <c r="A19" s="149" t="s">
        <v>107</v>
      </c>
      <c r="B19" s="742">
        <v>0</v>
      </c>
      <c r="C19" s="743"/>
      <c r="D19" s="409"/>
      <c r="E19" s="410"/>
      <c r="F19" s="409"/>
      <c r="G19" s="411"/>
      <c r="H19" s="409"/>
      <c r="I19" s="411"/>
      <c r="J19" s="734"/>
      <c r="K19" s="735"/>
      <c r="L19" s="734"/>
      <c r="M19" s="735"/>
      <c r="N19" s="734"/>
      <c r="O19" s="735"/>
      <c r="P19" s="133">
        <f>J19+L19+N19</f>
        <v>0</v>
      </c>
      <c r="Q19" s="134" t="s">
        <v>100</v>
      </c>
      <c r="R19" s="135">
        <f>P19+H19+F19+D19+B19</f>
        <v>0</v>
      </c>
      <c r="S19" s="136" t="s">
        <v>100</v>
      </c>
    </row>
    <row r="20" spans="1:19" ht="15" customHeight="1" x14ac:dyDescent="0.2">
      <c r="A20" s="744" t="s">
        <v>64</v>
      </c>
      <c r="B20" s="150">
        <v>0</v>
      </c>
      <c r="C20" s="151" t="s">
        <v>100</v>
      </c>
      <c r="D20" s="416"/>
      <c r="E20" s="152"/>
      <c r="F20" s="416"/>
      <c r="G20" s="151"/>
      <c r="H20" s="416"/>
      <c r="I20" s="151"/>
      <c r="J20" s="746"/>
      <c r="K20" s="747"/>
      <c r="L20" s="746"/>
      <c r="M20" s="747"/>
      <c r="N20" s="746"/>
      <c r="O20" s="747"/>
      <c r="P20" s="153"/>
      <c r="Q20" s="154"/>
      <c r="R20" s="155"/>
      <c r="S20" s="156"/>
    </row>
    <row r="21" spans="1:19" ht="16.5" customHeight="1" thickBot="1" x14ac:dyDescent="0.25">
      <c r="A21" s="745"/>
      <c r="B21" s="708">
        <f>10220-10220</f>
        <v>0</v>
      </c>
      <c r="C21" s="709"/>
      <c r="D21" s="157"/>
      <c r="E21" s="158"/>
      <c r="F21" s="157"/>
      <c r="G21" s="159"/>
      <c r="H21" s="157"/>
      <c r="I21" s="159"/>
      <c r="J21" s="695"/>
      <c r="K21" s="710"/>
      <c r="L21" s="695"/>
      <c r="M21" s="710"/>
      <c r="N21" s="695"/>
      <c r="O21" s="710"/>
      <c r="P21" s="133">
        <f>J21+L21+N21</f>
        <v>0</v>
      </c>
      <c r="Q21" s="134" t="s">
        <v>100</v>
      </c>
      <c r="R21" s="135">
        <f>P21+H21+F21+D21+B21</f>
        <v>0</v>
      </c>
      <c r="S21" s="136" t="s">
        <v>100</v>
      </c>
    </row>
    <row r="22" spans="1:19" ht="16.5" customHeight="1" x14ac:dyDescent="0.2">
      <c r="A22" s="160" t="s">
        <v>108</v>
      </c>
      <c r="B22" s="416"/>
      <c r="C22" s="151"/>
      <c r="D22" s="416"/>
      <c r="E22" s="152"/>
      <c r="F22" s="416"/>
      <c r="G22" s="151"/>
      <c r="H22" s="416"/>
      <c r="I22" s="151"/>
      <c r="J22" s="161"/>
      <c r="K22" s="162"/>
      <c r="L22" s="161"/>
      <c r="M22" s="162"/>
      <c r="N22" s="161"/>
      <c r="O22" s="162"/>
      <c r="P22" s="153"/>
      <c r="Q22" s="154"/>
      <c r="R22" s="155"/>
      <c r="S22" s="156"/>
    </row>
    <row r="23" spans="1:19" ht="16.5" customHeight="1" thickBot="1" x14ac:dyDescent="0.25">
      <c r="A23" s="163"/>
      <c r="B23" s="708">
        <v>0</v>
      </c>
      <c r="C23" s="709"/>
      <c r="D23" s="157"/>
      <c r="E23" s="158"/>
      <c r="F23" s="157"/>
      <c r="G23" s="159"/>
      <c r="H23" s="429">
        <v>13298</v>
      </c>
      <c r="I23" s="430"/>
      <c r="J23" s="738">
        <v>12078</v>
      </c>
      <c r="K23" s="739"/>
      <c r="L23" s="738">
        <v>3660</v>
      </c>
      <c r="M23" s="739"/>
      <c r="N23" s="740"/>
      <c r="O23" s="741"/>
      <c r="P23" s="133">
        <f>J23+L23+N23</f>
        <v>15738</v>
      </c>
      <c r="Q23" s="134" t="s">
        <v>100</v>
      </c>
      <c r="R23" s="135">
        <f>P23+H23+F23+D23+B23</f>
        <v>29036</v>
      </c>
      <c r="S23" s="136" t="s">
        <v>100</v>
      </c>
    </row>
    <row r="24" spans="1:19" ht="16.5" customHeight="1" x14ac:dyDescent="0.2">
      <c r="A24" s="160" t="s">
        <v>109</v>
      </c>
      <c r="B24" s="416"/>
      <c r="C24" s="151"/>
      <c r="D24" s="416"/>
      <c r="E24" s="152"/>
      <c r="F24" s="416"/>
      <c r="G24" s="151"/>
      <c r="H24" s="416"/>
      <c r="I24" s="151"/>
      <c r="J24" s="161"/>
      <c r="K24" s="162"/>
      <c r="L24" s="161"/>
      <c r="M24" s="162"/>
      <c r="N24" s="161"/>
      <c r="O24" s="162"/>
      <c r="P24" s="153"/>
      <c r="Q24" s="154"/>
      <c r="R24" s="155"/>
      <c r="S24" s="156"/>
    </row>
    <row r="25" spans="1:19" ht="16.5" customHeight="1" thickBot="1" x14ac:dyDescent="0.25">
      <c r="A25" s="163"/>
      <c r="B25" s="708">
        <v>520500</v>
      </c>
      <c r="C25" s="709"/>
      <c r="D25" s="157"/>
      <c r="E25" s="158"/>
      <c r="F25" s="157"/>
      <c r="G25" s="159"/>
      <c r="H25" s="157"/>
      <c r="I25" s="159"/>
      <c r="J25" s="734"/>
      <c r="K25" s="735"/>
      <c r="L25" s="734"/>
      <c r="M25" s="735"/>
      <c r="N25" s="734"/>
      <c r="O25" s="735"/>
      <c r="P25" s="133">
        <f>J25+L25+N25</f>
        <v>0</v>
      </c>
      <c r="Q25" s="134" t="s">
        <v>100</v>
      </c>
      <c r="R25" s="135">
        <f>P25+H25+F25+D25+B25</f>
        <v>520500</v>
      </c>
      <c r="S25" s="136" t="s">
        <v>100</v>
      </c>
    </row>
    <row r="26" spans="1:19" s="423" customFormat="1" ht="20.25" customHeight="1" thickBot="1" x14ac:dyDescent="0.25">
      <c r="A26" s="109" t="s">
        <v>110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736"/>
      <c r="S26" s="737"/>
    </row>
    <row r="27" spans="1:19" ht="14.25" customHeight="1" x14ac:dyDescent="0.2">
      <c r="A27" s="164" t="s">
        <v>111</v>
      </c>
      <c r="B27" s="164"/>
      <c r="C27" s="165"/>
      <c r="D27" s="164"/>
      <c r="E27" s="166"/>
      <c r="F27" s="164"/>
      <c r="G27" s="165"/>
      <c r="H27" s="164"/>
      <c r="I27" s="165"/>
      <c r="J27" s="167">
        <v>8.8000000000000007</v>
      </c>
      <c r="K27" s="168" t="s">
        <v>98</v>
      </c>
      <c r="L27" s="167">
        <v>1.9</v>
      </c>
      <c r="M27" s="168" t="s">
        <v>98</v>
      </c>
      <c r="N27" s="167">
        <v>1.8</v>
      </c>
      <c r="O27" s="168" t="s">
        <v>98</v>
      </c>
      <c r="P27" s="169">
        <f t="shared" ref="P27:P40" si="0">J27+L27+N27</f>
        <v>12.500000000000002</v>
      </c>
      <c r="Q27" s="154" t="s">
        <v>98</v>
      </c>
      <c r="R27" s="170">
        <f t="shared" ref="R27:R41" si="1">P27+H27+F27+D27+B27</f>
        <v>12.500000000000002</v>
      </c>
      <c r="S27" s="156" t="s">
        <v>98</v>
      </c>
    </row>
    <row r="28" spans="1:19" ht="14.25" customHeight="1" thickBot="1" x14ac:dyDescent="0.25">
      <c r="A28" s="171" t="s">
        <v>112</v>
      </c>
      <c r="B28" s="731"/>
      <c r="C28" s="732"/>
      <c r="D28" s="731"/>
      <c r="E28" s="733"/>
      <c r="F28" s="731"/>
      <c r="G28" s="732"/>
      <c r="H28" s="731"/>
      <c r="I28" s="732"/>
      <c r="J28" s="695">
        <f>ROUND(J27*4419000*8/12,0)</f>
        <v>25924800</v>
      </c>
      <c r="K28" s="696"/>
      <c r="L28" s="695">
        <f>ROUND(L27*4419000*8/12,0)</f>
        <v>5597400</v>
      </c>
      <c r="M28" s="696"/>
      <c r="N28" s="695">
        <f>ROUND(N27*4419000*8/12,0)</f>
        <v>5302800</v>
      </c>
      <c r="O28" s="696"/>
      <c r="P28" s="697">
        <f t="shared" si="0"/>
        <v>36825000</v>
      </c>
      <c r="Q28" s="698"/>
      <c r="R28" s="172">
        <f t="shared" si="1"/>
        <v>36825000</v>
      </c>
      <c r="S28" s="173"/>
    </row>
    <row r="29" spans="1:19" ht="14.25" customHeight="1" x14ac:dyDescent="0.2">
      <c r="A29" s="174" t="s">
        <v>113</v>
      </c>
      <c r="B29" s="164"/>
      <c r="C29" s="165"/>
      <c r="D29" s="164"/>
      <c r="E29" s="166"/>
      <c r="F29" s="164"/>
      <c r="G29" s="165"/>
      <c r="H29" s="164"/>
      <c r="I29" s="165"/>
      <c r="J29" s="175">
        <v>7.8</v>
      </c>
      <c r="K29" s="162" t="s">
        <v>98</v>
      </c>
      <c r="L29" s="176">
        <v>1.8</v>
      </c>
      <c r="M29" s="162" t="s">
        <v>98</v>
      </c>
      <c r="N29" s="175">
        <v>1.5</v>
      </c>
      <c r="O29" s="162" t="s">
        <v>98</v>
      </c>
      <c r="P29" s="169">
        <f t="shared" si="0"/>
        <v>11.1</v>
      </c>
      <c r="Q29" s="154" t="s">
        <v>98</v>
      </c>
      <c r="R29" s="170">
        <f t="shared" si="1"/>
        <v>11.1</v>
      </c>
      <c r="S29" s="156" t="s">
        <v>98</v>
      </c>
    </row>
    <row r="30" spans="1:19" ht="14.25" customHeight="1" thickBot="1" x14ac:dyDescent="0.25">
      <c r="A30" s="171" t="s">
        <v>114</v>
      </c>
      <c r="B30" s="731"/>
      <c r="C30" s="732"/>
      <c r="D30" s="731"/>
      <c r="E30" s="733"/>
      <c r="F30" s="731"/>
      <c r="G30" s="732"/>
      <c r="H30" s="731"/>
      <c r="I30" s="732"/>
      <c r="J30" s="695">
        <f>ROUND(J29*4419000*4/12,0)</f>
        <v>11489400</v>
      </c>
      <c r="K30" s="696"/>
      <c r="L30" s="695">
        <f>ROUND(L29*4419000*4/12,0)</f>
        <v>2651400</v>
      </c>
      <c r="M30" s="696"/>
      <c r="N30" s="695">
        <f>ROUND(N29*4419000*4/12,0)</f>
        <v>2209500</v>
      </c>
      <c r="O30" s="696"/>
      <c r="P30" s="697">
        <f t="shared" si="0"/>
        <v>16350300</v>
      </c>
      <c r="Q30" s="698"/>
      <c r="R30" s="172">
        <f t="shared" si="1"/>
        <v>16350300</v>
      </c>
      <c r="S30" s="173"/>
    </row>
    <row r="31" spans="1:19" ht="14.25" customHeight="1" x14ac:dyDescent="0.2">
      <c r="A31" s="177" t="s">
        <v>115</v>
      </c>
      <c r="B31" s="178"/>
      <c r="C31" s="179"/>
      <c r="D31" s="178"/>
      <c r="E31" s="180"/>
      <c r="F31" s="178"/>
      <c r="G31" s="179"/>
      <c r="H31" s="178"/>
      <c r="I31" s="179"/>
      <c r="J31" s="175">
        <v>5</v>
      </c>
      <c r="K31" s="181" t="s">
        <v>98</v>
      </c>
      <c r="L31" s="167">
        <v>1</v>
      </c>
      <c r="M31" s="181" t="s">
        <v>98</v>
      </c>
      <c r="N31" s="167">
        <v>1</v>
      </c>
      <c r="O31" s="181" t="s">
        <v>98</v>
      </c>
      <c r="P31" s="169">
        <f t="shared" si="0"/>
        <v>7</v>
      </c>
      <c r="Q31" s="154" t="s">
        <v>98</v>
      </c>
      <c r="R31" s="170">
        <f t="shared" si="1"/>
        <v>7</v>
      </c>
      <c r="S31" s="156" t="s">
        <v>98</v>
      </c>
    </row>
    <row r="32" spans="1:19" ht="14.25" customHeight="1" thickBot="1" x14ac:dyDescent="0.25">
      <c r="A32" s="163" t="s">
        <v>116</v>
      </c>
      <c r="B32" s="731"/>
      <c r="C32" s="732"/>
      <c r="D32" s="731"/>
      <c r="E32" s="733"/>
      <c r="F32" s="731"/>
      <c r="G32" s="732"/>
      <c r="H32" s="731"/>
      <c r="I32" s="732"/>
      <c r="J32" s="695">
        <f>ROUND(J31*2205000*8/12,0)</f>
        <v>7350000</v>
      </c>
      <c r="K32" s="696"/>
      <c r="L32" s="695">
        <f>ROUND(L31*2205000*8/12,0)</f>
        <v>1470000</v>
      </c>
      <c r="M32" s="696"/>
      <c r="N32" s="695">
        <f>ROUND(N31*2205000*8/12,0)</f>
        <v>1470000</v>
      </c>
      <c r="O32" s="696"/>
      <c r="P32" s="697">
        <f t="shared" si="0"/>
        <v>10290000</v>
      </c>
      <c r="Q32" s="698"/>
      <c r="R32" s="172">
        <f t="shared" si="1"/>
        <v>10290000</v>
      </c>
      <c r="S32" s="173"/>
    </row>
    <row r="33" spans="1:19" ht="14.25" customHeight="1" x14ac:dyDescent="0.2">
      <c r="A33" s="177" t="s">
        <v>115</v>
      </c>
      <c r="B33" s="178"/>
      <c r="C33" s="179"/>
      <c r="D33" s="178"/>
      <c r="E33" s="180"/>
      <c r="F33" s="178"/>
      <c r="G33" s="179"/>
      <c r="H33" s="178"/>
      <c r="I33" s="179"/>
      <c r="J33" s="175">
        <v>5</v>
      </c>
      <c r="K33" s="181" t="s">
        <v>98</v>
      </c>
      <c r="L33" s="167">
        <v>1</v>
      </c>
      <c r="M33" s="181" t="s">
        <v>98</v>
      </c>
      <c r="N33" s="167">
        <v>1</v>
      </c>
      <c r="O33" s="181" t="s">
        <v>98</v>
      </c>
      <c r="P33" s="169">
        <f t="shared" si="0"/>
        <v>7</v>
      </c>
      <c r="Q33" s="154" t="s">
        <v>98</v>
      </c>
      <c r="R33" s="170">
        <f t="shared" si="1"/>
        <v>7</v>
      </c>
      <c r="S33" s="156" t="s">
        <v>98</v>
      </c>
    </row>
    <row r="34" spans="1:19" ht="14.25" customHeight="1" thickBot="1" x14ac:dyDescent="0.25">
      <c r="A34" s="163" t="s">
        <v>117</v>
      </c>
      <c r="B34" s="731"/>
      <c r="C34" s="732"/>
      <c r="D34" s="731"/>
      <c r="E34" s="733"/>
      <c r="F34" s="731"/>
      <c r="G34" s="732"/>
      <c r="H34" s="731"/>
      <c r="I34" s="732"/>
      <c r="J34" s="414">
        <f>ROUND(J33*2205000*4/12,0)</f>
        <v>3675000</v>
      </c>
      <c r="K34" s="415"/>
      <c r="L34" s="695">
        <f>ROUND(L33*2205000*4/12,0)</f>
        <v>735000</v>
      </c>
      <c r="M34" s="696"/>
      <c r="N34" s="414">
        <f>ROUND(N33*2205000*4/12,0)</f>
        <v>735000</v>
      </c>
      <c r="O34" s="415"/>
      <c r="P34" s="697">
        <f t="shared" si="0"/>
        <v>5145000</v>
      </c>
      <c r="Q34" s="698"/>
      <c r="R34" s="121">
        <f t="shared" si="1"/>
        <v>5145000</v>
      </c>
      <c r="S34" s="182"/>
    </row>
    <row r="35" spans="1:19" ht="14.25" customHeight="1" x14ac:dyDescent="0.2">
      <c r="A35" s="729" t="s">
        <v>118</v>
      </c>
      <c r="B35" s="183"/>
      <c r="C35" s="184"/>
      <c r="D35" s="183"/>
      <c r="E35" s="185"/>
      <c r="F35" s="183"/>
      <c r="G35" s="184"/>
      <c r="H35" s="183"/>
      <c r="I35" s="184"/>
      <c r="J35" s="175">
        <v>94</v>
      </c>
      <c r="K35" s="162" t="s">
        <v>98</v>
      </c>
      <c r="L35" s="175">
        <v>21</v>
      </c>
      <c r="M35" s="162" t="s">
        <v>98</v>
      </c>
      <c r="N35" s="175">
        <v>20</v>
      </c>
      <c r="O35" s="162" t="s">
        <v>98</v>
      </c>
      <c r="P35" s="169">
        <f t="shared" si="0"/>
        <v>135</v>
      </c>
      <c r="Q35" s="154" t="s">
        <v>98</v>
      </c>
      <c r="R35" s="186">
        <f t="shared" si="1"/>
        <v>135</v>
      </c>
      <c r="S35" s="156" t="s">
        <v>98</v>
      </c>
    </row>
    <row r="36" spans="1:19" ht="14.25" customHeight="1" thickBot="1" x14ac:dyDescent="0.25">
      <c r="A36" s="730"/>
      <c r="B36" s="731"/>
      <c r="C36" s="732"/>
      <c r="D36" s="731"/>
      <c r="E36" s="733"/>
      <c r="F36" s="731"/>
      <c r="G36" s="732"/>
      <c r="H36" s="731"/>
      <c r="I36" s="732"/>
      <c r="J36" s="695">
        <f>ROUND(J35*81700*8/12,0)</f>
        <v>5119867</v>
      </c>
      <c r="K36" s="696"/>
      <c r="L36" s="695">
        <f>ROUND(L35*81700*8/12,0)</f>
        <v>1143800</v>
      </c>
      <c r="M36" s="696"/>
      <c r="N36" s="695">
        <f>ROUND(N35*81700*8/12,0)</f>
        <v>1089333</v>
      </c>
      <c r="O36" s="696"/>
      <c r="P36" s="697">
        <f t="shared" si="0"/>
        <v>7353000</v>
      </c>
      <c r="Q36" s="698"/>
      <c r="R36" s="172">
        <f t="shared" si="1"/>
        <v>7353000</v>
      </c>
      <c r="S36" s="173"/>
    </row>
    <row r="37" spans="1:19" ht="14.25" customHeight="1" x14ac:dyDescent="0.2">
      <c r="A37" s="729" t="s">
        <v>119</v>
      </c>
      <c r="B37" s="183"/>
      <c r="C37" s="184"/>
      <c r="D37" s="183"/>
      <c r="E37" s="185"/>
      <c r="F37" s="183"/>
      <c r="G37" s="184"/>
      <c r="H37" s="183"/>
      <c r="I37" s="184"/>
      <c r="J37" s="167">
        <v>83</v>
      </c>
      <c r="K37" s="168" t="s">
        <v>98</v>
      </c>
      <c r="L37" s="167">
        <v>20</v>
      </c>
      <c r="M37" s="168" t="s">
        <v>98</v>
      </c>
      <c r="N37" s="167">
        <v>16</v>
      </c>
      <c r="O37" s="168" t="s">
        <v>98</v>
      </c>
      <c r="P37" s="169">
        <f t="shared" si="0"/>
        <v>119</v>
      </c>
      <c r="Q37" s="154" t="s">
        <v>98</v>
      </c>
      <c r="R37" s="186">
        <f t="shared" si="1"/>
        <v>119</v>
      </c>
      <c r="S37" s="156" t="s">
        <v>98</v>
      </c>
    </row>
    <row r="38" spans="1:19" ht="14.25" customHeight="1" thickBot="1" x14ac:dyDescent="0.25">
      <c r="A38" s="730"/>
      <c r="B38" s="731"/>
      <c r="C38" s="732"/>
      <c r="D38" s="731"/>
      <c r="E38" s="733"/>
      <c r="F38" s="731"/>
      <c r="G38" s="732"/>
      <c r="H38" s="731"/>
      <c r="I38" s="732"/>
      <c r="J38" s="695">
        <f>ROUND(J37*81700*4/12,0)</f>
        <v>2260367</v>
      </c>
      <c r="K38" s="696"/>
      <c r="L38" s="695">
        <f>ROUND(L37*81700*4/12,0)</f>
        <v>544667</v>
      </c>
      <c r="M38" s="696"/>
      <c r="N38" s="695">
        <f>ROUND(N37*81700*4/12,0)</f>
        <v>435733</v>
      </c>
      <c r="O38" s="696"/>
      <c r="P38" s="697">
        <f t="shared" si="0"/>
        <v>3240767</v>
      </c>
      <c r="Q38" s="698"/>
      <c r="R38" s="172">
        <f t="shared" si="1"/>
        <v>3240767</v>
      </c>
      <c r="S38" s="173"/>
    </row>
    <row r="39" spans="1:19" ht="14.25" customHeight="1" x14ac:dyDescent="0.2">
      <c r="A39" s="431" t="s">
        <v>120</v>
      </c>
      <c r="B39" s="164"/>
      <c r="C39" s="165"/>
      <c r="D39" s="164"/>
      <c r="E39" s="166"/>
      <c r="F39" s="164"/>
      <c r="G39" s="165"/>
      <c r="H39" s="164"/>
      <c r="I39" s="165"/>
      <c r="J39" s="175">
        <v>1</v>
      </c>
      <c r="K39" s="162" t="s">
        <v>98</v>
      </c>
      <c r="L39" s="187">
        <v>1</v>
      </c>
      <c r="M39" s="162" t="s">
        <v>98</v>
      </c>
      <c r="N39" s="175">
        <v>0</v>
      </c>
      <c r="O39" s="162" t="s">
        <v>98</v>
      </c>
      <c r="P39" s="169">
        <f t="shared" si="0"/>
        <v>2</v>
      </c>
      <c r="Q39" s="154" t="s">
        <v>98</v>
      </c>
      <c r="R39" s="170">
        <f t="shared" si="1"/>
        <v>2</v>
      </c>
      <c r="S39" s="156" t="s">
        <v>98</v>
      </c>
    </row>
    <row r="40" spans="1:19" ht="14.25" customHeight="1" thickBot="1" x14ac:dyDescent="0.25">
      <c r="A40" s="432" t="s">
        <v>121</v>
      </c>
      <c r="B40" s="726"/>
      <c r="C40" s="727"/>
      <c r="D40" s="726"/>
      <c r="E40" s="728"/>
      <c r="F40" s="726"/>
      <c r="G40" s="727"/>
      <c r="H40" s="726"/>
      <c r="I40" s="727"/>
      <c r="J40" s="701">
        <f>ROUND(1*401000,0)</f>
        <v>401000</v>
      </c>
      <c r="K40" s="723"/>
      <c r="L40" s="701">
        <f>ROUND(1*401000,0)</f>
        <v>401000</v>
      </c>
      <c r="M40" s="723"/>
      <c r="N40" s="701">
        <v>0</v>
      </c>
      <c r="O40" s="723"/>
      <c r="P40" s="697">
        <f t="shared" si="0"/>
        <v>802000</v>
      </c>
      <c r="Q40" s="698"/>
      <c r="R40" s="172">
        <f t="shared" si="1"/>
        <v>802000</v>
      </c>
      <c r="S40" s="173"/>
    </row>
    <row r="41" spans="1:19" ht="14.25" customHeight="1" x14ac:dyDescent="0.2">
      <c r="A41" s="433" t="s">
        <v>356</v>
      </c>
      <c r="B41" s="164"/>
      <c r="C41" s="165"/>
      <c r="D41" s="164"/>
      <c r="E41" s="166"/>
      <c r="F41" s="164"/>
      <c r="G41" s="165"/>
      <c r="H41" s="164"/>
      <c r="I41" s="165"/>
      <c r="J41" s="175"/>
      <c r="K41" s="162"/>
      <c r="L41" s="187"/>
      <c r="M41" s="162"/>
      <c r="N41" s="175"/>
      <c r="O41" s="162"/>
      <c r="P41" s="169"/>
      <c r="Q41" s="154"/>
      <c r="R41" s="170">
        <f t="shared" si="1"/>
        <v>0</v>
      </c>
      <c r="S41" s="156" t="s">
        <v>98</v>
      </c>
    </row>
    <row r="42" spans="1:19" ht="14.25" customHeight="1" thickBot="1" x14ac:dyDescent="0.25">
      <c r="A42" s="434" t="s">
        <v>357</v>
      </c>
      <c r="B42" s="726"/>
      <c r="C42" s="727"/>
      <c r="D42" s="726"/>
      <c r="E42" s="728"/>
      <c r="F42" s="726"/>
      <c r="G42" s="727"/>
      <c r="H42" s="726"/>
      <c r="I42" s="727"/>
      <c r="J42" s="701"/>
      <c r="K42" s="723"/>
      <c r="L42" s="701"/>
      <c r="M42" s="723"/>
      <c r="N42" s="701">
        <v>132000</v>
      </c>
      <c r="O42" s="723"/>
      <c r="P42" s="697">
        <f>J42+L42+N42</f>
        <v>132000</v>
      </c>
      <c r="Q42" s="698"/>
      <c r="R42" s="172">
        <f>P42+H42+F42+D42+B42</f>
        <v>132000</v>
      </c>
      <c r="S42" s="173"/>
    </row>
    <row r="43" spans="1:19" s="423" customFormat="1" ht="20.25" customHeight="1" thickBot="1" x14ac:dyDescent="0.25">
      <c r="A43" s="109" t="s">
        <v>122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724"/>
      <c r="S43" s="725"/>
    </row>
    <row r="44" spans="1:19" ht="16.5" customHeight="1" x14ac:dyDescent="0.2">
      <c r="A44" s="178" t="s">
        <v>123</v>
      </c>
      <c r="B44" s="183"/>
      <c r="C44" s="184"/>
      <c r="D44" s="183"/>
      <c r="E44" s="185"/>
      <c r="F44" s="183"/>
      <c r="G44" s="184"/>
      <c r="H44" s="183"/>
      <c r="I44" s="184"/>
      <c r="J44" s="417"/>
      <c r="K44" s="168"/>
      <c r="L44" s="417"/>
      <c r="M44" s="168"/>
      <c r="N44" s="417"/>
      <c r="O44" s="168"/>
      <c r="P44" s="153"/>
      <c r="Q44" s="154"/>
      <c r="R44" s="170">
        <f t="shared" ref="R44:R59" si="2">P44+H44+F44+D44+B44</f>
        <v>0</v>
      </c>
      <c r="S44" s="156" t="s">
        <v>98</v>
      </c>
    </row>
    <row r="45" spans="1:19" ht="16.5" customHeight="1" thickBot="1" x14ac:dyDescent="0.25">
      <c r="A45" s="163"/>
      <c r="B45" s="708"/>
      <c r="C45" s="709"/>
      <c r="D45" s="715"/>
      <c r="E45" s="716"/>
      <c r="F45" s="715">
        <v>689324</v>
      </c>
      <c r="G45" s="717"/>
      <c r="H45" s="715"/>
      <c r="I45" s="717"/>
      <c r="J45" s="695"/>
      <c r="K45" s="710"/>
      <c r="L45" s="695"/>
      <c r="M45" s="710"/>
      <c r="N45" s="695"/>
      <c r="O45" s="710"/>
      <c r="P45" s="697"/>
      <c r="Q45" s="698"/>
      <c r="R45" s="172">
        <f t="shared" si="2"/>
        <v>689324</v>
      </c>
      <c r="S45" s="173"/>
    </row>
    <row r="46" spans="1:19" ht="16.5" customHeight="1" x14ac:dyDescent="0.2">
      <c r="A46" s="177" t="s">
        <v>124</v>
      </c>
      <c r="B46" s="416"/>
      <c r="C46" s="151"/>
      <c r="D46" s="416"/>
      <c r="E46" s="152"/>
      <c r="F46" s="416"/>
      <c r="G46" s="151"/>
      <c r="H46" s="416"/>
      <c r="I46" s="151"/>
      <c r="J46" s="161"/>
      <c r="K46" s="162"/>
      <c r="L46" s="161"/>
      <c r="M46" s="162"/>
      <c r="N46" s="161"/>
      <c r="O46" s="162"/>
      <c r="P46" s="153"/>
      <c r="Q46" s="154"/>
      <c r="R46" s="170">
        <f t="shared" si="2"/>
        <v>0</v>
      </c>
      <c r="S46" s="156" t="s">
        <v>98</v>
      </c>
    </row>
    <row r="47" spans="1:19" ht="16.5" customHeight="1" thickBot="1" x14ac:dyDescent="0.25">
      <c r="A47" s="163" t="s">
        <v>125</v>
      </c>
      <c r="B47" s="708">
        <v>15294000</v>
      </c>
      <c r="C47" s="709"/>
      <c r="D47" s="157"/>
      <c r="E47" s="158"/>
      <c r="F47" s="157"/>
      <c r="G47" s="159"/>
      <c r="H47" s="157"/>
      <c r="I47" s="159"/>
      <c r="J47" s="695"/>
      <c r="K47" s="710"/>
      <c r="L47" s="695"/>
      <c r="M47" s="710"/>
      <c r="N47" s="695"/>
      <c r="O47" s="710"/>
      <c r="P47" s="697"/>
      <c r="Q47" s="698"/>
      <c r="R47" s="172">
        <f t="shared" si="2"/>
        <v>15294000</v>
      </c>
      <c r="S47" s="173"/>
    </row>
    <row r="48" spans="1:19" ht="16.5" customHeight="1" x14ac:dyDescent="0.2">
      <c r="A48" s="177" t="s">
        <v>126</v>
      </c>
      <c r="B48" s="183"/>
      <c r="C48" s="184"/>
      <c r="D48" s="183"/>
      <c r="E48" s="185"/>
      <c r="F48" s="404">
        <v>36</v>
      </c>
      <c r="G48" s="188" t="s">
        <v>98</v>
      </c>
      <c r="H48" s="183"/>
      <c r="I48" s="184"/>
      <c r="J48" s="417"/>
      <c r="K48" s="418"/>
      <c r="L48" s="417"/>
      <c r="M48" s="418"/>
      <c r="N48" s="417"/>
      <c r="O48" s="418"/>
      <c r="P48" s="419"/>
      <c r="Q48" s="420"/>
      <c r="R48" s="170">
        <f t="shared" si="2"/>
        <v>36</v>
      </c>
      <c r="S48" s="156" t="s">
        <v>98</v>
      </c>
    </row>
    <row r="49" spans="1:19" ht="16.5" customHeight="1" thickBot="1" x14ac:dyDescent="0.25">
      <c r="A49" s="157" t="s">
        <v>127</v>
      </c>
      <c r="B49" s="708"/>
      <c r="C49" s="709"/>
      <c r="D49" s="715"/>
      <c r="E49" s="716"/>
      <c r="F49" s="713">
        <f>F48*55360</f>
        <v>1992960</v>
      </c>
      <c r="G49" s="722"/>
      <c r="H49" s="715"/>
      <c r="I49" s="717"/>
      <c r="J49" s="695"/>
      <c r="K49" s="710"/>
      <c r="L49" s="695"/>
      <c r="M49" s="710"/>
      <c r="N49" s="695"/>
      <c r="O49" s="710"/>
      <c r="P49" s="697"/>
      <c r="Q49" s="698"/>
      <c r="R49" s="172">
        <f t="shared" si="2"/>
        <v>1992960</v>
      </c>
      <c r="S49" s="173"/>
    </row>
    <row r="50" spans="1:19" ht="16.5" customHeight="1" x14ac:dyDescent="0.2">
      <c r="A50" s="177" t="s">
        <v>128</v>
      </c>
      <c r="B50" s="183"/>
      <c r="C50" s="184"/>
      <c r="D50" s="183"/>
      <c r="E50" s="185"/>
      <c r="F50" s="404">
        <v>2</v>
      </c>
      <c r="G50" s="188" t="s">
        <v>98</v>
      </c>
      <c r="H50" s="183"/>
      <c r="I50" s="184"/>
      <c r="J50" s="417"/>
      <c r="K50" s="418"/>
      <c r="L50" s="417"/>
      <c r="M50" s="418"/>
      <c r="N50" s="417"/>
      <c r="O50" s="418"/>
      <c r="P50" s="419"/>
      <c r="Q50" s="420"/>
      <c r="R50" s="170">
        <f t="shared" si="2"/>
        <v>2</v>
      </c>
      <c r="S50" s="156" t="s">
        <v>98</v>
      </c>
    </row>
    <row r="51" spans="1:19" ht="16.5" customHeight="1" thickBot="1" x14ac:dyDescent="0.25">
      <c r="A51" s="163" t="s">
        <v>129</v>
      </c>
      <c r="B51" s="708"/>
      <c r="C51" s="709"/>
      <c r="D51" s="715"/>
      <c r="E51" s="716"/>
      <c r="F51" s="713">
        <f>F50*25000</f>
        <v>50000</v>
      </c>
      <c r="G51" s="722"/>
      <c r="H51" s="715"/>
      <c r="I51" s="717"/>
      <c r="J51" s="695"/>
      <c r="K51" s="710"/>
      <c r="L51" s="695"/>
      <c r="M51" s="710"/>
      <c r="N51" s="695"/>
      <c r="O51" s="710"/>
      <c r="P51" s="697"/>
      <c r="Q51" s="698"/>
      <c r="R51" s="172">
        <f t="shared" si="2"/>
        <v>50000</v>
      </c>
      <c r="S51" s="173"/>
    </row>
    <row r="52" spans="1:19" ht="15.75" customHeight="1" x14ac:dyDescent="0.2">
      <c r="A52" s="177" t="s">
        <v>128</v>
      </c>
      <c r="B52" s="183"/>
      <c r="C52" s="184"/>
      <c r="D52" s="183"/>
      <c r="E52" s="185"/>
      <c r="F52" s="404">
        <v>7</v>
      </c>
      <c r="G52" s="188" t="s">
        <v>98</v>
      </c>
      <c r="H52" s="183"/>
      <c r="I52" s="184"/>
      <c r="J52" s="417"/>
      <c r="K52" s="418"/>
      <c r="L52" s="417"/>
      <c r="M52" s="418"/>
      <c r="N52" s="417"/>
      <c r="O52" s="418"/>
      <c r="P52" s="419"/>
      <c r="Q52" s="420"/>
      <c r="R52" s="170">
        <f t="shared" si="2"/>
        <v>7</v>
      </c>
      <c r="S52" s="156" t="s">
        <v>98</v>
      </c>
    </row>
    <row r="53" spans="1:19" ht="16.5" customHeight="1" thickBot="1" x14ac:dyDescent="0.25">
      <c r="A53" s="163" t="s">
        <v>130</v>
      </c>
      <c r="B53" s="708"/>
      <c r="C53" s="709"/>
      <c r="D53" s="715"/>
      <c r="E53" s="717"/>
      <c r="F53" s="713">
        <f>F52*330000</f>
        <v>2310000</v>
      </c>
      <c r="G53" s="722"/>
      <c r="H53" s="715"/>
      <c r="I53" s="717"/>
      <c r="J53" s="695"/>
      <c r="K53" s="696"/>
      <c r="L53" s="695"/>
      <c r="M53" s="696"/>
      <c r="N53" s="695"/>
      <c r="O53" s="710"/>
      <c r="P53" s="697"/>
      <c r="Q53" s="721"/>
      <c r="R53" s="172">
        <f t="shared" si="2"/>
        <v>2310000</v>
      </c>
      <c r="S53" s="173"/>
    </row>
    <row r="54" spans="1:19" ht="16.5" customHeight="1" x14ac:dyDescent="0.2">
      <c r="A54" s="177" t="s">
        <v>131</v>
      </c>
      <c r="B54" s="183"/>
      <c r="C54" s="184"/>
      <c r="D54" s="183"/>
      <c r="E54" s="185"/>
      <c r="F54" s="404">
        <v>24</v>
      </c>
      <c r="G54" s="188" t="s">
        <v>98</v>
      </c>
      <c r="H54" s="183"/>
      <c r="I54" s="184"/>
      <c r="J54" s="417"/>
      <c r="K54" s="418"/>
      <c r="L54" s="417"/>
      <c r="M54" s="418"/>
      <c r="N54" s="417"/>
      <c r="O54" s="418"/>
      <c r="P54" s="419"/>
      <c r="Q54" s="420"/>
      <c r="R54" s="170">
        <f t="shared" si="2"/>
        <v>24</v>
      </c>
      <c r="S54" s="156" t="s">
        <v>98</v>
      </c>
    </row>
    <row r="55" spans="1:19" ht="16.5" customHeight="1" thickBot="1" x14ac:dyDescent="0.25">
      <c r="A55" s="157" t="s">
        <v>132</v>
      </c>
      <c r="B55" s="708"/>
      <c r="C55" s="709"/>
      <c r="D55" s="715"/>
      <c r="E55" s="716"/>
      <c r="F55" s="713">
        <f>F54*109000</f>
        <v>2616000</v>
      </c>
      <c r="G55" s="722"/>
      <c r="H55" s="715"/>
      <c r="I55" s="717"/>
      <c r="J55" s="701"/>
      <c r="K55" s="702"/>
      <c r="L55" s="701"/>
      <c r="M55" s="702"/>
      <c r="N55" s="695"/>
      <c r="O55" s="710"/>
      <c r="P55" s="697"/>
      <c r="Q55" s="698"/>
      <c r="R55" s="172">
        <f t="shared" si="2"/>
        <v>2616000</v>
      </c>
      <c r="S55" s="173"/>
    </row>
    <row r="56" spans="1:19" ht="16.5" customHeight="1" x14ac:dyDescent="0.2">
      <c r="A56" s="189" t="s">
        <v>133</v>
      </c>
      <c r="B56" s="189"/>
      <c r="C56" s="190"/>
      <c r="D56" s="189"/>
      <c r="E56" s="191"/>
      <c r="F56" s="189"/>
      <c r="G56" s="190"/>
      <c r="H56" s="189"/>
      <c r="I56" s="190"/>
      <c r="J56" s="192"/>
      <c r="K56" s="181"/>
      <c r="L56" s="192"/>
      <c r="M56" s="162"/>
      <c r="N56" s="192"/>
      <c r="O56" s="162"/>
      <c r="P56" s="153"/>
      <c r="Q56" s="154"/>
      <c r="R56" s="170">
        <f t="shared" si="2"/>
        <v>0</v>
      </c>
      <c r="S56" s="156" t="s">
        <v>98</v>
      </c>
    </row>
    <row r="57" spans="1:19" ht="16.5" customHeight="1" thickBot="1" x14ac:dyDescent="0.25">
      <c r="A57" s="193" t="s">
        <v>134</v>
      </c>
      <c r="B57" s="713">
        <v>10488000</v>
      </c>
      <c r="C57" s="714"/>
      <c r="D57" s="715"/>
      <c r="E57" s="716"/>
      <c r="F57" s="715"/>
      <c r="G57" s="717"/>
      <c r="H57" s="715"/>
      <c r="I57" s="717"/>
      <c r="J57" s="718"/>
      <c r="K57" s="719"/>
      <c r="L57" s="711"/>
      <c r="M57" s="712"/>
      <c r="N57" s="711"/>
      <c r="O57" s="712"/>
      <c r="P57" s="697"/>
      <c r="Q57" s="698"/>
      <c r="R57" s="172">
        <f t="shared" si="2"/>
        <v>10488000</v>
      </c>
      <c r="S57" s="173"/>
    </row>
    <row r="58" spans="1:19" ht="16.5" customHeight="1" x14ac:dyDescent="0.2">
      <c r="A58" s="189" t="s">
        <v>135</v>
      </c>
      <c r="B58" s="194"/>
      <c r="C58" s="195"/>
      <c r="D58" s="189"/>
      <c r="E58" s="191"/>
      <c r="F58" s="189"/>
      <c r="G58" s="190"/>
      <c r="H58" s="189"/>
      <c r="I58" s="190"/>
      <c r="J58" s="192"/>
      <c r="K58" s="181"/>
      <c r="L58" s="192"/>
      <c r="M58" s="181"/>
      <c r="N58" s="192"/>
      <c r="O58" s="181"/>
      <c r="P58" s="153"/>
      <c r="Q58" s="154"/>
      <c r="R58" s="170">
        <f t="shared" si="2"/>
        <v>0</v>
      </c>
      <c r="S58" s="156" t="s">
        <v>98</v>
      </c>
    </row>
    <row r="59" spans="1:19" ht="16.5" customHeight="1" thickBot="1" x14ac:dyDescent="0.25">
      <c r="A59" s="193" t="s">
        <v>136</v>
      </c>
      <c r="B59" s="713">
        <v>3100238</v>
      </c>
      <c r="C59" s="714"/>
      <c r="D59" s="715"/>
      <c r="E59" s="716"/>
      <c r="F59" s="715"/>
      <c r="G59" s="717"/>
      <c r="H59" s="715"/>
      <c r="I59" s="717"/>
      <c r="J59" s="718"/>
      <c r="K59" s="719"/>
      <c r="L59" s="695"/>
      <c r="M59" s="696"/>
      <c r="N59" s="718"/>
      <c r="O59" s="720"/>
      <c r="P59" s="697"/>
      <c r="Q59" s="698"/>
      <c r="R59" s="172">
        <f t="shared" si="2"/>
        <v>3100238</v>
      </c>
      <c r="S59" s="173"/>
    </row>
    <row r="60" spans="1:19" s="423" customFormat="1" ht="20.25" customHeight="1" thickBot="1" x14ac:dyDescent="0.25">
      <c r="A60" s="109" t="s">
        <v>137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689"/>
      <c r="S60" s="690"/>
    </row>
    <row r="61" spans="1:19" ht="16.5" customHeight="1" x14ac:dyDescent="0.2">
      <c r="A61" s="178" t="s">
        <v>138</v>
      </c>
      <c r="B61" s="183"/>
      <c r="C61" s="184"/>
      <c r="D61" s="183"/>
      <c r="E61" s="185"/>
      <c r="F61" s="196"/>
      <c r="G61" s="184"/>
      <c r="H61" s="196">
        <v>2717</v>
      </c>
      <c r="I61" s="184" t="s">
        <v>98</v>
      </c>
      <c r="J61" s="417"/>
      <c r="K61" s="168"/>
      <c r="L61" s="417"/>
      <c r="M61" s="168"/>
      <c r="N61" s="417"/>
      <c r="O61" s="168"/>
      <c r="P61" s="153"/>
      <c r="Q61" s="154"/>
      <c r="R61" s="170">
        <f t="shared" ref="R61:R66" si="3">P61+H61+F61+D61+B61</f>
        <v>2717</v>
      </c>
      <c r="S61" s="156" t="s">
        <v>98</v>
      </c>
    </row>
    <row r="62" spans="1:19" ht="16.5" customHeight="1" thickBot="1" x14ac:dyDescent="0.25">
      <c r="A62" s="163" t="s">
        <v>139</v>
      </c>
      <c r="B62" s="708"/>
      <c r="C62" s="709"/>
      <c r="D62" s="157"/>
      <c r="E62" s="158"/>
      <c r="F62" s="693"/>
      <c r="G62" s="694"/>
      <c r="H62" s="693">
        <f>H61*1210</f>
        <v>3287570</v>
      </c>
      <c r="I62" s="694"/>
      <c r="J62" s="695"/>
      <c r="K62" s="710"/>
      <c r="L62" s="695"/>
      <c r="M62" s="710"/>
      <c r="N62" s="695"/>
      <c r="O62" s="710"/>
      <c r="P62" s="697"/>
      <c r="Q62" s="698"/>
      <c r="R62" s="172">
        <f t="shared" si="3"/>
        <v>3287570</v>
      </c>
      <c r="S62" s="173"/>
    </row>
    <row r="63" spans="1:19" x14ac:dyDescent="0.2">
      <c r="A63" s="177" t="s">
        <v>140</v>
      </c>
      <c r="B63" s="416"/>
      <c r="C63" s="151"/>
      <c r="D63" s="416"/>
      <c r="E63" s="152"/>
      <c r="F63" s="416"/>
      <c r="G63" s="151"/>
      <c r="H63" s="416"/>
      <c r="I63" s="151"/>
      <c r="J63" s="161"/>
      <c r="K63" s="162"/>
      <c r="L63" s="161"/>
      <c r="M63" s="162"/>
      <c r="N63" s="161"/>
      <c r="O63" s="435"/>
      <c r="P63" s="436"/>
      <c r="Q63" s="437"/>
      <c r="R63" s="438">
        <f t="shared" si="3"/>
        <v>0</v>
      </c>
      <c r="S63" s="156" t="s">
        <v>98</v>
      </c>
    </row>
    <row r="64" spans="1:19" ht="13.5" thickBot="1" x14ac:dyDescent="0.25">
      <c r="A64" s="197" t="s">
        <v>141</v>
      </c>
      <c r="B64" s="699"/>
      <c r="C64" s="700"/>
      <c r="D64" s="183"/>
      <c r="E64" s="185"/>
      <c r="F64" s="183"/>
      <c r="G64" s="184"/>
      <c r="H64" s="88">
        <v>291056</v>
      </c>
      <c r="I64" s="184"/>
      <c r="J64" s="701"/>
      <c r="K64" s="702"/>
      <c r="L64" s="701"/>
      <c r="M64" s="702"/>
      <c r="N64" s="701"/>
      <c r="O64" s="703"/>
      <c r="P64" s="704"/>
      <c r="Q64" s="705"/>
      <c r="R64" s="439">
        <f t="shared" si="3"/>
        <v>291056</v>
      </c>
      <c r="S64" s="173"/>
    </row>
    <row r="65" spans="1:19" x14ac:dyDescent="0.2">
      <c r="A65" s="177" t="s">
        <v>142</v>
      </c>
      <c r="B65" s="416"/>
      <c r="C65" s="151"/>
      <c r="D65" s="416"/>
      <c r="E65" s="152"/>
      <c r="F65" s="416"/>
      <c r="G65" s="151"/>
      <c r="H65" s="416"/>
      <c r="I65" s="151"/>
      <c r="J65" s="161"/>
      <c r="K65" s="162"/>
      <c r="L65" s="161"/>
      <c r="M65" s="162"/>
      <c r="N65" s="161"/>
      <c r="O65" s="162"/>
      <c r="P65" s="153"/>
      <c r="Q65" s="154"/>
      <c r="R65" s="170">
        <f t="shared" si="3"/>
        <v>0</v>
      </c>
      <c r="S65" s="156" t="s">
        <v>98</v>
      </c>
    </row>
    <row r="66" spans="1:19" ht="13.5" thickBot="1" x14ac:dyDescent="0.25">
      <c r="A66" s="197"/>
      <c r="B66" s="699"/>
      <c r="C66" s="700"/>
      <c r="D66" s="183"/>
      <c r="E66" s="185"/>
      <c r="F66" s="183"/>
      <c r="G66" s="184"/>
      <c r="H66" s="88">
        <v>592818</v>
      </c>
      <c r="I66" s="184"/>
      <c r="J66" s="701"/>
      <c r="K66" s="702"/>
      <c r="L66" s="701"/>
      <c r="M66" s="702"/>
      <c r="N66" s="701"/>
      <c r="O66" s="702"/>
      <c r="P66" s="706"/>
      <c r="Q66" s="707"/>
      <c r="R66" s="172">
        <f t="shared" si="3"/>
        <v>592818</v>
      </c>
      <c r="S66" s="173"/>
    </row>
    <row r="67" spans="1:19" s="423" customFormat="1" ht="20.25" customHeight="1" thickBot="1" x14ac:dyDescent="0.25">
      <c r="A67" s="109" t="s">
        <v>143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689"/>
      <c r="S67" s="690"/>
    </row>
    <row r="68" spans="1:19" ht="27.75" customHeight="1" x14ac:dyDescent="0.2">
      <c r="A68" s="178" t="s">
        <v>149</v>
      </c>
      <c r="B68" s="198">
        <v>11279146</v>
      </c>
      <c r="C68" s="199"/>
      <c r="D68" s="200"/>
      <c r="E68" s="201"/>
      <c r="F68" s="200"/>
      <c r="G68" s="199"/>
      <c r="H68" s="200"/>
      <c r="I68" s="199"/>
      <c r="J68" s="202"/>
      <c r="K68" s="203"/>
      <c r="L68" s="202"/>
      <c r="M68" s="203"/>
      <c r="N68" s="202"/>
      <c r="O68" s="203"/>
      <c r="P68" s="204"/>
      <c r="Q68" s="205"/>
      <c r="R68" s="170">
        <f>P68+H68+F68+D68+B68</f>
        <v>11279146</v>
      </c>
      <c r="S68" s="156" t="s">
        <v>98</v>
      </c>
    </row>
    <row r="69" spans="1:19" ht="16.5" customHeight="1" thickBot="1" x14ac:dyDescent="0.25">
      <c r="A69" s="163" t="s">
        <v>144</v>
      </c>
      <c r="B69" s="693">
        <f>-B68</f>
        <v>-11279146</v>
      </c>
      <c r="C69" s="694"/>
      <c r="D69" s="157"/>
      <c r="E69" s="158"/>
      <c r="F69" s="157"/>
      <c r="G69" s="159"/>
      <c r="H69" s="157"/>
      <c r="I69" s="159"/>
      <c r="J69" s="695"/>
      <c r="K69" s="696"/>
      <c r="L69" s="695"/>
      <c r="M69" s="696"/>
      <c r="N69" s="695"/>
      <c r="O69" s="696"/>
      <c r="P69" s="697"/>
      <c r="Q69" s="698"/>
      <c r="R69" s="172">
        <f>P69+H69+F69+D69+B69</f>
        <v>-11279146</v>
      </c>
      <c r="S69" s="173"/>
    </row>
    <row r="70" spans="1:19" ht="37.5" customHeight="1" thickBot="1" x14ac:dyDescent="0.25">
      <c r="A70" s="440" t="s">
        <v>96</v>
      </c>
      <c r="B70" s="685">
        <f>B8++B9+B19+B25+B21+B23+B28+B30+B32+B34+B36+B38+B42+B45+B47+B53+B49+B51+B55+B57+B59+B62+B66</f>
        <v>40723365</v>
      </c>
      <c r="C70" s="686"/>
      <c r="D70" s="685">
        <f>D8++D9+D19+D25+D21+D23+D28+D30+D32+D34+D36+D38+D42+D45+D47+D53+D49+D51+D55+D57+D59+D62+D66</f>
        <v>34029400</v>
      </c>
      <c r="E70" s="686"/>
      <c r="F70" s="685">
        <f>F8++F9+F19+F25+F21+F23+F28+F30+F32+F34+F36+F38+F42+F45+F47+F53+F49+F51+F55+F57+F59+F62+F66</f>
        <v>7658284</v>
      </c>
      <c r="G70" s="686"/>
      <c r="H70" s="685">
        <f>H8++H9+H19+H25+H21+H23+H28+H30+H32+H34+H36+H38+H42+H45+H47+H53+H49+H51+H55+H57+H59+H62+H66+H64</f>
        <v>4184742</v>
      </c>
      <c r="I70" s="686"/>
      <c r="J70" s="685">
        <f>J8++J9+J19+J25+J21+J23+J28+J30+J32+J34+J36+J38+J42+J45+J47+J53+J49+J51+J55+J57+J59+J62+J66+J40</f>
        <v>56232512</v>
      </c>
      <c r="K70" s="686"/>
      <c r="L70" s="685">
        <f t="shared" ref="L70" si="4">L8++L9+L19+L25+L21+L23+L28+L30+L32+L34+L36+L38+L42+L45+L47+L53+L49+L51+L55+L57+L59+L62+L66+L40</f>
        <v>12546927</v>
      </c>
      <c r="M70" s="686"/>
      <c r="N70" s="685">
        <f>N8+N9+N19+N25+N21+N23+N28+N30+N32+N34+N36+N38+N42+N45+N47+N53+N49+N51+N55+N57+N59+N62+N66+N40</f>
        <v>11374366</v>
      </c>
      <c r="O70" s="686"/>
      <c r="P70" s="685">
        <f>P8+P9+P19+P25+P21+P23+P28+P30+P32+P34+P36+P38+P42+P45+P47+P53+P49+P51+P55+P57+P59+P62+P66+P40</f>
        <v>80153805</v>
      </c>
      <c r="Q70" s="686"/>
      <c r="R70" s="687">
        <f>P70+H70+F70+D70+B70</f>
        <v>166749596</v>
      </c>
      <c r="S70" s="688">
        <f t="shared" ref="S70" si="5">Q70+I70+G70+E70+C70</f>
        <v>0</v>
      </c>
    </row>
    <row r="71" spans="1:19" s="423" customFormat="1" ht="20.25" customHeight="1" thickBot="1" x14ac:dyDescent="0.25">
      <c r="A71" s="109" t="s">
        <v>352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689"/>
      <c r="S71" s="690"/>
    </row>
    <row r="72" spans="1:19" ht="16.5" customHeight="1" x14ac:dyDescent="0.2">
      <c r="A72" s="441" t="s">
        <v>353</v>
      </c>
      <c r="B72" s="200"/>
      <c r="C72" s="199"/>
      <c r="D72" s="200"/>
      <c r="E72" s="201"/>
      <c r="F72" s="442"/>
      <c r="G72" s="199"/>
      <c r="H72" s="442"/>
      <c r="I72" s="199"/>
      <c r="J72" s="202"/>
      <c r="K72" s="443"/>
      <c r="L72" s="202"/>
      <c r="M72" s="443"/>
      <c r="N72" s="202"/>
      <c r="O72" s="443"/>
      <c r="P72" s="444">
        <f t="shared" ref="P72" si="6">J72+L72+N72</f>
        <v>0</v>
      </c>
      <c r="Q72" s="445" t="s">
        <v>98</v>
      </c>
      <c r="R72" s="170">
        <f t="shared" ref="R72:R77" si="7">P72+H72+F72+D72+B72</f>
        <v>0</v>
      </c>
      <c r="S72" s="156" t="s">
        <v>98</v>
      </c>
    </row>
    <row r="73" spans="1:19" ht="16.5" customHeight="1" thickBot="1" x14ac:dyDescent="0.25">
      <c r="A73" s="446"/>
      <c r="B73" s="676"/>
      <c r="C73" s="677"/>
      <c r="D73" s="447"/>
      <c r="E73" s="448"/>
      <c r="F73" s="691"/>
      <c r="G73" s="692"/>
      <c r="H73" s="691">
        <v>59229</v>
      </c>
      <c r="I73" s="692"/>
      <c r="J73" s="678">
        <v>31678</v>
      </c>
      <c r="K73" s="679"/>
      <c r="L73" s="678">
        <v>12155</v>
      </c>
      <c r="M73" s="679"/>
      <c r="N73" s="678"/>
      <c r="O73" s="679"/>
      <c r="P73" s="680">
        <f>J73+L73+N73</f>
        <v>43833</v>
      </c>
      <c r="Q73" s="681"/>
      <c r="R73" s="172">
        <f t="shared" si="7"/>
        <v>103062</v>
      </c>
      <c r="S73" s="173"/>
    </row>
    <row r="74" spans="1:19" x14ac:dyDescent="0.2">
      <c r="A74" s="441" t="s">
        <v>358</v>
      </c>
      <c r="B74" s="200"/>
      <c r="C74" s="199"/>
      <c r="D74" s="200"/>
      <c r="E74" s="201"/>
      <c r="F74" s="200"/>
      <c r="G74" s="199"/>
      <c r="H74" s="200"/>
      <c r="I74" s="199"/>
      <c r="J74" s="202"/>
      <c r="K74" s="443"/>
      <c r="L74" s="202"/>
      <c r="M74" s="443"/>
      <c r="N74" s="202"/>
      <c r="O74" s="449"/>
      <c r="P74" s="450"/>
      <c r="Q74" s="451"/>
      <c r="R74" s="438">
        <f t="shared" si="7"/>
        <v>0</v>
      </c>
      <c r="S74" s="156" t="s">
        <v>98</v>
      </c>
    </row>
    <row r="75" spans="1:19" ht="13.5" thickBot="1" x14ac:dyDescent="0.25">
      <c r="A75" s="452" t="s">
        <v>359</v>
      </c>
      <c r="B75" s="676">
        <v>297200</v>
      </c>
      <c r="C75" s="677"/>
      <c r="D75" s="447"/>
      <c r="E75" s="448"/>
      <c r="F75" s="447"/>
      <c r="G75" s="453"/>
      <c r="H75" s="454"/>
      <c r="I75" s="453"/>
      <c r="J75" s="678"/>
      <c r="K75" s="679"/>
      <c r="L75" s="678"/>
      <c r="M75" s="679"/>
      <c r="N75" s="678"/>
      <c r="O75" s="682"/>
      <c r="P75" s="683"/>
      <c r="Q75" s="684"/>
      <c r="R75" s="439">
        <f t="shared" si="7"/>
        <v>297200</v>
      </c>
      <c r="S75" s="173"/>
    </row>
    <row r="76" spans="1:19" x14ac:dyDescent="0.2">
      <c r="A76" s="441" t="s">
        <v>360</v>
      </c>
      <c r="B76" s="200"/>
      <c r="C76" s="199"/>
      <c r="D76" s="200"/>
      <c r="E76" s="201"/>
      <c r="F76" s="200"/>
      <c r="G76" s="199"/>
      <c r="H76" s="200"/>
      <c r="I76" s="199"/>
      <c r="J76" s="202"/>
      <c r="K76" s="443"/>
      <c r="L76" s="202"/>
      <c r="M76" s="443"/>
      <c r="N76" s="202"/>
      <c r="O76" s="443"/>
      <c r="P76" s="455"/>
      <c r="Q76" s="445"/>
      <c r="R76" s="170">
        <f t="shared" si="7"/>
        <v>0</v>
      </c>
      <c r="S76" s="156" t="s">
        <v>98</v>
      </c>
    </row>
    <row r="77" spans="1:19" ht="13.5" thickBot="1" x14ac:dyDescent="0.25">
      <c r="A77" s="456" t="s">
        <v>361</v>
      </c>
      <c r="B77" s="676">
        <v>391160</v>
      </c>
      <c r="C77" s="677"/>
      <c r="D77" s="447"/>
      <c r="E77" s="448"/>
      <c r="F77" s="447"/>
      <c r="G77" s="453"/>
      <c r="H77" s="454"/>
      <c r="I77" s="453"/>
      <c r="J77" s="678"/>
      <c r="K77" s="679"/>
      <c r="L77" s="678"/>
      <c r="M77" s="679"/>
      <c r="N77" s="678"/>
      <c r="O77" s="679"/>
      <c r="P77" s="680"/>
      <c r="Q77" s="681"/>
      <c r="R77" s="172">
        <f t="shared" si="7"/>
        <v>391160</v>
      </c>
      <c r="S77" s="173"/>
    </row>
    <row r="78" spans="1:19" ht="30.6" customHeight="1" thickBot="1" x14ac:dyDescent="0.25">
      <c r="A78" s="440" t="s">
        <v>362</v>
      </c>
      <c r="B78" s="674">
        <f>B77+B75+B73</f>
        <v>688360</v>
      </c>
      <c r="C78" s="675"/>
      <c r="D78" s="674">
        <f t="shared" ref="D78" si="8">D77+D75+D73</f>
        <v>0</v>
      </c>
      <c r="E78" s="675"/>
      <c r="F78" s="674">
        <f t="shared" ref="F78" si="9">F77+F75+F73</f>
        <v>0</v>
      </c>
      <c r="G78" s="675"/>
      <c r="H78" s="674">
        <f t="shared" ref="H78" si="10">H77+H75+H73</f>
        <v>59229</v>
      </c>
      <c r="I78" s="675"/>
      <c r="J78" s="674">
        <f t="shared" ref="J78" si="11">J77+J75+J73</f>
        <v>31678</v>
      </c>
      <c r="K78" s="675"/>
      <c r="L78" s="674">
        <f t="shared" ref="L78" si="12">L77+L75+L73</f>
        <v>12155</v>
      </c>
      <c r="M78" s="675"/>
      <c r="N78" s="674">
        <f t="shared" ref="N78" si="13">N77+N75+N73</f>
        <v>0</v>
      </c>
      <c r="O78" s="675"/>
      <c r="P78" s="674">
        <f t="shared" ref="P78" si="14">P77+P75+P73</f>
        <v>43833</v>
      </c>
      <c r="Q78" s="675"/>
      <c r="R78" s="674">
        <f>P78+H78+F78+D78+B78</f>
        <v>791422</v>
      </c>
      <c r="S78" s="675">
        <f t="shared" ref="S78" si="15">Q78+I78+G78+E78+C78</f>
        <v>0</v>
      </c>
    </row>
    <row r="79" spans="1:19" ht="30.6" customHeight="1" thickBot="1" x14ac:dyDescent="0.25">
      <c r="A79" s="457"/>
      <c r="B79" s="458"/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</row>
    <row r="80" spans="1:19" ht="30.6" customHeight="1" thickBot="1" x14ac:dyDescent="0.25">
      <c r="A80" s="459" t="s">
        <v>363</v>
      </c>
      <c r="B80" s="667">
        <f>B78+B70</f>
        <v>41411725</v>
      </c>
      <c r="C80" s="668"/>
      <c r="D80" s="667">
        <f>D78+D70</f>
        <v>34029400</v>
      </c>
      <c r="E80" s="668"/>
      <c r="F80" s="667">
        <f>F78+F70</f>
        <v>7658284</v>
      </c>
      <c r="G80" s="668"/>
      <c r="H80" s="667">
        <f>H78+H70</f>
        <v>4243971</v>
      </c>
      <c r="I80" s="668"/>
      <c r="J80" s="667">
        <f>J78+J70</f>
        <v>56264190</v>
      </c>
      <c r="K80" s="668"/>
      <c r="L80" s="667">
        <f>L78+L70</f>
        <v>12559082</v>
      </c>
      <c r="M80" s="668"/>
      <c r="N80" s="667">
        <f>N78+N70</f>
        <v>11374366</v>
      </c>
      <c r="O80" s="668"/>
      <c r="P80" s="667">
        <f>P78+P70</f>
        <v>80197638</v>
      </c>
      <c r="Q80" s="668"/>
      <c r="R80" s="667">
        <f>R78+R70</f>
        <v>167541018</v>
      </c>
      <c r="S80" s="668"/>
    </row>
    <row r="81" spans="2:19" ht="21.75" customHeight="1" x14ac:dyDescent="0.25">
      <c r="B81" s="669">
        <f>SUM(B80:I80)</f>
        <v>87343380</v>
      </c>
      <c r="C81" s="670"/>
      <c r="D81" s="670"/>
      <c r="E81" s="670"/>
      <c r="F81" s="670"/>
      <c r="G81" s="670"/>
      <c r="H81" s="670"/>
      <c r="I81" s="670"/>
      <c r="J81" s="671">
        <f>P80</f>
        <v>80197638</v>
      </c>
      <c r="K81" s="671"/>
      <c r="L81" s="671"/>
      <c r="M81" s="671"/>
      <c r="N81" s="671"/>
      <c r="O81" s="671"/>
      <c r="P81" s="671"/>
      <c r="Q81" s="671"/>
      <c r="R81" s="672"/>
      <c r="S81" s="673"/>
    </row>
    <row r="82" spans="2:19" ht="30.75" customHeight="1" thickBot="1" x14ac:dyDescent="0.3">
      <c r="B82" s="664" t="s">
        <v>145</v>
      </c>
      <c r="C82" s="665"/>
      <c r="D82" s="665"/>
      <c r="E82" s="665"/>
      <c r="F82" s="665"/>
      <c r="G82" s="665"/>
      <c r="H82" s="665"/>
      <c r="I82" s="665"/>
      <c r="J82" s="666" t="s">
        <v>146</v>
      </c>
      <c r="K82" s="666"/>
      <c r="L82" s="666"/>
      <c r="M82" s="666"/>
      <c r="N82" s="666"/>
      <c r="O82" s="666"/>
      <c r="P82" s="666"/>
      <c r="Q82" s="666"/>
    </row>
  </sheetData>
  <mergeCells count="262">
    <mergeCell ref="R4:S4"/>
    <mergeCell ref="R5:S5"/>
    <mergeCell ref="R6:S6"/>
    <mergeCell ref="D8:E8"/>
    <mergeCell ref="J8:K8"/>
    <mergeCell ref="L8:M8"/>
    <mergeCell ref="N8:O8"/>
    <mergeCell ref="B1:R1"/>
    <mergeCell ref="B2:R2"/>
    <mergeCell ref="B4:C4"/>
    <mergeCell ref="D4:E4"/>
    <mergeCell ref="F4:G4"/>
    <mergeCell ref="H4:I4"/>
    <mergeCell ref="J4:K4"/>
    <mergeCell ref="L4:M4"/>
    <mergeCell ref="N4:O4"/>
    <mergeCell ref="P4:Q4"/>
    <mergeCell ref="J11:K11"/>
    <mergeCell ref="L11:M11"/>
    <mergeCell ref="N11:O11"/>
    <mergeCell ref="A12:A13"/>
    <mergeCell ref="B13:C13"/>
    <mergeCell ref="J13:K13"/>
    <mergeCell ref="L13:M13"/>
    <mergeCell ref="N13:O13"/>
    <mergeCell ref="B9:C9"/>
    <mergeCell ref="A10:A11"/>
    <mergeCell ref="B11:C11"/>
    <mergeCell ref="D11:E11"/>
    <mergeCell ref="F11:G11"/>
    <mergeCell ref="H11:I11"/>
    <mergeCell ref="A20:A21"/>
    <mergeCell ref="J20:K20"/>
    <mergeCell ref="L20:M20"/>
    <mergeCell ref="N20:O20"/>
    <mergeCell ref="B21:C21"/>
    <mergeCell ref="J21:K21"/>
    <mergeCell ref="A14:A15"/>
    <mergeCell ref="B15:C15"/>
    <mergeCell ref="J15:K15"/>
    <mergeCell ref="L15:M15"/>
    <mergeCell ref="N15:O15"/>
    <mergeCell ref="A16:A17"/>
    <mergeCell ref="B17:C17"/>
    <mergeCell ref="J17:K17"/>
    <mergeCell ref="L17:M17"/>
    <mergeCell ref="N17:O17"/>
    <mergeCell ref="L21:M21"/>
    <mergeCell ref="N21:O21"/>
    <mergeCell ref="B23:C23"/>
    <mergeCell ref="J23:K23"/>
    <mergeCell ref="L23:M23"/>
    <mergeCell ref="N23:O23"/>
    <mergeCell ref="B19:C19"/>
    <mergeCell ref="J19:K19"/>
    <mergeCell ref="L19:M19"/>
    <mergeCell ref="N19:O19"/>
    <mergeCell ref="B25:C25"/>
    <mergeCell ref="J25:K25"/>
    <mergeCell ref="L25:M25"/>
    <mergeCell ref="N25:O25"/>
    <mergeCell ref="R26:S26"/>
    <mergeCell ref="B28:C28"/>
    <mergeCell ref="D28:E28"/>
    <mergeCell ref="F28:G28"/>
    <mergeCell ref="H28:I28"/>
    <mergeCell ref="J28:K28"/>
    <mergeCell ref="L28:M28"/>
    <mergeCell ref="N28:O28"/>
    <mergeCell ref="P28:Q28"/>
    <mergeCell ref="B30:C30"/>
    <mergeCell ref="D30:E30"/>
    <mergeCell ref="F30:G30"/>
    <mergeCell ref="H30:I30"/>
    <mergeCell ref="J30:K30"/>
    <mergeCell ref="L30:M30"/>
    <mergeCell ref="N30:O30"/>
    <mergeCell ref="B34:C34"/>
    <mergeCell ref="D34:E34"/>
    <mergeCell ref="F34:G34"/>
    <mergeCell ref="H34:I34"/>
    <mergeCell ref="L34:M34"/>
    <mergeCell ref="P34:Q34"/>
    <mergeCell ref="P30:Q30"/>
    <mergeCell ref="B32:C32"/>
    <mergeCell ref="D32:E32"/>
    <mergeCell ref="F32:G32"/>
    <mergeCell ref="H32:I32"/>
    <mergeCell ref="J32:K32"/>
    <mergeCell ref="L32:M32"/>
    <mergeCell ref="N32:O32"/>
    <mergeCell ref="P32:Q32"/>
    <mergeCell ref="L36:M36"/>
    <mergeCell ref="N36:O36"/>
    <mergeCell ref="P36:Q36"/>
    <mergeCell ref="A37:A38"/>
    <mergeCell ref="B38:C38"/>
    <mergeCell ref="D38:E38"/>
    <mergeCell ref="F38:G38"/>
    <mergeCell ref="H38:I38"/>
    <mergeCell ref="J38:K38"/>
    <mergeCell ref="L38:M38"/>
    <mergeCell ref="A35:A36"/>
    <mergeCell ref="B36:C36"/>
    <mergeCell ref="D36:E36"/>
    <mergeCell ref="F36:G36"/>
    <mergeCell ref="H36:I36"/>
    <mergeCell ref="J36:K36"/>
    <mergeCell ref="N38:O38"/>
    <mergeCell ref="P38:Q38"/>
    <mergeCell ref="B40:C40"/>
    <mergeCell ref="D40:E40"/>
    <mergeCell ref="F40:G40"/>
    <mergeCell ref="H40:I40"/>
    <mergeCell ref="J40:K40"/>
    <mergeCell ref="L40:M40"/>
    <mergeCell ref="N40:O40"/>
    <mergeCell ref="P40:Q40"/>
    <mergeCell ref="P45:Q45"/>
    <mergeCell ref="B47:C47"/>
    <mergeCell ref="J47:K47"/>
    <mergeCell ref="L47:M47"/>
    <mergeCell ref="N47:O47"/>
    <mergeCell ref="P47:Q47"/>
    <mergeCell ref="N42:O42"/>
    <mergeCell ref="P42:Q42"/>
    <mergeCell ref="R43:S43"/>
    <mergeCell ref="B45:C45"/>
    <mergeCell ref="D45:E45"/>
    <mergeCell ref="F45:G45"/>
    <mergeCell ref="H45:I45"/>
    <mergeCell ref="J45:K45"/>
    <mergeCell ref="L45:M45"/>
    <mergeCell ref="N45:O45"/>
    <mergeCell ref="B42:C42"/>
    <mergeCell ref="D42:E42"/>
    <mergeCell ref="F42:G42"/>
    <mergeCell ref="H42:I42"/>
    <mergeCell ref="J42:K42"/>
    <mergeCell ref="L42:M42"/>
    <mergeCell ref="N49:O49"/>
    <mergeCell ref="P49:Q49"/>
    <mergeCell ref="B51:C51"/>
    <mergeCell ref="D51:E51"/>
    <mergeCell ref="F51:G51"/>
    <mergeCell ref="H51:I51"/>
    <mergeCell ref="J51:K51"/>
    <mergeCell ref="L51:M51"/>
    <mergeCell ref="N51:O51"/>
    <mergeCell ref="P51:Q51"/>
    <mergeCell ref="B49:C49"/>
    <mergeCell ref="D49:E49"/>
    <mergeCell ref="F49:G49"/>
    <mergeCell ref="H49:I49"/>
    <mergeCell ref="J49:K49"/>
    <mergeCell ref="L49:M49"/>
    <mergeCell ref="N53:O53"/>
    <mergeCell ref="P53:Q53"/>
    <mergeCell ref="B55:C55"/>
    <mergeCell ref="D55:E55"/>
    <mergeCell ref="F55:G55"/>
    <mergeCell ref="H55:I55"/>
    <mergeCell ref="J55:K55"/>
    <mergeCell ref="L55:M55"/>
    <mergeCell ref="N55:O55"/>
    <mergeCell ref="P55:Q55"/>
    <mergeCell ref="B53:C53"/>
    <mergeCell ref="D53:E53"/>
    <mergeCell ref="F53:G53"/>
    <mergeCell ref="H53:I53"/>
    <mergeCell ref="J53:K53"/>
    <mergeCell ref="L53:M53"/>
    <mergeCell ref="R60:S60"/>
    <mergeCell ref="B62:C62"/>
    <mergeCell ref="F62:G62"/>
    <mergeCell ref="H62:I62"/>
    <mergeCell ref="J62:K62"/>
    <mergeCell ref="L62:M62"/>
    <mergeCell ref="N62:O62"/>
    <mergeCell ref="P62:Q62"/>
    <mergeCell ref="N57:O57"/>
    <mergeCell ref="P57:Q57"/>
    <mergeCell ref="B59:C59"/>
    <mergeCell ref="D59:E59"/>
    <mergeCell ref="F59:G59"/>
    <mergeCell ref="H59:I59"/>
    <mergeCell ref="J59:K59"/>
    <mergeCell ref="L59:M59"/>
    <mergeCell ref="N59:O59"/>
    <mergeCell ref="P59:Q59"/>
    <mergeCell ref="B57:C57"/>
    <mergeCell ref="D57:E57"/>
    <mergeCell ref="F57:G57"/>
    <mergeCell ref="H57:I57"/>
    <mergeCell ref="J57:K57"/>
    <mergeCell ref="L57:M57"/>
    <mergeCell ref="R67:S67"/>
    <mergeCell ref="B69:C69"/>
    <mergeCell ref="J69:K69"/>
    <mergeCell ref="L69:M69"/>
    <mergeCell ref="N69:O69"/>
    <mergeCell ref="P69:Q69"/>
    <mergeCell ref="B64:C64"/>
    <mergeCell ref="J64:K64"/>
    <mergeCell ref="L64:M64"/>
    <mergeCell ref="N64:O64"/>
    <mergeCell ref="P64:Q64"/>
    <mergeCell ref="B66:C66"/>
    <mergeCell ref="J66:K66"/>
    <mergeCell ref="L66:M66"/>
    <mergeCell ref="N66:O66"/>
    <mergeCell ref="P66:Q66"/>
    <mergeCell ref="P73:Q73"/>
    <mergeCell ref="B75:C75"/>
    <mergeCell ref="J75:K75"/>
    <mergeCell ref="L75:M75"/>
    <mergeCell ref="N75:O75"/>
    <mergeCell ref="P75:Q75"/>
    <mergeCell ref="N70:O70"/>
    <mergeCell ref="P70:Q70"/>
    <mergeCell ref="R70:S70"/>
    <mergeCell ref="R71:S71"/>
    <mergeCell ref="B73:C73"/>
    <mergeCell ref="F73:G73"/>
    <mergeCell ref="H73:I73"/>
    <mergeCell ref="J73:K73"/>
    <mergeCell ref="L73:M73"/>
    <mergeCell ref="N73:O73"/>
    <mergeCell ref="B70:C70"/>
    <mergeCell ref="D70:E70"/>
    <mergeCell ref="F70:G70"/>
    <mergeCell ref="H70:I70"/>
    <mergeCell ref="J70:K70"/>
    <mergeCell ref="L70:M70"/>
    <mergeCell ref="B77:C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B82:I82"/>
    <mergeCell ref="J82:Q82"/>
    <mergeCell ref="N80:O80"/>
    <mergeCell ref="P80:Q80"/>
    <mergeCell ref="R80:S80"/>
    <mergeCell ref="B81:I81"/>
    <mergeCell ref="J81:Q81"/>
    <mergeCell ref="R81:S81"/>
    <mergeCell ref="L78:M78"/>
    <mergeCell ref="N78:O78"/>
    <mergeCell ref="P78:Q78"/>
    <mergeCell ref="R78:S78"/>
    <mergeCell ref="B80:C80"/>
    <mergeCell ref="D80:E80"/>
    <mergeCell ref="F80:G80"/>
    <mergeCell ref="H80:I80"/>
    <mergeCell ref="J80:K80"/>
    <mergeCell ref="L80:M80"/>
  </mergeCells>
  <pageMargins left="0.31496062992125984" right="0.11811023622047245" top="0.31496062992125984" bottom="0.15748031496062992" header="0.15748031496062992" footer="0.1181102362204724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7068A-6F42-4E6E-A44E-C8DD7D911967}">
  <dimension ref="B1:AB51"/>
  <sheetViews>
    <sheetView view="pageBreakPreview" zoomScale="90" zoomScaleNormal="100" zoomScaleSheetLayoutView="90" workbookViewId="0">
      <pane xSplit="2" ySplit="4" topLeftCell="R5" activePane="bottomRight" state="frozen"/>
      <selection activeCell="B42" sqref="B42"/>
      <selection pane="topRight" activeCell="B42" sqref="B42"/>
      <selection pane="bottomLeft" activeCell="B42" sqref="B42"/>
      <selection pane="bottomRight" activeCell="B1" sqref="B1"/>
    </sheetView>
  </sheetViews>
  <sheetFormatPr defaultColWidth="9.140625" defaultRowHeight="15.75" x14ac:dyDescent="0.25"/>
  <cols>
    <col min="1" max="1" width="1.140625" style="2" customWidth="1"/>
    <col min="2" max="2" width="48" style="2" customWidth="1"/>
    <col min="3" max="11" width="15.140625" style="2" customWidth="1"/>
    <col min="12" max="12" width="15.28515625" style="3" customWidth="1"/>
    <col min="13" max="17" width="15.140625" style="2" customWidth="1"/>
    <col min="18" max="18" width="15.140625" style="4" customWidth="1"/>
    <col min="19" max="20" width="15.140625" style="2" customWidth="1"/>
    <col min="21" max="21" width="16.7109375" style="2" customWidth="1"/>
    <col min="22" max="23" width="15.140625" style="2" customWidth="1"/>
    <col min="24" max="24" width="15.7109375" style="2" customWidth="1"/>
    <col min="25" max="25" width="12.7109375" style="2" customWidth="1"/>
    <col min="26" max="26" width="15.5703125" style="2" customWidth="1"/>
    <col min="27" max="27" width="0.5703125" style="2" customWidth="1"/>
    <col min="28" max="16384" width="9.140625" style="2"/>
  </cols>
  <sheetData>
    <row r="1" spans="2:27" x14ac:dyDescent="0.25">
      <c r="B1" s="1" t="s">
        <v>333</v>
      </c>
    </row>
    <row r="2" spans="2:27" ht="36.6" customHeight="1" thickBot="1" x14ac:dyDescent="0.3">
      <c r="C2" s="792" t="s">
        <v>5</v>
      </c>
      <c r="D2" s="792"/>
      <c r="E2" s="792"/>
      <c r="F2" s="792" t="s">
        <v>5</v>
      </c>
      <c r="G2" s="792"/>
      <c r="H2" s="792"/>
      <c r="I2" s="792" t="s">
        <v>5</v>
      </c>
      <c r="J2" s="792"/>
      <c r="K2" s="792"/>
      <c r="L2" s="792" t="s">
        <v>5</v>
      </c>
      <c r="M2" s="792"/>
      <c r="N2" s="792"/>
      <c r="O2" s="792" t="s">
        <v>5</v>
      </c>
      <c r="P2" s="792"/>
      <c r="Q2" s="792"/>
      <c r="R2" s="792" t="s">
        <v>5</v>
      </c>
      <c r="S2" s="792"/>
      <c r="T2" s="792"/>
      <c r="U2" s="792" t="s">
        <v>5</v>
      </c>
      <c r="V2" s="792"/>
      <c r="W2" s="792"/>
      <c r="X2" s="792" t="s">
        <v>5</v>
      </c>
      <c r="Y2" s="792"/>
      <c r="Z2" s="792"/>
    </row>
    <row r="3" spans="2:27" s="8" customFormat="1" ht="40.9" customHeight="1" thickBot="1" x14ac:dyDescent="0.3">
      <c r="B3" s="793" t="s">
        <v>6</v>
      </c>
      <c r="C3" s="795" t="s">
        <v>7</v>
      </c>
      <c r="D3" s="796"/>
      <c r="E3" s="797"/>
      <c r="F3" s="782" t="s">
        <v>8</v>
      </c>
      <c r="G3" s="783"/>
      <c r="H3" s="784"/>
      <c r="I3" s="785" t="s">
        <v>9</v>
      </c>
      <c r="J3" s="783"/>
      <c r="K3" s="784"/>
      <c r="L3" s="788" t="s">
        <v>10</v>
      </c>
      <c r="M3" s="798"/>
      <c r="N3" s="798"/>
      <c r="O3" s="789" t="s">
        <v>11</v>
      </c>
      <c r="P3" s="790"/>
      <c r="Q3" s="791"/>
      <c r="R3" s="771" t="s">
        <v>12</v>
      </c>
      <c r="S3" s="772"/>
      <c r="T3" s="773"/>
      <c r="U3" s="774" t="s">
        <v>13</v>
      </c>
      <c r="V3" s="775"/>
      <c r="W3" s="776"/>
      <c r="X3" s="5" t="s">
        <v>14</v>
      </c>
      <c r="Y3" s="6" t="s">
        <v>15</v>
      </c>
      <c r="Z3" s="7" t="s">
        <v>16</v>
      </c>
    </row>
    <row r="4" spans="2:27" s="8" customFormat="1" ht="27.75" thickBot="1" x14ac:dyDescent="0.3">
      <c r="B4" s="794"/>
      <c r="C4" s="460" t="s">
        <v>364</v>
      </c>
      <c r="D4" s="461" t="s">
        <v>365</v>
      </c>
      <c r="E4" s="462" t="s">
        <v>366</v>
      </c>
      <c r="F4" s="460" t="s">
        <v>364</v>
      </c>
      <c r="G4" s="461" t="s">
        <v>365</v>
      </c>
      <c r="H4" s="462" t="s">
        <v>366</v>
      </c>
      <c r="I4" s="460" t="s">
        <v>364</v>
      </c>
      <c r="J4" s="461" t="s">
        <v>365</v>
      </c>
      <c r="K4" s="463" t="s">
        <v>366</v>
      </c>
      <c r="L4" s="464" t="s">
        <v>364</v>
      </c>
      <c r="M4" s="465" t="s">
        <v>365</v>
      </c>
      <c r="N4" s="466" t="s">
        <v>366</v>
      </c>
      <c r="O4" s="460" t="s">
        <v>364</v>
      </c>
      <c r="P4" s="461" t="s">
        <v>365</v>
      </c>
      <c r="Q4" s="462" t="s">
        <v>366</v>
      </c>
      <c r="R4" s="467" t="s">
        <v>364</v>
      </c>
      <c r="S4" s="468" t="s">
        <v>365</v>
      </c>
      <c r="T4" s="469" t="s">
        <v>366</v>
      </c>
      <c r="U4" s="470" t="s">
        <v>364</v>
      </c>
      <c r="V4" s="471" t="s">
        <v>365</v>
      </c>
      <c r="W4" s="472" t="s">
        <v>366</v>
      </c>
      <c r="X4" s="461" t="s">
        <v>365</v>
      </c>
      <c r="Y4" s="461" t="s">
        <v>365</v>
      </c>
      <c r="Z4" s="461" t="s">
        <v>365</v>
      </c>
    </row>
    <row r="5" spans="2:27" s="14" customFormat="1" ht="24" customHeight="1" x14ac:dyDescent="0.25">
      <c r="B5" s="9" t="s">
        <v>17</v>
      </c>
      <c r="C5" s="473"/>
      <c r="D5" s="31">
        <f>C5</f>
        <v>0</v>
      </c>
      <c r="E5" s="30">
        <f>D5-C5</f>
        <v>0</v>
      </c>
      <c r="F5" s="474"/>
      <c r="G5" s="31">
        <v>400000</v>
      </c>
      <c r="H5" s="30">
        <f>G5-F5</f>
        <v>400000</v>
      </c>
      <c r="I5" s="475">
        <v>1200000</v>
      </c>
      <c r="J5" s="476">
        <v>2030807</v>
      </c>
      <c r="K5" s="477">
        <f>J5-I5</f>
        <v>830807</v>
      </c>
      <c r="L5" s="478">
        <f>C5+F5+I5</f>
        <v>1200000</v>
      </c>
      <c r="M5" s="479">
        <f>D5+G5+J5</f>
        <v>2430807</v>
      </c>
      <c r="N5" s="480">
        <f>M5-L5</f>
        <v>1230807</v>
      </c>
      <c r="O5" s="214">
        <f>165015362+7850400</f>
        <v>172865762</v>
      </c>
      <c r="P5" s="31">
        <v>175568582</v>
      </c>
      <c r="Q5" s="30">
        <f>P5-O5</f>
        <v>2702820</v>
      </c>
      <c r="R5" s="481">
        <f t="shared" ref="R5:S21" si="0">L5+O5</f>
        <v>174065762</v>
      </c>
      <c r="S5" s="482">
        <f t="shared" si="0"/>
        <v>177999389</v>
      </c>
      <c r="T5" s="483">
        <f t="shared" ref="T5:T23" si="1">S5-R5</f>
        <v>3933627</v>
      </c>
      <c r="U5" s="484">
        <f>R5</f>
        <v>174065762</v>
      </c>
      <c r="V5" s="485">
        <f>S5</f>
        <v>177999389</v>
      </c>
      <c r="W5" s="486">
        <f>V5-U5</f>
        <v>3933627</v>
      </c>
      <c r="X5" s="11">
        <f>V5-400000</f>
        <v>177599389</v>
      </c>
      <c r="Y5" s="12">
        <v>400000</v>
      </c>
      <c r="Z5" s="10">
        <f>Z20+Z21</f>
        <v>0</v>
      </c>
      <c r="AA5" s="13">
        <f t="shared" ref="AA5:AA46" si="2">SUM(X5:Z5)</f>
        <v>177999389</v>
      </c>
    </row>
    <row r="6" spans="2:27" s="14" customFormat="1" ht="13.5" x14ac:dyDescent="0.25">
      <c r="B6" s="19" t="s">
        <v>18</v>
      </c>
      <c r="C6" s="21"/>
      <c r="D6" s="22">
        <f t="shared" ref="D6:D8" si="3">C6</f>
        <v>0</v>
      </c>
      <c r="E6" s="20">
        <f t="shared" ref="E6:E8" si="4">D6-C6</f>
        <v>0</v>
      </c>
      <c r="F6" s="487"/>
      <c r="G6" s="22">
        <f t="shared" ref="G6:G8" si="5">F6</f>
        <v>0</v>
      </c>
      <c r="H6" s="20">
        <f t="shared" ref="H6:H8" si="6">G6-F6</f>
        <v>0</v>
      </c>
      <c r="I6" s="488"/>
      <c r="J6" s="489">
        <f t="shared" ref="J6:J8" si="7">I6</f>
        <v>0</v>
      </c>
      <c r="K6" s="490">
        <f t="shared" ref="K6:K8" si="8">J6-I6</f>
        <v>0</v>
      </c>
      <c r="L6" s="491">
        <f>C6+F6+I6</f>
        <v>0</v>
      </c>
      <c r="M6" s="492">
        <f>D6+G6+J6</f>
        <v>0</v>
      </c>
      <c r="N6" s="493">
        <f>M6-L6</f>
        <v>0</v>
      </c>
      <c r="O6" s="215">
        <v>78000000</v>
      </c>
      <c r="P6" s="22">
        <f>O6</f>
        <v>78000000</v>
      </c>
      <c r="Q6" s="20">
        <f t="shared" ref="Q6:Q8" si="9">P6-O6</f>
        <v>0</v>
      </c>
      <c r="R6" s="494">
        <f t="shared" si="0"/>
        <v>78000000</v>
      </c>
      <c r="S6" s="495">
        <f t="shared" si="0"/>
        <v>78000000</v>
      </c>
      <c r="T6" s="496">
        <f t="shared" si="1"/>
        <v>0</v>
      </c>
      <c r="U6" s="497">
        <f t="shared" ref="U6:W18" si="10">R6</f>
        <v>78000000</v>
      </c>
      <c r="V6" s="498">
        <f t="shared" si="10"/>
        <v>78000000</v>
      </c>
      <c r="W6" s="499">
        <f t="shared" ref="W6:W8" si="11">V6-U6</f>
        <v>0</v>
      </c>
      <c r="X6" s="21">
        <f t="shared" ref="X6" si="12">U6</f>
        <v>78000000</v>
      </c>
      <c r="Y6" s="22"/>
      <c r="Z6" s="20"/>
      <c r="AA6" s="13">
        <f t="shared" si="2"/>
        <v>78000000</v>
      </c>
    </row>
    <row r="7" spans="2:27" s="14" customFormat="1" ht="13.5" x14ac:dyDescent="0.25">
      <c r="B7" s="19" t="s">
        <v>19</v>
      </c>
      <c r="C7" s="21"/>
      <c r="D7" s="22">
        <f t="shared" si="3"/>
        <v>0</v>
      </c>
      <c r="E7" s="20">
        <f t="shared" si="4"/>
        <v>0</v>
      </c>
      <c r="F7" s="487">
        <v>350000</v>
      </c>
      <c r="G7" s="22">
        <v>620000</v>
      </c>
      <c r="H7" s="20">
        <f t="shared" si="6"/>
        <v>270000</v>
      </c>
      <c r="I7" s="488"/>
      <c r="J7" s="489">
        <f t="shared" si="7"/>
        <v>0</v>
      </c>
      <c r="K7" s="490">
        <f t="shared" si="8"/>
        <v>0</v>
      </c>
      <c r="L7" s="491">
        <f t="shared" ref="L7:M23" si="13">C7+F7+I7</f>
        <v>350000</v>
      </c>
      <c r="M7" s="492">
        <f t="shared" si="13"/>
        <v>620000</v>
      </c>
      <c r="N7" s="493">
        <f t="shared" ref="N7:N23" si="14">M7-L7</f>
        <v>270000</v>
      </c>
      <c r="O7" s="215">
        <f>11877683+1310000+1606000+30000</f>
        <v>14823683</v>
      </c>
      <c r="P7" s="22">
        <v>19563100</v>
      </c>
      <c r="Q7" s="20">
        <f t="shared" si="9"/>
        <v>4739417</v>
      </c>
      <c r="R7" s="494">
        <f t="shared" si="0"/>
        <v>15173683</v>
      </c>
      <c r="S7" s="495">
        <f t="shared" si="0"/>
        <v>20183100</v>
      </c>
      <c r="T7" s="496">
        <f t="shared" si="1"/>
        <v>5009417</v>
      </c>
      <c r="U7" s="497">
        <f t="shared" si="10"/>
        <v>15173683</v>
      </c>
      <c r="V7" s="498">
        <f t="shared" si="10"/>
        <v>20183100</v>
      </c>
      <c r="W7" s="499">
        <f t="shared" si="11"/>
        <v>5009417</v>
      </c>
      <c r="X7" s="21">
        <f>V7</f>
        <v>20183100</v>
      </c>
      <c r="Y7" s="22"/>
      <c r="Z7" s="20"/>
      <c r="AA7" s="13">
        <f t="shared" si="2"/>
        <v>20183100</v>
      </c>
    </row>
    <row r="8" spans="2:27" s="14" customFormat="1" ht="14.25" thickBot="1" x14ac:dyDescent="0.3">
      <c r="B8" s="23" t="s">
        <v>20</v>
      </c>
      <c r="C8" s="500"/>
      <c r="D8" s="501">
        <f t="shared" si="3"/>
        <v>0</v>
      </c>
      <c r="E8" s="24">
        <f t="shared" si="4"/>
        <v>0</v>
      </c>
      <c r="F8" s="502"/>
      <c r="G8" s="501">
        <f t="shared" si="5"/>
        <v>0</v>
      </c>
      <c r="H8" s="24">
        <f t="shared" si="6"/>
        <v>0</v>
      </c>
      <c r="I8" s="503"/>
      <c r="J8" s="504">
        <f t="shared" si="7"/>
        <v>0</v>
      </c>
      <c r="K8" s="505">
        <f t="shared" si="8"/>
        <v>0</v>
      </c>
      <c r="L8" s="491">
        <f t="shared" si="13"/>
        <v>0</v>
      </c>
      <c r="M8" s="506">
        <f t="shared" si="13"/>
        <v>0</v>
      </c>
      <c r="N8" s="507">
        <f t="shared" si="14"/>
        <v>0</v>
      </c>
      <c r="O8" s="216">
        <v>0</v>
      </c>
      <c r="P8" s="501">
        <f t="shared" ref="P8" si="15">O8</f>
        <v>0</v>
      </c>
      <c r="Q8" s="24">
        <f t="shared" si="9"/>
        <v>0</v>
      </c>
      <c r="R8" s="508">
        <f t="shared" si="0"/>
        <v>0</v>
      </c>
      <c r="S8" s="509">
        <f t="shared" si="0"/>
        <v>0</v>
      </c>
      <c r="T8" s="510">
        <f t="shared" si="1"/>
        <v>0</v>
      </c>
      <c r="U8" s="511">
        <f t="shared" si="10"/>
        <v>0</v>
      </c>
      <c r="V8" s="512">
        <f t="shared" si="10"/>
        <v>0</v>
      </c>
      <c r="W8" s="513">
        <f t="shared" si="11"/>
        <v>0</v>
      </c>
      <c r="X8" s="43"/>
      <c r="Y8" s="44"/>
      <c r="Z8" s="42"/>
      <c r="AA8" s="13">
        <f t="shared" si="2"/>
        <v>0</v>
      </c>
    </row>
    <row r="9" spans="2:27" s="29" customFormat="1" ht="14.25" thickBot="1" x14ac:dyDescent="0.3">
      <c r="B9" s="25" t="s">
        <v>21</v>
      </c>
      <c r="C9" s="27">
        <f t="shared" ref="C9:K9" si="16">C5+C6+C7+C8</f>
        <v>0</v>
      </c>
      <c r="D9" s="28">
        <f t="shared" si="16"/>
        <v>0</v>
      </c>
      <c r="E9" s="26">
        <f t="shared" si="16"/>
        <v>0</v>
      </c>
      <c r="F9" s="514">
        <f t="shared" si="16"/>
        <v>350000</v>
      </c>
      <c r="G9" s="28">
        <f t="shared" si="16"/>
        <v>1020000</v>
      </c>
      <c r="H9" s="26">
        <f t="shared" si="16"/>
        <v>670000</v>
      </c>
      <c r="I9" s="56">
        <f t="shared" si="16"/>
        <v>1200000</v>
      </c>
      <c r="J9" s="58">
        <f t="shared" si="16"/>
        <v>2030807</v>
      </c>
      <c r="K9" s="515">
        <f t="shared" si="16"/>
        <v>830807</v>
      </c>
      <c r="L9" s="516">
        <f t="shared" si="13"/>
        <v>1550000</v>
      </c>
      <c r="M9" s="517">
        <f t="shared" si="13"/>
        <v>3050807</v>
      </c>
      <c r="N9" s="518">
        <f t="shared" si="14"/>
        <v>1500807</v>
      </c>
      <c r="O9" s="217">
        <f>O5+O6+O7+O8</f>
        <v>265689445</v>
      </c>
      <c r="P9" s="28">
        <f>P5+P6+P7+P8</f>
        <v>273131682</v>
      </c>
      <c r="Q9" s="26">
        <f>Q5+Q6+Q7+Q8</f>
        <v>7442237</v>
      </c>
      <c r="R9" s="519">
        <f t="shared" si="0"/>
        <v>267239445</v>
      </c>
      <c r="S9" s="520">
        <f t="shared" si="0"/>
        <v>276182489</v>
      </c>
      <c r="T9" s="521">
        <f t="shared" si="1"/>
        <v>8943044</v>
      </c>
      <c r="U9" s="522">
        <f t="shared" si="10"/>
        <v>267239445</v>
      </c>
      <c r="V9" s="522">
        <f t="shared" si="10"/>
        <v>276182489</v>
      </c>
      <c r="W9" s="522">
        <f t="shared" si="10"/>
        <v>8943044</v>
      </c>
      <c r="X9" s="27">
        <f>X5+X6+X7+X8</f>
        <v>275782489</v>
      </c>
      <c r="Y9" s="28">
        <f>Y5+Y6+Y7+Y8</f>
        <v>400000</v>
      </c>
      <c r="Z9" s="26">
        <f>Z5+Z6+Z7+Z8</f>
        <v>0</v>
      </c>
      <c r="AA9" s="13">
        <f t="shared" si="2"/>
        <v>276182489</v>
      </c>
    </row>
    <row r="10" spans="2:27" s="14" customFormat="1" ht="14.25" thickBot="1" x14ac:dyDescent="0.3">
      <c r="B10" s="9" t="s">
        <v>22</v>
      </c>
      <c r="C10" s="473"/>
      <c r="D10" s="31">
        <f>C10</f>
        <v>0</v>
      </c>
      <c r="E10" s="30">
        <f>D10-C10</f>
        <v>0</v>
      </c>
      <c r="F10" s="523"/>
      <c r="G10" s="31">
        <f>F10</f>
        <v>0</v>
      </c>
      <c r="H10" s="30">
        <f>G10-F10</f>
        <v>0</v>
      </c>
      <c r="I10" s="524"/>
      <c r="J10" s="476">
        <f>I10</f>
        <v>0</v>
      </c>
      <c r="K10" s="477">
        <f>J10-I10</f>
        <v>0</v>
      </c>
      <c r="L10" s="525">
        <f t="shared" si="13"/>
        <v>0</v>
      </c>
      <c r="M10" s="526">
        <f t="shared" si="13"/>
        <v>0</v>
      </c>
      <c r="N10" s="527">
        <f t="shared" si="14"/>
        <v>0</v>
      </c>
      <c r="O10" s="218">
        <v>11671794</v>
      </c>
      <c r="P10" s="31">
        <f>O10</f>
        <v>11671794</v>
      </c>
      <c r="Q10" s="30">
        <f>P10-O10</f>
        <v>0</v>
      </c>
      <c r="R10" s="528">
        <f t="shared" si="0"/>
        <v>11671794</v>
      </c>
      <c r="S10" s="482">
        <f t="shared" si="0"/>
        <v>11671794</v>
      </c>
      <c r="T10" s="483">
        <f t="shared" si="1"/>
        <v>0</v>
      </c>
      <c r="U10" s="529">
        <f t="shared" si="10"/>
        <v>11671794</v>
      </c>
      <c r="V10" s="485">
        <f t="shared" si="10"/>
        <v>11671794</v>
      </c>
      <c r="W10" s="486">
        <f t="shared" ref="W10:W23" si="17">V10-U10</f>
        <v>0</v>
      </c>
      <c r="X10" s="11">
        <f t="shared" ref="X10:X11" si="18">U10</f>
        <v>11671794</v>
      </c>
      <c r="Y10" s="31"/>
      <c r="Z10" s="30"/>
      <c r="AA10" s="13">
        <f t="shared" si="2"/>
        <v>11671794</v>
      </c>
    </row>
    <row r="11" spans="2:27" s="213" customFormat="1" ht="13.5" x14ac:dyDescent="0.25">
      <c r="B11" s="209" t="s">
        <v>23</v>
      </c>
      <c r="C11" s="530"/>
      <c r="D11" s="531">
        <f t="shared" ref="D11" si="19">C11</f>
        <v>0</v>
      </c>
      <c r="E11" s="532">
        <f t="shared" ref="E11" si="20">D11-C11</f>
        <v>0</v>
      </c>
      <c r="F11" s="533"/>
      <c r="G11" s="531">
        <f t="shared" ref="G11" si="21">F11</f>
        <v>0</v>
      </c>
      <c r="H11" s="532">
        <f t="shared" ref="H11" si="22">G11-F11</f>
        <v>0</v>
      </c>
      <c r="I11" s="534"/>
      <c r="J11" s="535">
        <f t="shared" ref="J11" si="23">I11</f>
        <v>0</v>
      </c>
      <c r="K11" s="536">
        <f t="shared" ref="K11" si="24">J11-I11</f>
        <v>0</v>
      </c>
      <c r="L11" s="537">
        <f t="shared" si="13"/>
        <v>0</v>
      </c>
      <c r="M11" s="492">
        <f t="shared" si="13"/>
        <v>0</v>
      </c>
      <c r="N11" s="493">
        <f t="shared" si="14"/>
        <v>0</v>
      </c>
      <c r="O11" s="219">
        <v>11671794</v>
      </c>
      <c r="P11" s="531">
        <f t="shared" ref="P11" si="25">O11</f>
        <v>11671794</v>
      </c>
      <c r="Q11" s="532">
        <f t="shared" ref="Q11" si="26">P11-O11</f>
        <v>0</v>
      </c>
      <c r="R11" s="538">
        <f t="shared" si="0"/>
        <v>11671794</v>
      </c>
      <c r="S11" s="539">
        <f t="shared" si="0"/>
        <v>11671794</v>
      </c>
      <c r="T11" s="540">
        <f t="shared" si="1"/>
        <v>0</v>
      </c>
      <c r="U11" s="541">
        <f t="shared" si="10"/>
        <v>11671794</v>
      </c>
      <c r="V11" s="542">
        <f t="shared" si="10"/>
        <v>11671794</v>
      </c>
      <c r="W11" s="543">
        <f t="shared" si="17"/>
        <v>0</v>
      </c>
      <c r="X11" s="11">
        <f t="shared" si="18"/>
        <v>11671794</v>
      </c>
      <c r="Y11" s="211"/>
      <c r="Z11" s="210"/>
      <c r="AA11" s="212">
        <f t="shared" si="2"/>
        <v>11671794</v>
      </c>
    </row>
    <row r="12" spans="2:27" s="14" customFormat="1" ht="13.5" x14ac:dyDescent="0.25">
      <c r="B12" s="19" t="s">
        <v>24</v>
      </c>
      <c r="C12" s="21"/>
      <c r="D12" s="22">
        <f>C12</f>
        <v>0</v>
      </c>
      <c r="E12" s="20">
        <f>D12-C12</f>
        <v>0</v>
      </c>
      <c r="F12" s="487"/>
      <c r="G12" s="22">
        <f>F12</f>
        <v>0</v>
      </c>
      <c r="H12" s="20">
        <f>G12-F12</f>
        <v>0</v>
      </c>
      <c r="I12" s="488"/>
      <c r="J12" s="489">
        <f>I12</f>
        <v>0</v>
      </c>
      <c r="K12" s="490">
        <f>J12-I12</f>
        <v>0</v>
      </c>
      <c r="L12" s="525">
        <f t="shared" si="13"/>
        <v>0</v>
      </c>
      <c r="M12" s="492">
        <f t="shared" si="13"/>
        <v>0</v>
      </c>
      <c r="N12" s="493">
        <f t="shared" si="14"/>
        <v>0</v>
      </c>
      <c r="O12" s="215"/>
      <c r="P12" s="22">
        <f>O12</f>
        <v>0</v>
      </c>
      <c r="Q12" s="20">
        <f>P12-O12</f>
        <v>0</v>
      </c>
      <c r="R12" s="494">
        <f t="shared" si="0"/>
        <v>0</v>
      </c>
      <c r="S12" s="495">
        <f t="shared" si="0"/>
        <v>0</v>
      </c>
      <c r="T12" s="496">
        <f t="shared" si="1"/>
        <v>0</v>
      </c>
      <c r="U12" s="497">
        <f t="shared" si="10"/>
        <v>0</v>
      </c>
      <c r="V12" s="498">
        <f t="shared" si="10"/>
        <v>0</v>
      </c>
      <c r="W12" s="499">
        <f t="shared" si="17"/>
        <v>0</v>
      </c>
      <c r="X12" s="21"/>
      <c r="Y12" s="22"/>
      <c r="Z12" s="20"/>
      <c r="AA12" s="13">
        <f t="shared" si="2"/>
        <v>0</v>
      </c>
    </row>
    <row r="13" spans="2:27" s="14" customFormat="1" ht="13.5" x14ac:dyDescent="0.25">
      <c r="B13" s="19" t="s">
        <v>25</v>
      </c>
      <c r="C13" s="21">
        <f t="shared" ref="C13:K13" si="27">SUM(C14:C15)</f>
        <v>0</v>
      </c>
      <c r="D13" s="22">
        <f t="shared" si="27"/>
        <v>0</v>
      </c>
      <c r="E13" s="20">
        <f t="shared" si="27"/>
        <v>0</v>
      </c>
      <c r="F13" s="487">
        <f t="shared" si="27"/>
        <v>0</v>
      </c>
      <c r="G13" s="22">
        <f t="shared" si="27"/>
        <v>0</v>
      </c>
      <c r="H13" s="20">
        <f t="shared" si="27"/>
        <v>0</v>
      </c>
      <c r="I13" s="488">
        <f t="shared" si="27"/>
        <v>0</v>
      </c>
      <c r="J13" s="489">
        <f t="shared" si="27"/>
        <v>0</v>
      </c>
      <c r="K13" s="490">
        <f t="shared" si="27"/>
        <v>0</v>
      </c>
      <c r="L13" s="491">
        <f t="shared" si="13"/>
        <v>0</v>
      </c>
      <c r="M13" s="492">
        <f t="shared" si="13"/>
        <v>0</v>
      </c>
      <c r="N13" s="493">
        <f t="shared" si="14"/>
        <v>0</v>
      </c>
      <c r="O13" s="215">
        <f>SUM(O14:O15)</f>
        <v>0</v>
      </c>
      <c r="P13" s="22">
        <f>SUM(P14:P15)</f>
        <v>0</v>
      </c>
      <c r="Q13" s="20">
        <f>SUM(Q14:Q15)</f>
        <v>0</v>
      </c>
      <c r="R13" s="494">
        <f t="shared" si="0"/>
        <v>0</v>
      </c>
      <c r="S13" s="495">
        <f t="shared" si="0"/>
        <v>0</v>
      </c>
      <c r="T13" s="496">
        <f t="shared" si="1"/>
        <v>0</v>
      </c>
      <c r="U13" s="497">
        <f t="shared" si="10"/>
        <v>0</v>
      </c>
      <c r="V13" s="498">
        <f t="shared" si="10"/>
        <v>0</v>
      </c>
      <c r="W13" s="499">
        <f t="shared" si="17"/>
        <v>0</v>
      </c>
      <c r="X13" s="21">
        <f t="shared" ref="X13:Y13" si="28">SUM(X14:X15)</f>
        <v>0</v>
      </c>
      <c r="Y13" s="22">
        <f t="shared" si="28"/>
        <v>0</v>
      </c>
      <c r="Z13" s="20">
        <f>SUM(Z14:Z15)</f>
        <v>0</v>
      </c>
      <c r="AA13" s="13">
        <f t="shared" si="2"/>
        <v>0</v>
      </c>
    </row>
    <row r="14" spans="2:27" s="14" customFormat="1" ht="26.25" x14ac:dyDescent="0.25">
      <c r="B14" s="33" t="s">
        <v>26</v>
      </c>
      <c r="C14" s="17"/>
      <c r="D14" s="18">
        <f>C14</f>
        <v>0</v>
      </c>
      <c r="E14" s="16">
        <f>D14-C14</f>
        <v>0</v>
      </c>
      <c r="F14" s="544"/>
      <c r="G14" s="18">
        <f>F14</f>
        <v>0</v>
      </c>
      <c r="H14" s="16">
        <f>G14-F14</f>
        <v>0</v>
      </c>
      <c r="I14" s="16"/>
      <c r="J14" s="18">
        <f>I14</f>
        <v>0</v>
      </c>
      <c r="K14" s="545">
        <f>J14-I14</f>
        <v>0</v>
      </c>
      <c r="L14" s="491">
        <f t="shared" si="13"/>
        <v>0</v>
      </c>
      <c r="M14" s="546">
        <f t="shared" si="13"/>
        <v>0</v>
      </c>
      <c r="N14" s="547">
        <f t="shared" si="14"/>
        <v>0</v>
      </c>
      <c r="O14" s="220"/>
      <c r="P14" s="18">
        <f>O14</f>
        <v>0</v>
      </c>
      <c r="Q14" s="16">
        <f>P14-O14</f>
        <v>0</v>
      </c>
      <c r="R14" s="494">
        <f t="shared" si="0"/>
        <v>0</v>
      </c>
      <c r="S14" s="548">
        <f t="shared" si="0"/>
        <v>0</v>
      </c>
      <c r="T14" s="549">
        <f t="shared" si="1"/>
        <v>0</v>
      </c>
      <c r="U14" s="550">
        <f t="shared" si="10"/>
        <v>0</v>
      </c>
      <c r="V14" s="498">
        <f t="shared" si="10"/>
        <v>0</v>
      </c>
      <c r="W14" s="499">
        <f t="shared" si="17"/>
        <v>0</v>
      </c>
      <c r="X14" s="17"/>
      <c r="Y14" s="18"/>
      <c r="Z14" s="16"/>
      <c r="AA14" s="13">
        <f t="shared" si="2"/>
        <v>0</v>
      </c>
    </row>
    <row r="15" spans="2:27" s="14" customFormat="1" ht="14.25" thickBot="1" x14ac:dyDescent="0.3">
      <c r="B15" s="33" t="s">
        <v>27</v>
      </c>
      <c r="C15" s="35"/>
      <c r="D15" s="36">
        <f t="shared" ref="D15" si="29">C15</f>
        <v>0</v>
      </c>
      <c r="E15" s="34">
        <f t="shared" ref="E15" si="30">D15-C15</f>
        <v>0</v>
      </c>
      <c r="F15" s="551"/>
      <c r="G15" s="36">
        <f t="shared" ref="G15" si="31">F15</f>
        <v>0</v>
      </c>
      <c r="H15" s="34">
        <f t="shared" ref="H15" si="32">G15-F15</f>
        <v>0</v>
      </c>
      <c r="I15" s="34"/>
      <c r="J15" s="36">
        <f t="shared" ref="J15" si="33">I15</f>
        <v>0</v>
      </c>
      <c r="K15" s="552">
        <f t="shared" ref="K15" si="34">J15-I15</f>
        <v>0</v>
      </c>
      <c r="L15" s="491">
        <f t="shared" si="13"/>
        <v>0</v>
      </c>
      <c r="M15" s="553">
        <f t="shared" si="13"/>
        <v>0</v>
      </c>
      <c r="N15" s="554">
        <f t="shared" si="14"/>
        <v>0</v>
      </c>
      <c r="O15" s="221"/>
      <c r="P15" s="36">
        <f t="shared" ref="P15" si="35">O15</f>
        <v>0</v>
      </c>
      <c r="Q15" s="34">
        <f t="shared" ref="Q15" si="36">P15-O15</f>
        <v>0</v>
      </c>
      <c r="R15" s="508">
        <f t="shared" si="0"/>
        <v>0</v>
      </c>
      <c r="S15" s="555">
        <f t="shared" si="0"/>
        <v>0</v>
      </c>
      <c r="T15" s="556">
        <f t="shared" si="1"/>
        <v>0</v>
      </c>
      <c r="U15" s="557">
        <f t="shared" si="10"/>
        <v>0</v>
      </c>
      <c r="V15" s="512">
        <f t="shared" si="10"/>
        <v>0</v>
      </c>
      <c r="W15" s="513">
        <f t="shared" si="17"/>
        <v>0</v>
      </c>
      <c r="X15" s="35"/>
      <c r="Y15" s="36"/>
      <c r="Z15" s="34"/>
      <c r="AA15" s="13">
        <f t="shared" si="2"/>
        <v>0</v>
      </c>
    </row>
    <row r="16" spans="2:27" s="29" customFormat="1" ht="14.25" customHeight="1" thickBot="1" x14ac:dyDescent="0.3">
      <c r="B16" s="25" t="s">
        <v>28</v>
      </c>
      <c r="C16" s="27">
        <f t="shared" ref="C16:K16" si="37">C13+C12+C10</f>
        <v>0</v>
      </c>
      <c r="D16" s="28">
        <f t="shared" si="37"/>
        <v>0</v>
      </c>
      <c r="E16" s="26">
        <f t="shared" si="37"/>
        <v>0</v>
      </c>
      <c r="F16" s="514">
        <f t="shared" si="37"/>
        <v>0</v>
      </c>
      <c r="G16" s="28">
        <f t="shared" si="37"/>
        <v>0</v>
      </c>
      <c r="H16" s="26">
        <f t="shared" si="37"/>
        <v>0</v>
      </c>
      <c r="I16" s="56">
        <f t="shared" si="37"/>
        <v>0</v>
      </c>
      <c r="J16" s="58">
        <f t="shared" si="37"/>
        <v>0</v>
      </c>
      <c r="K16" s="515">
        <f t="shared" si="37"/>
        <v>0</v>
      </c>
      <c r="L16" s="516">
        <f t="shared" si="13"/>
        <v>0</v>
      </c>
      <c r="M16" s="517">
        <f t="shared" si="13"/>
        <v>0</v>
      </c>
      <c r="N16" s="518">
        <f t="shared" si="14"/>
        <v>0</v>
      </c>
      <c r="O16" s="217">
        <f>O13+O12+O10</f>
        <v>11671794</v>
      </c>
      <c r="P16" s="28">
        <f>P13+P12+P10</f>
        <v>11671794</v>
      </c>
      <c r="Q16" s="26">
        <f>Q13+Q12+Q10</f>
        <v>0</v>
      </c>
      <c r="R16" s="519">
        <f t="shared" si="0"/>
        <v>11671794</v>
      </c>
      <c r="S16" s="520">
        <f t="shared" si="0"/>
        <v>11671794</v>
      </c>
      <c r="T16" s="521">
        <f t="shared" si="1"/>
        <v>0</v>
      </c>
      <c r="U16" s="522">
        <f t="shared" si="10"/>
        <v>11671794</v>
      </c>
      <c r="V16" s="558">
        <f t="shared" si="10"/>
        <v>11671794</v>
      </c>
      <c r="W16" s="559">
        <f t="shared" si="10"/>
        <v>0</v>
      </c>
      <c r="X16" s="27">
        <f>X13+X12+X10</f>
        <v>11671794</v>
      </c>
      <c r="Y16" s="28">
        <f>Y13+Y12+Y10</f>
        <v>0</v>
      </c>
      <c r="Z16" s="26">
        <f>Z13+Z12+Z10</f>
        <v>0</v>
      </c>
      <c r="AA16" s="13">
        <f t="shared" si="2"/>
        <v>11671794</v>
      </c>
    </row>
    <row r="17" spans="2:27" s="29" customFormat="1" ht="15.75" customHeight="1" thickBot="1" x14ac:dyDescent="0.3">
      <c r="B17" s="37" t="s">
        <v>29</v>
      </c>
      <c r="C17" s="27">
        <f t="shared" ref="C17:K17" si="38">C16+C9</f>
        <v>0</v>
      </c>
      <c r="D17" s="28">
        <f t="shared" si="38"/>
        <v>0</v>
      </c>
      <c r="E17" s="26">
        <f t="shared" si="38"/>
        <v>0</v>
      </c>
      <c r="F17" s="560">
        <f t="shared" si="38"/>
        <v>350000</v>
      </c>
      <c r="G17" s="28">
        <f t="shared" si="38"/>
        <v>1020000</v>
      </c>
      <c r="H17" s="26">
        <f t="shared" si="38"/>
        <v>670000</v>
      </c>
      <c r="I17" s="561">
        <f t="shared" si="38"/>
        <v>1200000</v>
      </c>
      <c r="J17" s="58">
        <f t="shared" si="38"/>
        <v>2030807</v>
      </c>
      <c r="K17" s="515">
        <f t="shared" si="38"/>
        <v>830807</v>
      </c>
      <c r="L17" s="562">
        <f t="shared" si="13"/>
        <v>1550000</v>
      </c>
      <c r="M17" s="517">
        <f t="shared" si="13"/>
        <v>3050807</v>
      </c>
      <c r="N17" s="518">
        <f t="shared" si="14"/>
        <v>1500807</v>
      </c>
      <c r="O17" s="222">
        <f>O16+O9</f>
        <v>277361239</v>
      </c>
      <c r="P17" s="28">
        <f>P16+P9</f>
        <v>284803476</v>
      </c>
      <c r="Q17" s="26">
        <f>Q16+Q9</f>
        <v>7442237</v>
      </c>
      <c r="R17" s="563">
        <f t="shared" si="0"/>
        <v>278911239</v>
      </c>
      <c r="S17" s="520">
        <f t="shared" si="0"/>
        <v>287854283</v>
      </c>
      <c r="T17" s="521">
        <f t="shared" si="1"/>
        <v>8943044</v>
      </c>
      <c r="U17" s="564">
        <f t="shared" si="10"/>
        <v>278911239</v>
      </c>
      <c r="V17" s="558">
        <f t="shared" si="10"/>
        <v>287854283</v>
      </c>
      <c r="W17" s="559">
        <f t="shared" si="10"/>
        <v>8943044</v>
      </c>
      <c r="X17" s="39">
        <f>X16+X9</f>
        <v>287454283</v>
      </c>
      <c r="Y17" s="40">
        <f>Y16+Y9</f>
        <v>400000</v>
      </c>
      <c r="Z17" s="38">
        <f>Z16+Z9</f>
        <v>0</v>
      </c>
      <c r="AA17" s="13">
        <f t="shared" si="2"/>
        <v>287854283</v>
      </c>
    </row>
    <row r="18" spans="2:27" s="14" customFormat="1" ht="14.25" thickBot="1" x14ac:dyDescent="0.3">
      <c r="B18" s="41" t="s">
        <v>30</v>
      </c>
      <c r="C18" s="565">
        <v>2388825</v>
      </c>
      <c r="D18" s="566">
        <f>C18</f>
        <v>2388825</v>
      </c>
      <c r="E18" s="567">
        <f>D18-C18</f>
        <v>0</v>
      </c>
      <c r="F18" s="474">
        <v>709724</v>
      </c>
      <c r="G18" s="566">
        <f>F18</f>
        <v>709724</v>
      </c>
      <c r="H18" s="567">
        <f>G18-F18</f>
        <v>0</v>
      </c>
      <c r="I18" s="475">
        <v>2528757</v>
      </c>
      <c r="J18" s="568">
        <f>I18</f>
        <v>2528757</v>
      </c>
      <c r="K18" s="569">
        <f>J18-I18</f>
        <v>0</v>
      </c>
      <c r="L18" s="478">
        <f t="shared" si="13"/>
        <v>5627306</v>
      </c>
      <c r="M18" s="517">
        <f t="shared" si="13"/>
        <v>5627306</v>
      </c>
      <c r="N18" s="518">
        <f t="shared" si="14"/>
        <v>0</v>
      </c>
      <c r="O18" s="214">
        <v>540000000</v>
      </c>
      <c r="P18" s="566">
        <v>545625371</v>
      </c>
      <c r="Q18" s="567">
        <f>P18-O18</f>
        <v>5625371</v>
      </c>
      <c r="R18" s="481">
        <f t="shared" si="0"/>
        <v>545627306</v>
      </c>
      <c r="S18" s="520">
        <f t="shared" si="0"/>
        <v>551252677</v>
      </c>
      <c r="T18" s="521">
        <f t="shared" si="1"/>
        <v>5625371</v>
      </c>
      <c r="U18" s="484">
        <f t="shared" si="10"/>
        <v>545627306</v>
      </c>
      <c r="V18" s="558">
        <f>S18</f>
        <v>551252677</v>
      </c>
      <c r="W18" s="559">
        <f>V18-U18</f>
        <v>5625371</v>
      </c>
      <c r="X18" s="11">
        <f>V18</f>
        <v>551252677</v>
      </c>
      <c r="Y18" s="12"/>
      <c r="Z18" s="10"/>
      <c r="AA18" s="13">
        <f t="shared" si="2"/>
        <v>551252677</v>
      </c>
    </row>
    <row r="19" spans="2:27" s="14" customFormat="1" ht="13.5" x14ac:dyDescent="0.25">
      <c r="B19" s="9" t="s">
        <v>31</v>
      </c>
      <c r="C19" s="11">
        <f>SUM(C20:C21)</f>
        <v>10404697</v>
      </c>
      <c r="D19" s="12">
        <f>SUM(D20:D21)</f>
        <v>11094021</v>
      </c>
      <c r="E19" s="10">
        <f>D19-C19</f>
        <v>689324</v>
      </c>
      <c r="F19" s="570">
        <f>SUM(F20:F21)</f>
        <v>17421251</v>
      </c>
      <c r="G19" s="571">
        <f>SUM(G20:G21)</f>
        <v>18377652</v>
      </c>
      <c r="H19" s="475">
        <f>G19-F19</f>
        <v>956401</v>
      </c>
      <c r="I19" s="475">
        <f>SUM(I20:I21)</f>
        <v>38695633</v>
      </c>
      <c r="J19" s="571">
        <f>I19</f>
        <v>38695633</v>
      </c>
      <c r="K19" s="572">
        <f>J19-I19</f>
        <v>0</v>
      </c>
      <c r="L19" s="478">
        <f t="shared" si="13"/>
        <v>66521581</v>
      </c>
      <c r="M19" s="573">
        <f t="shared" si="13"/>
        <v>68167306</v>
      </c>
      <c r="N19" s="574">
        <f t="shared" si="14"/>
        <v>1645725</v>
      </c>
      <c r="O19" s="214"/>
      <c r="P19" s="12">
        <f>O19</f>
        <v>0</v>
      </c>
      <c r="Q19" s="10">
        <f>P19-O19</f>
        <v>0</v>
      </c>
      <c r="R19" s="481">
        <f t="shared" si="0"/>
        <v>66521581</v>
      </c>
      <c r="S19" s="575">
        <f t="shared" si="0"/>
        <v>68167306</v>
      </c>
      <c r="T19" s="576">
        <f t="shared" si="1"/>
        <v>1645725</v>
      </c>
      <c r="U19" s="484">
        <f>R19-L19</f>
        <v>0</v>
      </c>
      <c r="V19" s="484">
        <f>S19-M19</f>
        <v>0</v>
      </c>
      <c r="W19" s="577">
        <f t="shared" si="17"/>
        <v>0</v>
      </c>
      <c r="X19" s="11"/>
      <c r="Y19" s="12"/>
      <c r="Z19" s="10"/>
      <c r="AA19" s="13">
        <f t="shared" si="2"/>
        <v>0</v>
      </c>
    </row>
    <row r="20" spans="2:27" s="14" customFormat="1" ht="13.5" x14ac:dyDescent="0.25">
      <c r="B20" s="15" t="s">
        <v>147</v>
      </c>
      <c r="C20" s="578">
        <v>6968960</v>
      </c>
      <c r="D20" s="535">
        <v>7658284</v>
      </c>
      <c r="E20" s="207">
        <f>D20-C20</f>
        <v>689324</v>
      </c>
      <c r="F20" s="544">
        <v>3287570</v>
      </c>
      <c r="G20" s="535">
        <v>4243971</v>
      </c>
      <c r="H20" s="207">
        <f>G20-F20</f>
        <v>956401</v>
      </c>
      <c r="I20" s="16">
        <v>34029400</v>
      </c>
      <c r="J20" s="535">
        <f>I20</f>
        <v>34029400</v>
      </c>
      <c r="K20" s="536">
        <f>J20-I20</f>
        <v>0</v>
      </c>
      <c r="L20" s="491">
        <f t="shared" si="13"/>
        <v>44285930</v>
      </c>
      <c r="M20" s="546">
        <f t="shared" si="13"/>
        <v>45931655</v>
      </c>
      <c r="N20" s="547">
        <f t="shared" si="14"/>
        <v>1645725</v>
      </c>
      <c r="O20" s="220"/>
      <c r="P20" s="535">
        <f>O20</f>
        <v>0</v>
      </c>
      <c r="Q20" s="207">
        <f>P20-O20</f>
        <v>0</v>
      </c>
      <c r="R20" s="494">
        <f t="shared" si="0"/>
        <v>44285930</v>
      </c>
      <c r="S20" s="579">
        <f t="shared" si="0"/>
        <v>45931655</v>
      </c>
      <c r="T20" s="580">
        <f t="shared" si="1"/>
        <v>1645725</v>
      </c>
      <c r="U20" s="550"/>
      <c r="V20" s="542">
        <f t="shared" ref="V20:V21" si="39">S20-M20</f>
        <v>0</v>
      </c>
      <c r="W20" s="543">
        <f t="shared" si="17"/>
        <v>0</v>
      </c>
      <c r="X20" s="17"/>
      <c r="Y20" s="18"/>
      <c r="Z20" s="16"/>
      <c r="AA20" s="13">
        <f>SUM(X20:Z20)</f>
        <v>0</v>
      </c>
    </row>
    <row r="21" spans="2:27" s="14" customFormat="1" ht="14.25" thickBot="1" x14ac:dyDescent="0.3">
      <c r="B21" s="206" t="s">
        <v>148</v>
      </c>
      <c r="C21" s="581">
        <v>3435737</v>
      </c>
      <c r="D21" s="582">
        <f>C21</f>
        <v>3435737</v>
      </c>
      <c r="E21" s="208">
        <f>D21-C21</f>
        <v>0</v>
      </c>
      <c r="F21" s="583">
        <v>14133681</v>
      </c>
      <c r="G21" s="582">
        <f>F21</f>
        <v>14133681</v>
      </c>
      <c r="H21" s="208">
        <f>G21-F21</f>
        <v>0</v>
      </c>
      <c r="I21" s="52">
        <v>4666233</v>
      </c>
      <c r="J21" s="582">
        <f>I21</f>
        <v>4666233</v>
      </c>
      <c r="K21" s="584">
        <f>J21-I21</f>
        <v>0</v>
      </c>
      <c r="L21" s="585">
        <f t="shared" si="13"/>
        <v>22235651</v>
      </c>
      <c r="M21" s="586">
        <f t="shared" si="13"/>
        <v>22235651</v>
      </c>
      <c r="N21" s="587">
        <f t="shared" si="14"/>
        <v>0</v>
      </c>
      <c r="O21" s="223"/>
      <c r="P21" s="582">
        <f>O21</f>
        <v>0</v>
      </c>
      <c r="Q21" s="208">
        <f>P21-O21</f>
        <v>0</v>
      </c>
      <c r="R21" s="588">
        <f t="shared" si="0"/>
        <v>22235651</v>
      </c>
      <c r="S21" s="589">
        <f t="shared" si="0"/>
        <v>22235651</v>
      </c>
      <c r="T21" s="590">
        <f t="shared" si="1"/>
        <v>0</v>
      </c>
      <c r="U21" s="591"/>
      <c r="V21" s="592">
        <f t="shared" si="39"/>
        <v>0</v>
      </c>
      <c r="W21" s="593">
        <f t="shared" si="17"/>
        <v>0</v>
      </c>
      <c r="X21" s="53"/>
      <c r="Y21" s="54"/>
      <c r="Z21" s="52"/>
      <c r="AA21" s="13">
        <f>SUM(X21:Z21)</f>
        <v>0</v>
      </c>
    </row>
    <row r="22" spans="2:27" s="29" customFormat="1" ht="15.75" customHeight="1" thickBot="1" x14ac:dyDescent="0.3">
      <c r="B22" s="25" t="s">
        <v>32</v>
      </c>
      <c r="C22" s="27">
        <f t="shared" ref="C22:K22" si="40">SUM(C18+C19)</f>
        <v>12793522</v>
      </c>
      <c r="D22" s="28">
        <f t="shared" si="40"/>
        <v>13482846</v>
      </c>
      <c r="E22" s="26">
        <f t="shared" si="40"/>
        <v>689324</v>
      </c>
      <c r="F22" s="594">
        <f t="shared" si="40"/>
        <v>18130975</v>
      </c>
      <c r="G22" s="58">
        <f t="shared" si="40"/>
        <v>19087376</v>
      </c>
      <c r="H22" s="56">
        <f t="shared" si="40"/>
        <v>956401</v>
      </c>
      <c r="I22" s="56">
        <f t="shared" si="40"/>
        <v>41224390</v>
      </c>
      <c r="J22" s="58">
        <f t="shared" si="40"/>
        <v>41224390</v>
      </c>
      <c r="K22" s="515">
        <f t="shared" si="40"/>
        <v>0</v>
      </c>
      <c r="L22" s="516">
        <f t="shared" si="13"/>
        <v>72148887</v>
      </c>
      <c r="M22" s="517">
        <f t="shared" si="13"/>
        <v>73794612</v>
      </c>
      <c r="N22" s="518">
        <f t="shared" si="14"/>
        <v>1645725</v>
      </c>
      <c r="O22" s="217">
        <f>SUM(O18)</f>
        <v>540000000</v>
      </c>
      <c r="P22" s="28">
        <f>SUM(P18+P19)</f>
        <v>545625371</v>
      </c>
      <c r="Q22" s="26">
        <f>SUM(Q18+Q19)</f>
        <v>5625371</v>
      </c>
      <c r="R22" s="519">
        <f t="shared" ref="R22:S23" si="41">L22+O22</f>
        <v>612148887</v>
      </c>
      <c r="S22" s="520">
        <f t="shared" si="41"/>
        <v>619419983</v>
      </c>
      <c r="T22" s="521">
        <f t="shared" si="1"/>
        <v>7271096</v>
      </c>
      <c r="U22" s="522">
        <f>SUM(U18)</f>
        <v>545627306</v>
      </c>
      <c r="V22" s="522">
        <f>SUM(V18)</f>
        <v>551252677</v>
      </c>
      <c r="W22" s="559">
        <f t="shared" si="17"/>
        <v>5625371</v>
      </c>
      <c r="X22" s="217">
        <f>SUM(X18)</f>
        <v>551252677</v>
      </c>
      <c r="Y22" s="28"/>
      <c r="Z22" s="26"/>
      <c r="AA22" s="13">
        <f t="shared" si="2"/>
        <v>551252677</v>
      </c>
    </row>
    <row r="23" spans="2:27" s="29" customFormat="1" ht="15.75" customHeight="1" thickBot="1" x14ac:dyDescent="0.3">
      <c r="B23" s="45" t="s">
        <v>33</v>
      </c>
      <c r="C23" s="27">
        <f t="shared" ref="C23:K23" si="42">C9+C16+C22</f>
        <v>12793522</v>
      </c>
      <c r="D23" s="28">
        <f t="shared" si="42"/>
        <v>13482846</v>
      </c>
      <c r="E23" s="26">
        <f t="shared" si="42"/>
        <v>689324</v>
      </c>
      <c r="F23" s="595">
        <f t="shared" si="42"/>
        <v>18480975</v>
      </c>
      <c r="G23" s="58">
        <f t="shared" si="42"/>
        <v>20107376</v>
      </c>
      <c r="H23" s="56">
        <f t="shared" si="42"/>
        <v>1626401</v>
      </c>
      <c r="I23" s="596">
        <f t="shared" si="42"/>
        <v>42424390</v>
      </c>
      <c r="J23" s="58">
        <f t="shared" si="42"/>
        <v>43255197</v>
      </c>
      <c r="K23" s="515">
        <f t="shared" si="42"/>
        <v>830807</v>
      </c>
      <c r="L23" s="597">
        <f t="shared" si="13"/>
        <v>73698887</v>
      </c>
      <c r="M23" s="517">
        <f t="shared" si="13"/>
        <v>76845419</v>
      </c>
      <c r="N23" s="518">
        <f t="shared" si="14"/>
        <v>3146532</v>
      </c>
      <c r="O23" s="224">
        <f>O9+O16+O18</f>
        <v>817361239</v>
      </c>
      <c r="P23" s="28">
        <f>P9+P16+P22</f>
        <v>830428847</v>
      </c>
      <c r="Q23" s="26">
        <f>Q9+Q16+Q22</f>
        <v>13067608</v>
      </c>
      <c r="R23" s="598">
        <f t="shared" si="41"/>
        <v>891060126</v>
      </c>
      <c r="S23" s="520">
        <f t="shared" si="41"/>
        <v>907274266</v>
      </c>
      <c r="T23" s="521">
        <f t="shared" si="1"/>
        <v>16214140</v>
      </c>
      <c r="U23" s="599">
        <f>U9+U16+U18</f>
        <v>824538545</v>
      </c>
      <c r="V23" s="558">
        <f>V9+V16+V18</f>
        <v>839106960</v>
      </c>
      <c r="W23" s="559">
        <f t="shared" si="17"/>
        <v>14568415</v>
      </c>
      <c r="X23" s="224">
        <f>X9+X16+X18</f>
        <v>838706960</v>
      </c>
      <c r="Y23" s="224">
        <f>Y9+Y16+Y18</f>
        <v>400000</v>
      </c>
      <c r="Z23" s="46"/>
      <c r="AA23" s="13">
        <f t="shared" si="2"/>
        <v>839106960</v>
      </c>
    </row>
    <row r="24" spans="2:27" s="14" customFormat="1" ht="14.25" thickBot="1" x14ac:dyDescent="0.3">
      <c r="L24" s="49"/>
      <c r="R24" s="50"/>
      <c r="S24" s="29"/>
      <c r="T24" s="29"/>
      <c r="V24" s="29"/>
      <c r="W24" s="29"/>
      <c r="AA24" s="13">
        <f t="shared" si="2"/>
        <v>0</v>
      </c>
    </row>
    <row r="25" spans="2:27" s="14" customFormat="1" ht="43.15" customHeight="1" thickBot="1" x14ac:dyDescent="0.3">
      <c r="B25" s="777" t="s">
        <v>34</v>
      </c>
      <c r="C25" s="779" t="s">
        <v>7</v>
      </c>
      <c r="D25" s="780"/>
      <c r="E25" s="781"/>
      <c r="F25" s="782" t="s">
        <v>8</v>
      </c>
      <c r="G25" s="783"/>
      <c r="H25" s="784"/>
      <c r="I25" s="785" t="s">
        <v>9</v>
      </c>
      <c r="J25" s="783"/>
      <c r="K25" s="783"/>
      <c r="L25" s="786" t="s">
        <v>10</v>
      </c>
      <c r="M25" s="787"/>
      <c r="N25" s="788"/>
      <c r="O25" s="789" t="s">
        <v>11</v>
      </c>
      <c r="P25" s="790"/>
      <c r="Q25" s="791"/>
      <c r="R25" s="771" t="s">
        <v>12</v>
      </c>
      <c r="S25" s="772"/>
      <c r="T25" s="773"/>
      <c r="U25" s="774" t="s">
        <v>13</v>
      </c>
      <c r="V25" s="775"/>
      <c r="W25" s="776"/>
      <c r="X25" s="5" t="s">
        <v>14</v>
      </c>
      <c r="Y25" s="6" t="s">
        <v>15</v>
      </c>
      <c r="Z25" s="7" t="s">
        <v>16</v>
      </c>
      <c r="AA25" s="13">
        <f t="shared" si="2"/>
        <v>0</v>
      </c>
    </row>
    <row r="26" spans="2:27" s="8" customFormat="1" ht="26.25" thickBot="1" x14ac:dyDescent="0.25">
      <c r="B26" s="778"/>
      <c r="C26" s="600" t="s">
        <v>364</v>
      </c>
      <c r="D26" s="601" t="s">
        <v>365</v>
      </c>
      <c r="E26" s="602" t="s">
        <v>366</v>
      </c>
      <c r="F26" s="460" t="s">
        <v>364</v>
      </c>
      <c r="G26" s="601" t="s">
        <v>365</v>
      </c>
      <c r="H26" s="602" t="s">
        <v>366</v>
      </c>
      <c r="I26" s="460" t="s">
        <v>364</v>
      </c>
      <c r="J26" s="601" t="s">
        <v>365</v>
      </c>
      <c r="K26" s="603" t="s">
        <v>366</v>
      </c>
      <c r="L26" s="604" t="s">
        <v>364</v>
      </c>
      <c r="M26" s="605" t="s">
        <v>365</v>
      </c>
      <c r="N26" s="606" t="s">
        <v>366</v>
      </c>
      <c r="O26" s="460" t="s">
        <v>364</v>
      </c>
      <c r="P26" s="601" t="s">
        <v>365</v>
      </c>
      <c r="Q26" s="602" t="s">
        <v>366</v>
      </c>
      <c r="R26" s="607" t="s">
        <v>364</v>
      </c>
      <c r="S26" s="605" t="s">
        <v>365</v>
      </c>
      <c r="T26" s="608" t="s">
        <v>366</v>
      </c>
      <c r="U26" s="470" t="s">
        <v>364</v>
      </c>
      <c r="V26" s="471" t="s">
        <v>365</v>
      </c>
      <c r="W26" s="472" t="s">
        <v>366</v>
      </c>
      <c r="X26" s="461" t="s">
        <v>365</v>
      </c>
      <c r="Y26" s="461" t="s">
        <v>365</v>
      </c>
      <c r="Z26" s="461" t="s">
        <v>365</v>
      </c>
    </row>
    <row r="27" spans="2:27" s="14" customFormat="1" ht="13.5" x14ac:dyDescent="0.25">
      <c r="B27" s="9" t="s">
        <v>35</v>
      </c>
      <c r="C27" s="609">
        <v>9175392</v>
      </c>
      <c r="D27" s="476">
        <v>9766367</v>
      </c>
      <c r="E27" s="524">
        <f>D27-C27</f>
        <v>590975</v>
      </c>
      <c r="F27" s="610">
        <v>9835195</v>
      </c>
      <c r="G27" s="476">
        <v>10541243</v>
      </c>
      <c r="H27" s="524">
        <f>G27-F27</f>
        <v>706048</v>
      </c>
      <c r="I27" s="524">
        <v>29590000</v>
      </c>
      <c r="J27" s="476">
        <v>30217853</v>
      </c>
      <c r="K27" s="477">
        <f>J27-I27</f>
        <v>627853</v>
      </c>
      <c r="L27" s="525">
        <f t="shared" ref="L27:M35" si="43">C27+F27+I27</f>
        <v>48600587</v>
      </c>
      <c r="M27" s="611">
        <f t="shared" si="43"/>
        <v>50525463</v>
      </c>
      <c r="N27" s="480">
        <f t="shared" ref="N27:N46" si="44">M27-L27</f>
        <v>1924876</v>
      </c>
      <c r="O27" s="218">
        <v>32458087</v>
      </c>
      <c r="P27" s="31">
        <v>32755287</v>
      </c>
      <c r="Q27" s="30">
        <f>P27-O27</f>
        <v>297200</v>
      </c>
      <c r="R27" s="528">
        <f t="shared" ref="R27:S46" si="45">L27+O27</f>
        <v>81058674</v>
      </c>
      <c r="S27" s="482">
        <f t="shared" si="45"/>
        <v>83280750</v>
      </c>
      <c r="T27" s="483">
        <f t="shared" ref="T27:T46" si="46">S27-R27</f>
        <v>2222076</v>
      </c>
      <c r="U27" s="529">
        <f>R27</f>
        <v>81058674</v>
      </c>
      <c r="V27" s="529">
        <f>S27</f>
        <v>83280750</v>
      </c>
      <c r="W27" s="612">
        <f t="shared" ref="W27:W46" si="47">V27-U27</f>
        <v>2222076</v>
      </c>
      <c r="X27" s="11">
        <f>V27</f>
        <v>83280750</v>
      </c>
      <c r="Y27" s="12"/>
      <c r="Z27" s="10"/>
      <c r="AA27" s="13">
        <f t="shared" si="2"/>
        <v>83280750</v>
      </c>
    </row>
    <row r="28" spans="2:27" s="14" customFormat="1" ht="13.5" x14ac:dyDescent="0.25">
      <c r="B28" s="19" t="s">
        <v>36</v>
      </c>
      <c r="C28" s="613">
        <v>1787920</v>
      </c>
      <c r="D28" s="489">
        <v>1902269</v>
      </c>
      <c r="E28" s="488">
        <f>D28-C28</f>
        <v>114349</v>
      </c>
      <c r="F28" s="614">
        <v>1954610</v>
      </c>
      <c r="G28" s="489">
        <v>2063907</v>
      </c>
      <c r="H28" s="488">
        <f>G28-F28</f>
        <v>109297</v>
      </c>
      <c r="I28" s="488">
        <v>5943290</v>
      </c>
      <c r="J28" s="489">
        <v>6053154</v>
      </c>
      <c r="K28" s="490">
        <f>J28-I28</f>
        <v>109864</v>
      </c>
      <c r="L28" s="525">
        <f t="shared" si="43"/>
        <v>9685820</v>
      </c>
      <c r="M28" s="546">
        <f t="shared" si="43"/>
        <v>10019330</v>
      </c>
      <c r="N28" s="547">
        <f t="shared" si="44"/>
        <v>333510</v>
      </c>
      <c r="O28" s="215">
        <v>6897882</v>
      </c>
      <c r="P28" s="22">
        <f>O28</f>
        <v>6897882</v>
      </c>
      <c r="Q28" s="20">
        <f>P28-O28</f>
        <v>0</v>
      </c>
      <c r="R28" s="494">
        <f t="shared" si="45"/>
        <v>16583702</v>
      </c>
      <c r="S28" s="495">
        <f t="shared" si="45"/>
        <v>16917212</v>
      </c>
      <c r="T28" s="496">
        <f t="shared" si="46"/>
        <v>333510</v>
      </c>
      <c r="U28" s="497">
        <f t="shared" ref="U28:V30" si="48">R28</f>
        <v>16583702</v>
      </c>
      <c r="V28" s="498">
        <f t="shared" si="48"/>
        <v>16917212</v>
      </c>
      <c r="W28" s="615">
        <f t="shared" si="47"/>
        <v>333510</v>
      </c>
      <c r="X28" s="21">
        <f t="shared" ref="X28:X30" si="49">V28</f>
        <v>16917212</v>
      </c>
      <c r="Y28" s="22"/>
      <c r="Z28" s="20"/>
      <c r="AA28" s="13">
        <f t="shared" si="2"/>
        <v>16917212</v>
      </c>
    </row>
    <row r="29" spans="2:27" s="14" customFormat="1" ht="13.5" x14ac:dyDescent="0.25">
      <c r="B29" s="19" t="s">
        <v>0</v>
      </c>
      <c r="C29" s="613">
        <v>1830210</v>
      </c>
      <c r="D29" s="489">
        <v>1814210</v>
      </c>
      <c r="E29" s="488">
        <f>D29-C29</f>
        <v>-16000</v>
      </c>
      <c r="F29" s="614">
        <v>6691170</v>
      </c>
      <c r="G29" s="489">
        <v>7502226</v>
      </c>
      <c r="H29" s="488">
        <f>G29-F29</f>
        <v>811056</v>
      </c>
      <c r="I29" s="488">
        <v>6761100</v>
      </c>
      <c r="J29" s="489">
        <v>6854190</v>
      </c>
      <c r="K29" s="490">
        <f>J29-I29</f>
        <v>93090</v>
      </c>
      <c r="L29" s="525">
        <f t="shared" si="43"/>
        <v>15282480</v>
      </c>
      <c r="M29" s="546">
        <f t="shared" si="43"/>
        <v>16170626</v>
      </c>
      <c r="N29" s="547">
        <f t="shared" si="44"/>
        <v>888146</v>
      </c>
      <c r="O29" s="215">
        <v>61790950</v>
      </c>
      <c r="P29" s="22">
        <f>120659540+381000</f>
        <v>121040540</v>
      </c>
      <c r="Q29" s="20">
        <f>P29-O29</f>
        <v>59249590</v>
      </c>
      <c r="R29" s="494">
        <f t="shared" si="45"/>
        <v>77073430</v>
      </c>
      <c r="S29" s="495">
        <f t="shared" si="45"/>
        <v>137211166</v>
      </c>
      <c r="T29" s="496">
        <f t="shared" si="46"/>
        <v>60137736</v>
      </c>
      <c r="U29" s="497">
        <f t="shared" si="48"/>
        <v>77073430</v>
      </c>
      <c r="V29" s="498">
        <f t="shared" si="48"/>
        <v>137211166</v>
      </c>
      <c r="W29" s="615">
        <f t="shared" si="47"/>
        <v>60137736</v>
      </c>
      <c r="X29" s="21">
        <f>V29-400000</f>
        <v>136811166</v>
      </c>
      <c r="Y29" s="22">
        <v>400000</v>
      </c>
      <c r="Z29" s="20"/>
      <c r="AA29" s="13">
        <f t="shared" si="2"/>
        <v>137211166</v>
      </c>
    </row>
    <row r="30" spans="2:27" s="14" customFormat="1" ht="13.5" x14ac:dyDescent="0.25">
      <c r="B30" s="19" t="s">
        <v>1</v>
      </c>
      <c r="C30" s="613"/>
      <c r="D30" s="489">
        <f>C30</f>
        <v>0</v>
      </c>
      <c r="E30" s="488">
        <f>D30-C30</f>
        <v>0</v>
      </c>
      <c r="F30" s="614"/>
      <c r="G30" s="489">
        <f>F30</f>
        <v>0</v>
      </c>
      <c r="H30" s="488">
        <f>G30-F30</f>
        <v>0</v>
      </c>
      <c r="I30" s="488"/>
      <c r="J30" s="489">
        <f>I30</f>
        <v>0</v>
      </c>
      <c r="K30" s="490">
        <f>J30-I30</f>
        <v>0</v>
      </c>
      <c r="L30" s="525">
        <f t="shared" si="43"/>
        <v>0</v>
      </c>
      <c r="M30" s="546">
        <f t="shared" si="43"/>
        <v>0</v>
      </c>
      <c r="N30" s="547">
        <f t="shared" si="44"/>
        <v>0</v>
      </c>
      <c r="O30" s="215">
        <v>11859000</v>
      </c>
      <c r="P30" s="22">
        <f>O30</f>
        <v>11859000</v>
      </c>
      <c r="Q30" s="20">
        <f>P30-O30</f>
        <v>0</v>
      </c>
      <c r="R30" s="494">
        <f t="shared" si="45"/>
        <v>11859000</v>
      </c>
      <c r="S30" s="495">
        <f t="shared" si="45"/>
        <v>11859000</v>
      </c>
      <c r="T30" s="496">
        <f t="shared" si="46"/>
        <v>0</v>
      </c>
      <c r="U30" s="497">
        <f t="shared" si="48"/>
        <v>11859000</v>
      </c>
      <c r="V30" s="498">
        <f t="shared" si="48"/>
        <v>11859000</v>
      </c>
      <c r="W30" s="615">
        <f t="shared" si="47"/>
        <v>0</v>
      </c>
      <c r="X30" s="21">
        <f t="shared" si="49"/>
        <v>11859000</v>
      </c>
      <c r="Y30" s="22"/>
      <c r="Z30" s="20"/>
      <c r="AA30" s="13">
        <f t="shared" si="2"/>
        <v>11859000</v>
      </c>
    </row>
    <row r="31" spans="2:27" s="14" customFormat="1" ht="13.5" x14ac:dyDescent="0.25">
      <c r="B31" s="19" t="s">
        <v>37</v>
      </c>
      <c r="C31" s="613">
        <f t="shared" ref="C31:K31" si="50">SUM(C32:C35)</f>
        <v>0</v>
      </c>
      <c r="D31" s="489">
        <f t="shared" si="50"/>
        <v>0</v>
      </c>
      <c r="E31" s="488">
        <f t="shared" si="50"/>
        <v>0</v>
      </c>
      <c r="F31" s="614">
        <f t="shared" si="50"/>
        <v>0</v>
      </c>
      <c r="G31" s="489">
        <f t="shared" si="50"/>
        <v>0</v>
      </c>
      <c r="H31" s="488">
        <f t="shared" si="50"/>
        <v>0</v>
      </c>
      <c r="I31" s="488">
        <f t="shared" si="50"/>
        <v>0</v>
      </c>
      <c r="J31" s="489">
        <f t="shared" si="50"/>
        <v>0</v>
      </c>
      <c r="K31" s="490">
        <f t="shared" si="50"/>
        <v>0</v>
      </c>
      <c r="L31" s="491">
        <f t="shared" si="43"/>
        <v>0</v>
      </c>
      <c r="M31" s="546">
        <f t="shared" si="43"/>
        <v>0</v>
      </c>
      <c r="N31" s="547">
        <f t="shared" si="44"/>
        <v>0</v>
      </c>
      <c r="O31" s="215">
        <f>SUM(O32:O35)</f>
        <v>352251826</v>
      </c>
      <c r="P31" s="22">
        <f>SUM(P32:P35)</f>
        <v>254363671</v>
      </c>
      <c r="Q31" s="20">
        <f>SUM(Q32:Q35)</f>
        <v>-97888155</v>
      </c>
      <c r="R31" s="494">
        <f t="shared" si="45"/>
        <v>352251826</v>
      </c>
      <c r="S31" s="495">
        <f t="shared" si="45"/>
        <v>254363671</v>
      </c>
      <c r="T31" s="496">
        <f t="shared" si="46"/>
        <v>-97888155</v>
      </c>
      <c r="U31" s="497">
        <f>SUM(U32:U35)</f>
        <v>352251826</v>
      </c>
      <c r="V31" s="497">
        <f>SUM(V32:V35)</f>
        <v>254363671</v>
      </c>
      <c r="W31" s="615">
        <f t="shared" si="47"/>
        <v>-97888155</v>
      </c>
      <c r="X31" s="21">
        <f>SUM(X32:X35)</f>
        <v>252779671</v>
      </c>
      <c r="Y31" s="22">
        <f>SUM(Y32:Y35)</f>
        <v>1584000</v>
      </c>
      <c r="Z31" s="20">
        <f>SUM(Z32:Z35)</f>
        <v>0</v>
      </c>
      <c r="AA31" s="13">
        <f t="shared" si="2"/>
        <v>254363671</v>
      </c>
    </row>
    <row r="32" spans="2:27" s="14" customFormat="1" ht="13.5" x14ac:dyDescent="0.25">
      <c r="B32" s="32" t="s">
        <v>38</v>
      </c>
      <c r="C32" s="17"/>
      <c r="D32" s="18">
        <f>C32</f>
        <v>0</v>
      </c>
      <c r="E32" s="16">
        <f>D32-C32</f>
        <v>0</v>
      </c>
      <c r="F32" s="544"/>
      <c r="G32" s="18">
        <f>F32</f>
        <v>0</v>
      </c>
      <c r="H32" s="16">
        <f>G32-F32</f>
        <v>0</v>
      </c>
      <c r="I32" s="16"/>
      <c r="J32" s="18">
        <f>I32</f>
        <v>0</v>
      </c>
      <c r="K32" s="545">
        <f>J32-I32</f>
        <v>0</v>
      </c>
      <c r="L32" s="491">
        <f t="shared" si="43"/>
        <v>0</v>
      </c>
      <c r="M32" s="546">
        <f t="shared" si="43"/>
        <v>0</v>
      </c>
      <c r="N32" s="547">
        <f t="shared" si="44"/>
        <v>0</v>
      </c>
      <c r="O32" s="220">
        <v>0</v>
      </c>
      <c r="P32" s="18">
        <v>177164</v>
      </c>
      <c r="Q32" s="16">
        <f>P32-O32</f>
        <v>177164</v>
      </c>
      <c r="R32" s="494">
        <f t="shared" si="45"/>
        <v>0</v>
      </c>
      <c r="S32" s="548">
        <f t="shared" si="45"/>
        <v>177164</v>
      </c>
      <c r="T32" s="549">
        <f t="shared" si="46"/>
        <v>177164</v>
      </c>
      <c r="U32" s="550">
        <f t="shared" ref="U32:V35" si="51">R32</f>
        <v>0</v>
      </c>
      <c r="V32" s="498">
        <f t="shared" si="51"/>
        <v>177164</v>
      </c>
      <c r="W32" s="499">
        <f t="shared" si="47"/>
        <v>177164</v>
      </c>
      <c r="X32" s="17">
        <f>V32</f>
        <v>177164</v>
      </c>
      <c r="Y32" s="18"/>
      <c r="Z32" s="16"/>
      <c r="AA32" s="13">
        <f t="shared" si="2"/>
        <v>177164</v>
      </c>
    </row>
    <row r="33" spans="2:28" s="14" customFormat="1" ht="13.5" x14ac:dyDescent="0.25">
      <c r="B33" s="32" t="s">
        <v>39</v>
      </c>
      <c r="C33" s="17"/>
      <c r="D33" s="18">
        <f>C33</f>
        <v>0</v>
      </c>
      <c r="E33" s="16">
        <f>D33-C33</f>
        <v>0</v>
      </c>
      <c r="F33" s="544"/>
      <c r="G33" s="18">
        <f>F33</f>
        <v>0</v>
      </c>
      <c r="H33" s="16">
        <f>G33-F33</f>
        <v>0</v>
      </c>
      <c r="I33" s="16"/>
      <c r="J33" s="18">
        <f>I33</f>
        <v>0</v>
      </c>
      <c r="K33" s="545">
        <f>J33-I33</f>
        <v>0</v>
      </c>
      <c r="L33" s="491">
        <f t="shared" si="43"/>
        <v>0</v>
      </c>
      <c r="M33" s="546">
        <f t="shared" si="43"/>
        <v>0</v>
      </c>
      <c r="N33" s="547">
        <f t="shared" si="44"/>
        <v>0</v>
      </c>
      <c r="O33" s="220">
        <f>85477932+6000000</f>
        <v>91477932</v>
      </c>
      <c r="P33" s="18">
        <v>91669503</v>
      </c>
      <c r="Q33" s="16">
        <f>P33-O33</f>
        <v>191571</v>
      </c>
      <c r="R33" s="494">
        <f t="shared" si="45"/>
        <v>91477932</v>
      </c>
      <c r="S33" s="548">
        <f t="shared" si="45"/>
        <v>91669503</v>
      </c>
      <c r="T33" s="549">
        <f t="shared" si="46"/>
        <v>191571</v>
      </c>
      <c r="U33" s="550">
        <f t="shared" si="51"/>
        <v>91477932</v>
      </c>
      <c r="V33" s="498">
        <f t="shared" si="51"/>
        <v>91669503</v>
      </c>
      <c r="W33" s="499">
        <f t="shared" si="47"/>
        <v>191571</v>
      </c>
      <c r="X33" s="17">
        <f t="shared" ref="X33:X35" si="52">V33</f>
        <v>91669503</v>
      </c>
      <c r="Y33" s="18"/>
      <c r="Z33" s="16"/>
      <c r="AA33" s="13">
        <f t="shared" si="2"/>
        <v>91669503</v>
      </c>
    </row>
    <row r="34" spans="2:28" s="14" customFormat="1" ht="13.5" x14ac:dyDescent="0.25">
      <c r="B34" s="32" t="s">
        <v>40</v>
      </c>
      <c r="C34" s="17"/>
      <c r="D34" s="18">
        <f>C34</f>
        <v>0</v>
      </c>
      <c r="E34" s="16">
        <f>D34-C34</f>
        <v>0</v>
      </c>
      <c r="F34" s="544"/>
      <c r="G34" s="18">
        <f>F34</f>
        <v>0</v>
      </c>
      <c r="H34" s="16">
        <f>G34-F34</f>
        <v>0</v>
      </c>
      <c r="I34" s="16"/>
      <c r="J34" s="18">
        <f>I34</f>
        <v>0</v>
      </c>
      <c r="K34" s="545">
        <f>J34-I34</f>
        <v>0</v>
      </c>
      <c r="L34" s="491">
        <f t="shared" si="43"/>
        <v>0</v>
      </c>
      <c r="M34" s="546">
        <f t="shared" si="43"/>
        <v>0</v>
      </c>
      <c r="N34" s="547">
        <f t="shared" si="44"/>
        <v>0</v>
      </c>
      <c r="O34" s="220">
        <v>1200000</v>
      </c>
      <c r="P34" s="18">
        <v>1584000</v>
      </c>
      <c r="Q34" s="16">
        <f>P34-O34</f>
        <v>384000</v>
      </c>
      <c r="R34" s="494">
        <f t="shared" si="45"/>
        <v>1200000</v>
      </c>
      <c r="S34" s="548">
        <f t="shared" si="45"/>
        <v>1584000</v>
      </c>
      <c r="T34" s="549">
        <f t="shared" si="46"/>
        <v>384000</v>
      </c>
      <c r="U34" s="550">
        <f t="shared" si="51"/>
        <v>1200000</v>
      </c>
      <c r="V34" s="498">
        <f t="shared" si="51"/>
        <v>1584000</v>
      </c>
      <c r="W34" s="499">
        <f t="shared" si="47"/>
        <v>384000</v>
      </c>
      <c r="X34" s="17"/>
      <c r="Y34" s="18">
        <v>1584000</v>
      </c>
      <c r="Z34" s="16"/>
      <c r="AA34" s="13">
        <f t="shared" si="2"/>
        <v>1584000</v>
      </c>
    </row>
    <row r="35" spans="2:28" s="14" customFormat="1" ht="14.25" thickBot="1" x14ac:dyDescent="0.3">
      <c r="B35" s="32" t="s">
        <v>41</v>
      </c>
      <c r="C35" s="616"/>
      <c r="D35" s="504">
        <f>C35</f>
        <v>0</v>
      </c>
      <c r="E35" s="503">
        <f>D35-C35</f>
        <v>0</v>
      </c>
      <c r="F35" s="617"/>
      <c r="G35" s="504">
        <f>F35</f>
        <v>0</v>
      </c>
      <c r="H35" s="503">
        <f>G35-F35</f>
        <v>0</v>
      </c>
      <c r="I35" s="618"/>
      <c r="J35" s="504">
        <f>I35</f>
        <v>0</v>
      </c>
      <c r="K35" s="505">
        <f>J35-I35</f>
        <v>0</v>
      </c>
      <c r="L35" s="491">
        <f t="shared" si="43"/>
        <v>0</v>
      </c>
      <c r="M35" s="553">
        <f t="shared" si="43"/>
        <v>0</v>
      </c>
      <c r="N35" s="554">
        <f t="shared" si="44"/>
        <v>0</v>
      </c>
      <c r="O35" s="619">
        <f>259573894</f>
        <v>259573894</v>
      </c>
      <c r="P35" s="501">
        <f>160933004</f>
        <v>160933004</v>
      </c>
      <c r="Q35" s="24">
        <f>P35-O35</f>
        <v>-98640890</v>
      </c>
      <c r="R35" s="588">
        <f t="shared" si="45"/>
        <v>259573894</v>
      </c>
      <c r="S35" s="509">
        <f t="shared" si="45"/>
        <v>160933004</v>
      </c>
      <c r="T35" s="510">
        <f t="shared" si="46"/>
        <v>-98640890</v>
      </c>
      <c r="U35" s="620">
        <f t="shared" si="51"/>
        <v>259573894</v>
      </c>
      <c r="V35" s="512">
        <f t="shared" si="51"/>
        <v>160933004</v>
      </c>
      <c r="W35" s="621">
        <f t="shared" si="47"/>
        <v>-98640890</v>
      </c>
      <c r="X35" s="17">
        <f t="shared" si="52"/>
        <v>160933004</v>
      </c>
      <c r="Y35" s="44"/>
      <c r="Z35" s="42"/>
      <c r="AA35" s="13">
        <f t="shared" si="2"/>
        <v>160933004</v>
      </c>
    </row>
    <row r="36" spans="2:28" s="14" customFormat="1" ht="14.25" thickBot="1" x14ac:dyDescent="0.3">
      <c r="B36" s="25" t="s">
        <v>42</v>
      </c>
      <c r="C36" s="57">
        <f t="shared" ref="C36:K36" si="53">C27+C28+C29+C30+C31</f>
        <v>12793522</v>
      </c>
      <c r="D36" s="58">
        <f t="shared" si="53"/>
        <v>13482846</v>
      </c>
      <c r="E36" s="56">
        <f t="shared" si="53"/>
        <v>689324</v>
      </c>
      <c r="F36" s="594">
        <f t="shared" si="53"/>
        <v>18480975</v>
      </c>
      <c r="G36" s="58">
        <f t="shared" si="53"/>
        <v>20107376</v>
      </c>
      <c r="H36" s="56">
        <f t="shared" si="53"/>
        <v>1626401</v>
      </c>
      <c r="I36" s="56">
        <f t="shared" si="53"/>
        <v>42294390</v>
      </c>
      <c r="J36" s="58">
        <f t="shared" si="53"/>
        <v>43125197</v>
      </c>
      <c r="K36" s="515">
        <f t="shared" si="53"/>
        <v>830807</v>
      </c>
      <c r="L36" s="516">
        <f>SUM(C36:I36)</f>
        <v>109474834</v>
      </c>
      <c r="M36" s="622">
        <f>L36</f>
        <v>109474834</v>
      </c>
      <c r="N36" s="623">
        <f t="shared" si="44"/>
        <v>0</v>
      </c>
      <c r="O36" s="217">
        <f>O27+O28+O29+O30+O31</f>
        <v>465257745</v>
      </c>
      <c r="P36" s="28">
        <f>P27+P28+P29+P30+P31</f>
        <v>426916380</v>
      </c>
      <c r="Q36" s="26">
        <f>Q27+Q28+Q29+Q30+Q31</f>
        <v>-38341365</v>
      </c>
      <c r="R36" s="519">
        <f t="shared" si="45"/>
        <v>574732579</v>
      </c>
      <c r="S36" s="520">
        <f t="shared" si="45"/>
        <v>536391214</v>
      </c>
      <c r="T36" s="521">
        <f t="shared" si="46"/>
        <v>-38341365</v>
      </c>
      <c r="U36" s="522">
        <f>U27+U28+U29+U30+U31</f>
        <v>538826632</v>
      </c>
      <c r="V36" s="522">
        <f>V27+V28+V29+V30+V31</f>
        <v>503631799</v>
      </c>
      <c r="W36" s="624">
        <f t="shared" si="47"/>
        <v>-35194833</v>
      </c>
      <c r="X36" s="27">
        <f>X27+X28+X29+X30+X31</f>
        <v>501647799</v>
      </c>
      <c r="Y36" s="28">
        <f>Y27+Y28+Y29+Y30+Y31</f>
        <v>1984000</v>
      </c>
      <c r="Z36" s="26">
        <f>Z27+Z28+Z29+Z30+Z31</f>
        <v>0</v>
      </c>
      <c r="AA36" s="13">
        <f t="shared" si="2"/>
        <v>503631799</v>
      </c>
    </row>
    <row r="37" spans="2:28" s="14" customFormat="1" ht="13.5" x14ac:dyDescent="0.25">
      <c r="B37" s="9" t="s">
        <v>3</v>
      </c>
      <c r="C37" s="609"/>
      <c r="D37" s="476">
        <f>C37</f>
        <v>0</v>
      </c>
      <c r="E37" s="524">
        <f>D37-C37</f>
        <v>0</v>
      </c>
      <c r="F37" s="614"/>
      <c r="G37" s="476">
        <f>F37</f>
        <v>0</v>
      </c>
      <c r="H37" s="524">
        <f>G37-F37</f>
        <v>0</v>
      </c>
      <c r="I37" s="488">
        <v>130000</v>
      </c>
      <c r="J37" s="476">
        <f>I37</f>
        <v>130000</v>
      </c>
      <c r="K37" s="477">
        <f>J37-I37</f>
        <v>0</v>
      </c>
      <c r="L37" s="491">
        <f t="shared" ref="L37:M46" si="54">C37+F37+I37</f>
        <v>130000</v>
      </c>
      <c r="M37" s="611">
        <f t="shared" si="54"/>
        <v>130000</v>
      </c>
      <c r="N37" s="480">
        <f t="shared" si="44"/>
        <v>0</v>
      </c>
      <c r="O37" s="215">
        <f>14180000+2500000</f>
        <v>16680000</v>
      </c>
      <c r="P37" s="31">
        <v>17588336</v>
      </c>
      <c r="Q37" s="30">
        <f>P37-O37</f>
        <v>908336</v>
      </c>
      <c r="R37" s="494">
        <f t="shared" si="45"/>
        <v>16810000</v>
      </c>
      <c r="S37" s="482">
        <f t="shared" si="45"/>
        <v>17718336</v>
      </c>
      <c r="T37" s="483">
        <f t="shared" si="46"/>
        <v>908336</v>
      </c>
      <c r="U37" s="497">
        <f>R37</f>
        <v>16810000</v>
      </c>
      <c r="V37" s="497">
        <f>S37</f>
        <v>17718336</v>
      </c>
      <c r="W37" s="612">
        <f t="shared" si="47"/>
        <v>908336</v>
      </c>
      <c r="X37" s="20">
        <f>V37</f>
        <v>17718336</v>
      </c>
      <c r="Y37" s="22"/>
      <c r="Z37" s="20"/>
      <c r="AA37" s="13">
        <f t="shared" si="2"/>
        <v>17718336</v>
      </c>
    </row>
    <row r="38" spans="2:28" s="14" customFormat="1" ht="13.5" x14ac:dyDescent="0.25">
      <c r="B38" s="51" t="s">
        <v>4</v>
      </c>
      <c r="C38" s="613"/>
      <c r="D38" s="489">
        <f>C38</f>
        <v>0</v>
      </c>
      <c r="E38" s="488">
        <f>D38-C38</f>
        <v>0</v>
      </c>
      <c r="F38" s="610"/>
      <c r="G38" s="489">
        <f>F38</f>
        <v>0</v>
      </c>
      <c r="H38" s="488">
        <f>G38-F38</f>
        <v>0</v>
      </c>
      <c r="I38" s="524"/>
      <c r="J38" s="489">
        <f>I38</f>
        <v>0</v>
      </c>
      <c r="K38" s="490">
        <f>J38-I38</f>
        <v>0</v>
      </c>
      <c r="L38" s="491">
        <f t="shared" si="54"/>
        <v>0</v>
      </c>
      <c r="M38" s="546">
        <f t="shared" si="54"/>
        <v>0</v>
      </c>
      <c r="N38" s="547">
        <f t="shared" si="44"/>
        <v>0</v>
      </c>
      <c r="O38" s="218">
        <v>262122821</v>
      </c>
      <c r="P38" s="22">
        <f>310878733-381000</f>
        <v>310497733</v>
      </c>
      <c r="Q38" s="20">
        <f>P38-O38</f>
        <v>48374912</v>
      </c>
      <c r="R38" s="528">
        <f t="shared" si="45"/>
        <v>262122821</v>
      </c>
      <c r="S38" s="495">
        <f t="shared" si="45"/>
        <v>310497733</v>
      </c>
      <c r="T38" s="496">
        <f t="shared" si="46"/>
        <v>48374912</v>
      </c>
      <c r="U38" s="529">
        <f>R38</f>
        <v>262122821</v>
      </c>
      <c r="V38" s="529">
        <f>S38</f>
        <v>310497733</v>
      </c>
      <c r="W38" s="615">
        <f t="shared" si="47"/>
        <v>48374912</v>
      </c>
      <c r="X38" s="30">
        <f>V38</f>
        <v>310497733</v>
      </c>
      <c r="Y38" s="31"/>
      <c r="Z38" s="30"/>
      <c r="AA38" s="13">
        <f t="shared" si="2"/>
        <v>310497733</v>
      </c>
    </row>
    <row r="39" spans="2:28" s="14" customFormat="1" ht="13.5" x14ac:dyDescent="0.25">
      <c r="B39" s="19" t="s">
        <v>43</v>
      </c>
      <c r="C39" s="613">
        <f t="shared" ref="C39:K39" si="55">SUM(C40:C42)</f>
        <v>0</v>
      </c>
      <c r="D39" s="489">
        <f t="shared" si="55"/>
        <v>0</v>
      </c>
      <c r="E39" s="488">
        <f t="shared" si="55"/>
        <v>0</v>
      </c>
      <c r="F39" s="614">
        <f t="shared" si="55"/>
        <v>0</v>
      </c>
      <c r="G39" s="489">
        <f t="shared" si="55"/>
        <v>0</v>
      </c>
      <c r="H39" s="488">
        <f t="shared" si="55"/>
        <v>0</v>
      </c>
      <c r="I39" s="488">
        <f t="shared" si="55"/>
        <v>0</v>
      </c>
      <c r="J39" s="489">
        <f t="shared" si="55"/>
        <v>0</v>
      </c>
      <c r="K39" s="490">
        <f t="shared" si="55"/>
        <v>0</v>
      </c>
      <c r="L39" s="491">
        <f t="shared" si="54"/>
        <v>0</v>
      </c>
      <c r="M39" s="546">
        <f t="shared" si="54"/>
        <v>0</v>
      </c>
      <c r="N39" s="547">
        <f t="shared" si="44"/>
        <v>0</v>
      </c>
      <c r="O39" s="215">
        <f>SUM(O40:O42)</f>
        <v>1200000</v>
      </c>
      <c r="P39" s="22">
        <v>1680000</v>
      </c>
      <c r="Q39" s="20">
        <f>SUM(Q40:Q42)</f>
        <v>480000</v>
      </c>
      <c r="R39" s="494">
        <f t="shared" si="45"/>
        <v>1200000</v>
      </c>
      <c r="S39" s="495">
        <f t="shared" si="45"/>
        <v>1680000</v>
      </c>
      <c r="T39" s="496">
        <f t="shared" si="46"/>
        <v>480000</v>
      </c>
      <c r="U39" s="497">
        <f>SUM(U40:U42)</f>
        <v>1200000</v>
      </c>
      <c r="V39" s="497">
        <f>SUM(V40:V42)</f>
        <v>1680000</v>
      </c>
      <c r="W39" s="615">
        <f t="shared" si="47"/>
        <v>480000</v>
      </c>
      <c r="X39" s="21">
        <f>SUM(X40:X42)</f>
        <v>0</v>
      </c>
      <c r="Y39" s="22">
        <v>1680000</v>
      </c>
      <c r="Z39" s="20">
        <f>SUM(Z40:Z42)</f>
        <v>0</v>
      </c>
      <c r="AA39" s="13">
        <f t="shared" si="2"/>
        <v>1680000</v>
      </c>
    </row>
    <row r="40" spans="2:28" s="14" customFormat="1" ht="13.5" x14ac:dyDescent="0.25">
      <c r="B40" s="32" t="s">
        <v>44</v>
      </c>
      <c r="C40" s="17"/>
      <c r="D40" s="18">
        <f>C40</f>
        <v>0</v>
      </c>
      <c r="E40" s="16">
        <f>D40-C40</f>
        <v>0</v>
      </c>
      <c r="F40" s="544"/>
      <c r="G40" s="18">
        <f>F40</f>
        <v>0</v>
      </c>
      <c r="H40" s="16">
        <f>G40-F40</f>
        <v>0</v>
      </c>
      <c r="I40" s="16"/>
      <c r="J40" s="18">
        <f>I40</f>
        <v>0</v>
      </c>
      <c r="K40" s="545">
        <f>J40-I40</f>
        <v>0</v>
      </c>
      <c r="L40" s="491">
        <f t="shared" si="54"/>
        <v>0</v>
      </c>
      <c r="M40" s="546">
        <f t="shared" si="54"/>
        <v>0</v>
      </c>
      <c r="N40" s="547">
        <f t="shared" si="44"/>
        <v>0</v>
      </c>
      <c r="O40" s="220"/>
      <c r="P40" s="18">
        <f>O40</f>
        <v>0</v>
      </c>
      <c r="Q40" s="16">
        <f>P40-O40</f>
        <v>0</v>
      </c>
      <c r="R40" s="494">
        <f t="shared" si="45"/>
        <v>0</v>
      </c>
      <c r="S40" s="548">
        <f t="shared" si="45"/>
        <v>0</v>
      </c>
      <c r="T40" s="549">
        <f t="shared" si="46"/>
        <v>0</v>
      </c>
      <c r="U40" s="550">
        <f t="shared" ref="U40:V42" si="56">R40</f>
        <v>0</v>
      </c>
      <c r="V40" s="625">
        <f t="shared" si="56"/>
        <v>0</v>
      </c>
      <c r="W40" s="499">
        <f t="shared" si="47"/>
        <v>0</v>
      </c>
      <c r="X40" s="17"/>
      <c r="Y40" s="18"/>
      <c r="Z40" s="16"/>
      <c r="AA40" s="13">
        <f t="shared" si="2"/>
        <v>0</v>
      </c>
    </row>
    <row r="41" spans="2:28" s="14" customFormat="1" ht="13.5" x14ac:dyDescent="0.25">
      <c r="B41" s="32" t="s">
        <v>45</v>
      </c>
      <c r="C41" s="17"/>
      <c r="D41" s="18">
        <f>C41</f>
        <v>0</v>
      </c>
      <c r="E41" s="16">
        <f>D41-C41</f>
        <v>0</v>
      </c>
      <c r="F41" s="544"/>
      <c r="G41" s="18">
        <f>F41</f>
        <v>0</v>
      </c>
      <c r="H41" s="16">
        <f>G41-F41</f>
        <v>0</v>
      </c>
      <c r="I41" s="16"/>
      <c r="J41" s="18">
        <f>I41</f>
        <v>0</v>
      </c>
      <c r="K41" s="545">
        <f>J41-I41</f>
        <v>0</v>
      </c>
      <c r="L41" s="491">
        <f t="shared" si="54"/>
        <v>0</v>
      </c>
      <c r="M41" s="546">
        <f t="shared" si="54"/>
        <v>0</v>
      </c>
      <c r="N41" s="547">
        <f t="shared" si="44"/>
        <v>0</v>
      </c>
      <c r="O41" s="220"/>
      <c r="P41" s="18">
        <f>O41</f>
        <v>0</v>
      </c>
      <c r="Q41" s="16">
        <f>P41-O41</f>
        <v>0</v>
      </c>
      <c r="R41" s="494">
        <f t="shared" si="45"/>
        <v>0</v>
      </c>
      <c r="S41" s="548">
        <f t="shared" si="45"/>
        <v>0</v>
      </c>
      <c r="T41" s="549">
        <f t="shared" si="46"/>
        <v>0</v>
      </c>
      <c r="U41" s="550">
        <f t="shared" si="56"/>
        <v>0</v>
      </c>
      <c r="V41" s="625">
        <f t="shared" si="56"/>
        <v>0</v>
      </c>
      <c r="W41" s="499">
        <f t="shared" si="47"/>
        <v>0</v>
      </c>
      <c r="X41" s="17"/>
      <c r="Y41" s="18"/>
      <c r="Z41" s="16"/>
      <c r="AA41" s="13">
        <f t="shared" si="2"/>
        <v>0</v>
      </c>
    </row>
    <row r="42" spans="2:28" s="14" customFormat="1" ht="14.25" thickBot="1" x14ac:dyDescent="0.3">
      <c r="B42" s="32" t="s">
        <v>46</v>
      </c>
      <c r="C42" s="35"/>
      <c r="D42" s="36">
        <f>C42</f>
        <v>0</v>
      </c>
      <c r="E42" s="34">
        <f>D42-C42</f>
        <v>0</v>
      </c>
      <c r="F42" s="583"/>
      <c r="G42" s="36">
        <f>F42</f>
        <v>0</v>
      </c>
      <c r="H42" s="34">
        <f>G42-F42</f>
        <v>0</v>
      </c>
      <c r="I42" s="52"/>
      <c r="J42" s="36">
        <f>I42</f>
        <v>0</v>
      </c>
      <c r="K42" s="552">
        <f>J42-I42</f>
        <v>0</v>
      </c>
      <c r="L42" s="491">
        <f t="shared" si="54"/>
        <v>0</v>
      </c>
      <c r="M42" s="553">
        <f t="shared" si="54"/>
        <v>0</v>
      </c>
      <c r="N42" s="554">
        <f t="shared" si="44"/>
        <v>0</v>
      </c>
      <c r="O42" s="223">
        <v>1200000</v>
      </c>
      <c r="P42" s="36">
        <v>1680000</v>
      </c>
      <c r="Q42" s="34">
        <f>P42-O42</f>
        <v>480000</v>
      </c>
      <c r="R42" s="588">
        <f t="shared" si="45"/>
        <v>1200000</v>
      </c>
      <c r="S42" s="555">
        <f t="shared" si="45"/>
        <v>1680000</v>
      </c>
      <c r="T42" s="556">
        <f t="shared" si="46"/>
        <v>480000</v>
      </c>
      <c r="U42" s="591">
        <f t="shared" si="56"/>
        <v>1200000</v>
      </c>
      <c r="V42" s="626">
        <f t="shared" si="56"/>
        <v>1680000</v>
      </c>
      <c r="W42" s="513">
        <f t="shared" si="47"/>
        <v>480000</v>
      </c>
      <c r="X42" s="53"/>
      <c r="Y42" s="54">
        <v>1680000</v>
      </c>
      <c r="Z42" s="52"/>
      <c r="AA42" s="13">
        <f t="shared" si="2"/>
        <v>1680000</v>
      </c>
    </row>
    <row r="43" spans="2:28" s="14" customFormat="1" ht="18" customHeight="1" thickBot="1" x14ac:dyDescent="0.3">
      <c r="B43" s="25" t="s">
        <v>47</v>
      </c>
      <c r="C43" s="57">
        <f t="shared" ref="C43:K43" si="57">C37+C38+C39</f>
        <v>0</v>
      </c>
      <c r="D43" s="58">
        <f t="shared" si="57"/>
        <v>0</v>
      </c>
      <c r="E43" s="56">
        <f t="shared" si="57"/>
        <v>0</v>
      </c>
      <c r="F43" s="594">
        <f t="shared" si="57"/>
        <v>0</v>
      </c>
      <c r="G43" s="58">
        <f t="shared" si="57"/>
        <v>0</v>
      </c>
      <c r="H43" s="56">
        <f t="shared" si="57"/>
        <v>0</v>
      </c>
      <c r="I43" s="56">
        <f t="shared" si="57"/>
        <v>130000</v>
      </c>
      <c r="J43" s="58">
        <f t="shared" si="57"/>
        <v>130000</v>
      </c>
      <c r="K43" s="515">
        <f t="shared" si="57"/>
        <v>0</v>
      </c>
      <c r="L43" s="516">
        <f t="shared" si="54"/>
        <v>130000</v>
      </c>
      <c r="M43" s="622">
        <f t="shared" si="54"/>
        <v>130000</v>
      </c>
      <c r="N43" s="623">
        <f t="shared" si="44"/>
        <v>0</v>
      </c>
      <c r="O43" s="217">
        <f>O37+O38+O39</f>
        <v>280002821</v>
      </c>
      <c r="P43" s="28">
        <f>P37+P38+P39</f>
        <v>329766069</v>
      </c>
      <c r="Q43" s="26">
        <f>Q37+Q38+Q39</f>
        <v>49763248</v>
      </c>
      <c r="R43" s="519">
        <f t="shared" si="45"/>
        <v>280132821</v>
      </c>
      <c r="S43" s="520">
        <f t="shared" si="45"/>
        <v>329896069</v>
      </c>
      <c r="T43" s="521">
        <f t="shared" si="46"/>
        <v>49763248</v>
      </c>
      <c r="U43" s="627">
        <f>U37+U38+U39</f>
        <v>280132821</v>
      </c>
      <c r="V43" s="627">
        <f>V37+V38+V39</f>
        <v>329896069</v>
      </c>
      <c r="W43" s="624">
        <f t="shared" si="47"/>
        <v>49763248</v>
      </c>
      <c r="X43" s="27">
        <f>X37+X38+X39</f>
        <v>328216069</v>
      </c>
      <c r="Y43" s="28">
        <f>Y37+Y38+Y39</f>
        <v>1680000</v>
      </c>
      <c r="Z43" s="26">
        <f>Z37+Z38+Z39</f>
        <v>0</v>
      </c>
      <c r="AA43" s="13">
        <f t="shared" si="2"/>
        <v>329896069</v>
      </c>
    </row>
    <row r="44" spans="2:28" s="29" customFormat="1" ht="15.75" customHeight="1" thickBot="1" x14ac:dyDescent="0.3">
      <c r="B44" s="37" t="s">
        <v>341</v>
      </c>
      <c r="C44" s="57">
        <f t="shared" ref="C44:K44" si="58">C43+C36</f>
        <v>12793522</v>
      </c>
      <c r="D44" s="58">
        <f t="shared" si="58"/>
        <v>13482846</v>
      </c>
      <c r="E44" s="56">
        <f t="shared" si="58"/>
        <v>689324</v>
      </c>
      <c r="F44" s="628">
        <f t="shared" si="58"/>
        <v>18480975</v>
      </c>
      <c r="G44" s="58">
        <f t="shared" si="58"/>
        <v>20107376</v>
      </c>
      <c r="H44" s="56">
        <f t="shared" si="58"/>
        <v>1626401</v>
      </c>
      <c r="I44" s="561">
        <f t="shared" si="58"/>
        <v>42424390</v>
      </c>
      <c r="J44" s="58">
        <f t="shared" si="58"/>
        <v>43255197</v>
      </c>
      <c r="K44" s="515">
        <f t="shared" si="58"/>
        <v>830807</v>
      </c>
      <c r="L44" s="562">
        <f t="shared" si="54"/>
        <v>73698887</v>
      </c>
      <c r="M44" s="622">
        <f t="shared" si="54"/>
        <v>76845419</v>
      </c>
      <c r="N44" s="623">
        <f t="shared" si="44"/>
        <v>3146532</v>
      </c>
      <c r="O44" s="222">
        <f>O43+O36</f>
        <v>745260566</v>
      </c>
      <c r="P44" s="28">
        <f>P43+P36</f>
        <v>756682449</v>
      </c>
      <c r="Q44" s="26">
        <f>Q43+Q36</f>
        <v>11421883</v>
      </c>
      <c r="R44" s="563">
        <f t="shared" si="45"/>
        <v>818959453</v>
      </c>
      <c r="S44" s="520">
        <f t="shared" si="45"/>
        <v>833527868</v>
      </c>
      <c r="T44" s="521">
        <f t="shared" si="46"/>
        <v>14568415</v>
      </c>
      <c r="U44" s="629">
        <f>U43+U36</f>
        <v>818959453</v>
      </c>
      <c r="V44" s="629">
        <f>V43+V36</f>
        <v>833527868</v>
      </c>
      <c r="W44" s="624">
        <f t="shared" si="47"/>
        <v>14568415</v>
      </c>
      <c r="X44" s="39">
        <f>X43+X36</f>
        <v>829863868</v>
      </c>
      <c r="Y44" s="40">
        <f>Y43+Y36</f>
        <v>3664000</v>
      </c>
      <c r="Z44" s="38">
        <f>Z43+Z36</f>
        <v>0</v>
      </c>
      <c r="AA44" s="13">
        <f t="shared" si="2"/>
        <v>833527868</v>
      </c>
    </row>
    <row r="45" spans="2:28" s="14" customFormat="1" ht="19.149999999999999" customHeight="1" thickBot="1" x14ac:dyDescent="0.3">
      <c r="B45" s="55" t="s">
        <v>48</v>
      </c>
      <c r="C45" s="57">
        <v>0</v>
      </c>
      <c r="D45" s="58">
        <f>C45</f>
        <v>0</v>
      </c>
      <c r="E45" s="56">
        <f>D45-C45</f>
        <v>0</v>
      </c>
      <c r="F45" s="594">
        <v>0</v>
      </c>
      <c r="G45" s="58">
        <f>F45</f>
        <v>0</v>
      </c>
      <c r="H45" s="56">
        <f>G45-F45</f>
        <v>0</v>
      </c>
      <c r="I45" s="56">
        <v>0</v>
      </c>
      <c r="J45" s="58">
        <f>I45</f>
        <v>0</v>
      </c>
      <c r="K45" s="515">
        <f>J45-I45</f>
        <v>0</v>
      </c>
      <c r="L45" s="516">
        <f t="shared" si="54"/>
        <v>0</v>
      </c>
      <c r="M45" s="622">
        <f t="shared" si="54"/>
        <v>0</v>
      </c>
      <c r="N45" s="623">
        <f t="shared" si="44"/>
        <v>0</v>
      </c>
      <c r="O45" s="630">
        <f>+L19+5579092</f>
        <v>72100673</v>
      </c>
      <c r="P45" s="58">
        <f>M19+5579092</f>
        <v>73746398</v>
      </c>
      <c r="Q45" s="56">
        <f>P45-O45</f>
        <v>1645725</v>
      </c>
      <c r="R45" s="519">
        <f t="shared" si="45"/>
        <v>72100673</v>
      </c>
      <c r="S45" s="631">
        <f t="shared" si="45"/>
        <v>73746398</v>
      </c>
      <c r="T45" s="632">
        <f t="shared" si="46"/>
        <v>1645725</v>
      </c>
      <c r="U45" s="522">
        <f>R45-L19</f>
        <v>5579092</v>
      </c>
      <c r="V45" s="522">
        <f>S45-M19</f>
        <v>5579092</v>
      </c>
      <c r="W45" s="559">
        <f t="shared" si="47"/>
        <v>0</v>
      </c>
      <c r="X45" s="57">
        <f>U45</f>
        <v>5579092</v>
      </c>
      <c r="Y45" s="58"/>
      <c r="Z45" s="56"/>
      <c r="AA45" s="13">
        <f t="shared" si="2"/>
        <v>5579092</v>
      </c>
      <c r="AB45" s="13"/>
    </row>
    <row r="46" spans="2:28" s="29" customFormat="1" ht="15.75" customHeight="1" thickBot="1" x14ac:dyDescent="0.3">
      <c r="B46" s="45" t="s">
        <v>49</v>
      </c>
      <c r="C46" s="57">
        <f t="shared" ref="C46:K46" si="59">C45+C44</f>
        <v>12793522</v>
      </c>
      <c r="D46" s="58">
        <f t="shared" si="59"/>
        <v>13482846</v>
      </c>
      <c r="E46" s="56">
        <f t="shared" si="59"/>
        <v>689324</v>
      </c>
      <c r="F46" s="595">
        <f t="shared" si="59"/>
        <v>18480975</v>
      </c>
      <c r="G46" s="58">
        <f t="shared" si="59"/>
        <v>20107376</v>
      </c>
      <c r="H46" s="56">
        <f t="shared" si="59"/>
        <v>1626401</v>
      </c>
      <c r="I46" s="596">
        <f t="shared" si="59"/>
        <v>42424390</v>
      </c>
      <c r="J46" s="58">
        <f t="shared" si="59"/>
        <v>43255197</v>
      </c>
      <c r="K46" s="515">
        <f t="shared" si="59"/>
        <v>830807</v>
      </c>
      <c r="L46" s="597">
        <f t="shared" si="54"/>
        <v>73698887</v>
      </c>
      <c r="M46" s="622">
        <f t="shared" si="54"/>
        <v>76845419</v>
      </c>
      <c r="N46" s="623">
        <f t="shared" si="44"/>
        <v>3146532</v>
      </c>
      <c r="O46" s="224">
        <f>O45+O44</f>
        <v>817361239</v>
      </c>
      <c r="P46" s="28">
        <f>P45+P44</f>
        <v>830428847</v>
      </c>
      <c r="Q46" s="26">
        <f>Q45+Q44</f>
        <v>13067608</v>
      </c>
      <c r="R46" s="598">
        <f t="shared" si="45"/>
        <v>891060126</v>
      </c>
      <c r="S46" s="520">
        <f t="shared" si="45"/>
        <v>907274266</v>
      </c>
      <c r="T46" s="521">
        <f t="shared" si="46"/>
        <v>16214140</v>
      </c>
      <c r="U46" s="633">
        <f>U45+U44</f>
        <v>824538545</v>
      </c>
      <c r="V46" s="633">
        <f>V45+V44</f>
        <v>839106960</v>
      </c>
      <c r="W46" s="624">
        <f t="shared" si="47"/>
        <v>14568415</v>
      </c>
      <c r="X46" s="47">
        <f>X45+X44</f>
        <v>835442960</v>
      </c>
      <c r="Y46" s="48">
        <f>Y45+Y44</f>
        <v>3664000</v>
      </c>
      <c r="Z46" s="46">
        <f>Z45+Z44</f>
        <v>0</v>
      </c>
      <c r="AA46" s="13">
        <f t="shared" si="2"/>
        <v>839106960</v>
      </c>
    </row>
    <row r="47" spans="2:28" ht="16.5" thickBot="1" x14ac:dyDescent="0.3">
      <c r="I47" s="634"/>
      <c r="J47" s="634"/>
      <c r="K47" s="634"/>
      <c r="L47" s="59"/>
      <c r="R47" s="60"/>
      <c r="U47" s="61"/>
    </row>
    <row r="48" spans="2:28" s="66" customFormat="1" ht="12.75" x14ac:dyDescent="0.2">
      <c r="B48" s="225" t="s">
        <v>50</v>
      </c>
      <c r="C48" s="63">
        <f>SUM(C49:C50)</f>
        <v>4</v>
      </c>
      <c r="D48" s="63">
        <f>SUM(D49:D50)</f>
        <v>4</v>
      </c>
      <c r="E48" s="635"/>
      <c r="F48" s="62">
        <f>SUM(F49:F50)</f>
        <v>3</v>
      </c>
      <c r="G48" s="636">
        <f>SUM(G49:G50)</f>
        <v>4</v>
      </c>
      <c r="H48" s="637">
        <f>G48-F48</f>
        <v>1</v>
      </c>
      <c r="I48" s="62">
        <f>SUM(I49:I50)</f>
        <v>7</v>
      </c>
      <c r="J48" s="636">
        <f>SUM(J49:J50)</f>
        <v>7</v>
      </c>
      <c r="K48" s="637"/>
      <c r="L48" s="638">
        <f t="shared" ref="L48:M50" si="60">C48+F48+I48</f>
        <v>14</v>
      </c>
      <c r="M48" s="636">
        <f t="shared" si="60"/>
        <v>15</v>
      </c>
      <c r="N48" s="637">
        <f>M48-L48</f>
        <v>1</v>
      </c>
      <c r="O48" s="63">
        <f>SUM(O49:O50)</f>
        <v>8</v>
      </c>
      <c r="P48" s="636">
        <f>SUM(P49:P50)</f>
        <v>8</v>
      </c>
      <c r="Q48" s="637">
        <f>P48-O48</f>
        <v>0</v>
      </c>
      <c r="R48" s="64">
        <f t="shared" ref="R48:S50" si="61">L48+O48</f>
        <v>22</v>
      </c>
      <c r="S48" s="636">
        <f t="shared" si="61"/>
        <v>23</v>
      </c>
      <c r="T48" s="637">
        <f>S48-R48</f>
        <v>1</v>
      </c>
      <c r="U48" s="64">
        <f>R48</f>
        <v>22</v>
      </c>
      <c r="V48" s="636">
        <f>S48</f>
        <v>23</v>
      </c>
      <c r="W48" s="637">
        <f t="shared" ref="W48:W50" si="62">V48-U48</f>
        <v>1</v>
      </c>
      <c r="X48" s="65"/>
    </row>
    <row r="49" spans="2:25" s="71" customFormat="1" ht="12.75" x14ac:dyDescent="0.2">
      <c r="B49" s="226" t="s">
        <v>51</v>
      </c>
      <c r="C49" s="67">
        <v>4</v>
      </c>
      <c r="D49" s="67">
        <v>4</v>
      </c>
      <c r="E49" s="639"/>
      <c r="F49" s="640">
        <v>2</v>
      </c>
      <c r="G49" s="641">
        <v>3</v>
      </c>
      <c r="H49" s="642">
        <f>G49-F49</f>
        <v>1</v>
      </c>
      <c r="I49" s="640">
        <v>7</v>
      </c>
      <c r="J49" s="641">
        <v>7</v>
      </c>
      <c r="K49" s="642"/>
      <c r="L49" s="643">
        <f t="shared" si="60"/>
        <v>13</v>
      </c>
      <c r="M49" s="641">
        <f t="shared" si="60"/>
        <v>14</v>
      </c>
      <c r="N49" s="642">
        <f>M49-L49</f>
        <v>1</v>
      </c>
      <c r="O49" s="67">
        <v>2</v>
      </c>
      <c r="P49" s="67">
        <v>2</v>
      </c>
      <c r="Q49" s="642">
        <f>P49-O49</f>
        <v>0</v>
      </c>
      <c r="R49" s="68">
        <f t="shared" si="61"/>
        <v>15</v>
      </c>
      <c r="S49" s="67">
        <f t="shared" si="61"/>
        <v>16</v>
      </c>
      <c r="T49" s="642">
        <f>S49-R49</f>
        <v>1</v>
      </c>
      <c r="U49" s="68">
        <f>R49</f>
        <v>15</v>
      </c>
      <c r="V49" s="67">
        <f>S49</f>
        <v>16</v>
      </c>
      <c r="W49" s="642">
        <f t="shared" si="62"/>
        <v>1</v>
      </c>
      <c r="X49" s="69"/>
      <c r="Y49" s="70"/>
    </row>
    <row r="50" spans="2:25" s="71" customFormat="1" ht="12.75" x14ac:dyDescent="0.2">
      <c r="B50" s="226" t="s">
        <v>52</v>
      </c>
      <c r="C50" s="67">
        <v>0</v>
      </c>
      <c r="D50" s="67">
        <v>0</v>
      </c>
      <c r="E50" s="639"/>
      <c r="F50" s="640">
        <v>1</v>
      </c>
      <c r="G50" s="641">
        <v>1</v>
      </c>
      <c r="H50" s="642">
        <f>G50-F50</f>
        <v>0</v>
      </c>
      <c r="I50" s="640">
        <v>0</v>
      </c>
      <c r="J50" s="641">
        <v>0</v>
      </c>
      <c r="K50" s="642"/>
      <c r="L50" s="643">
        <f t="shared" si="60"/>
        <v>1</v>
      </c>
      <c r="M50" s="641">
        <f t="shared" si="60"/>
        <v>1</v>
      </c>
      <c r="N50" s="642">
        <f>M50-L50</f>
        <v>0</v>
      </c>
      <c r="O50" s="67">
        <v>6</v>
      </c>
      <c r="P50" s="67">
        <v>6</v>
      </c>
      <c r="Q50" s="642">
        <f>P50-O50</f>
        <v>0</v>
      </c>
      <c r="R50" s="68">
        <f t="shared" si="61"/>
        <v>7</v>
      </c>
      <c r="S50" s="67">
        <f t="shared" si="61"/>
        <v>7</v>
      </c>
      <c r="T50" s="642">
        <f>S50-R50</f>
        <v>0</v>
      </c>
      <c r="U50" s="68">
        <f>SUM(U51:U53)</f>
        <v>0</v>
      </c>
      <c r="V50" s="67">
        <f>SUM(V51:V53)</f>
        <v>0</v>
      </c>
      <c r="W50" s="642">
        <f t="shared" si="62"/>
        <v>0</v>
      </c>
      <c r="X50" s="72"/>
    </row>
    <row r="51" spans="2:25" s="66" customFormat="1" ht="13.5" thickBot="1" x14ac:dyDescent="0.25">
      <c r="B51" s="227" t="s">
        <v>53</v>
      </c>
      <c r="C51" s="73"/>
      <c r="D51" s="73"/>
      <c r="E51" s="644"/>
      <c r="F51" s="645"/>
      <c r="G51" s="646"/>
      <c r="H51" s="647"/>
      <c r="I51" s="645"/>
      <c r="J51" s="646"/>
      <c r="K51" s="647"/>
      <c r="L51" s="648"/>
      <c r="M51" s="646"/>
      <c r="N51" s="647"/>
      <c r="O51" s="73"/>
      <c r="P51" s="646"/>
      <c r="Q51" s="647"/>
      <c r="R51" s="74">
        <f>SUM(L51:O51)</f>
        <v>0</v>
      </c>
      <c r="S51" s="646"/>
      <c r="T51" s="647"/>
      <c r="U51" s="74">
        <f>SUM(O51:R51)</f>
        <v>0</v>
      </c>
      <c r="V51" s="646"/>
      <c r="W51" s="647"/>
      <c r="X51" s="75"/>
    </row>
  </sheetData>
  <mergeCells count="24">
    <mergeCell ref="U2:W2"/>
    <mergeCell ref="X2:Z2"/>
    <mergeCell ref="B3:B4"/>
    <mergeCell ref="C3:E3"/>
    <mergeCell ref="F3:H3"/>
    <mergeCell ref="I3:K3"/>
    <mergeCell ref="L3:N3"/>
    <mergeCell ref="O3:Q3"/>
    <mergeCell ref="R3:T3"/>
    <mergeCell ref="U3:W3"/>
    <mergeCell ref="C2:E2"/>
    <mergeCell ref="F2:H2"/>
    <mergeCell ref="I2:K2"/>
    <mergeCell ref="L2:N2"/>
    <mergeCell ref="O2:Q2"/>
    <mergeCell ref="R2:T2"/>
    <mergeCell ref="R25:T25"/>
    <mergeCell ref="U25:W25"/>
    <mergeCell ref="B25:B26"/>
    <mergeCell ref="C25:E25"/>
    <mergeCell ref="F25:H25"/>
    <mergeCell ref="I25:K25"/>
    <mergeCell ref="L25:N25"/>
    <mergeCell ref="O25:Q25"/>
  </mergeCells>
  <pageMargins left="0.51181102362204722" right="0.39370078740157483" top="0.35433070866141736" bottom="0.43307086614173229" header="0.31496062992125984" footer="0.31496062992125984"/>
  <pageSetup paperSize="9" scale="86" fitToWidth="3" orientation="portrait" r:id="rId1"/>
  <headerFooter alignWithMargins="0"/>
  <colBreaks count="6" manualBreakCount="6">
    <brk id="8" max="50" man="1"/>
    <brk id="11" max="50" man="1"/>
    <brk id="14" max="50" man="1"/>
    <brk id="17" max="50" man="1"/>
    <brk id="20" max="50" man="1"/>
    <brk id="23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C5C6-F7AE-4999-8BB5-35AFB3020769}">
  <dimension ref="A1:G34"/>
  <sheetViews>
    <sheetView workbookViewId="0">
      <selection sqref="A1:C1"/>
    </sheetView>
  </sheetViews>
  <sheetFormatPr defaultRowHeight="12.75" x14ac:dyDescent="0.2"/>
  <cols>
    <col min="1" max="1" width="3.85546875" style="261" customWidth="1"/>
    <col min="2" max="2" width="63.85546875" style="261" customWidth="1"/>
    <col min="3" max="5" width="12.7109375" style="261" customWidth="1"/>
    <col min="6" max="258" width="8.85546875" style="261"/>
    <col min="259" max="259" width="3.85546875" style="261" customWidth="1"/>
    <col min="260" max="260" width="63.85546875" style="261" customWidth="1"/>
    <col min="261" max="261" width="16" style="261" customWidth="1"/>
    <col min="262" max="514" width="8.85546875" style="261"/>
    <col min="515" max="515" width="3.85546875" style="261" customWidth="1"/>
    <col min="516" max="516" width="63.85546875" style="261" customWidth="1"/>
    <col min="517" max="517" width="16" style="261" customWidth="1"/>
    <col min="518" max="770" width="8.85546875" style="261"/>
    <col min="771" max="771" width="3.85546875" style="261" customWidth="1"/>
    <col min="772" max="772" width="63.85546875" style="261" customWidth="1"/>
    <col min="773" max="773" width="16" style="261" customWidth="1"/>
    <col min="774" max="1026" width="8.85546875" style="261"/>
    <col min="1027" max="1027" width="3.85546875" style="261" customWidth="1"/>
    <col min="1028" max="1028" width="63.85546875" style="261" customWidth="1"/>
    <col min="1029" max="1029" width="16" style="261" customWidth="1"/>
    <col min="1030" max="1282" width="8.85546875" style="261"/>
    <col min="1283" max="1283" width="3.85546875" style="261" customWidth="1"/>
    <col min="1284" max="1284" width="63.85546875" style="261" customWidth="1"/>
    <col min="1285" max="1285" width="16" style="261" customWidth="1"/>
    <col min="1286" max="1538" width="8.85546875" style="261"/>
    <col min="1539" max="1539" width="3.85546875" style="261" customWidth="1"/>
    <col min="1540" max="1540" width="63.85546875" style="261" customWidth="1"/>
    <col min="1541" max="1541" width="16" style="261" customWidth="1"/>
    <col min="1542" max="1794" width="8.85546875" style="261"/>
    <col min="1795" max="1795" width="3.85546875" style="261" customWidth="1"/>
    <col min="1796" max="1796" width="63.85546875" style="261" customWidth="1"/>
    <col min="1797" max="1797" width="16" style="261" customWidth="1"/>
    <col min="1798" max="2050" width="8.85546875" style="261"/>
    <col min="2051" max="2051" width="3.85546875" style="261" customWidth="1"/>
    <col min="2052" max="2052" width="63.85546875" style="261" customWidth="1"/>
    <col min="2053" max="2053" width="16" style="261" customWidth="1"/>
    <col min="2054" max="2306" width="8.85546875" style="261"/>
    <col min="2307" max="2307" width="3.85546875" style="261" customWidth="1"/>
    <col min="2308" max="2308" width="63.85546875" style="261" customWidth="1"/>
    <col min="2309" max="2309" width="16" style="261" customWidth="1"/>
    <col min="2310" max="2562" width="8.85546875" style="261"/>
    <col min="2563" max="2563" width="3.85546875" style="261" customWidth="1"/>
    <col min="2564" max="2564" width="63.85546875" style="261" customWidth="1"/>
    <col min="2565" max="2565" width="16" style="261" customWidth="1"/>
    <col min="2566" max="2818" width="8.85546875" style="261"/>
    <col min="2819" max="2819" width="3.85546875" style="261" customWidth="1"/>
    <col min="2820" max="2820" width="63.85546875" style="261" customWidth="1"/>
    <col min="2821" max="2821" width="16" style="261" customWidth="1"/>
    <col min="2822" max="3074" width="8.85546875" style="261"/>
    <col min="3075" max="3075" width="3.85546875" style="261" customWidth="1"/>
    <col min="3076" max="3076" width="63.85546875" style="261" customWidth="1"/>
    <col min="3077" max="3077" width="16" style="261" customWidth="1"/>
    <col min="3078" max="3330" width="8.85546875" style="261"/>
    <col min="3331" max="3331" width="3.85546875" style="261" customWidth="1"/>
    <col min="3332" max="3332" width="63.85546875" style="261" customWidth="1"/>
    <col min="3333" max="3333" width="16" style="261" customWidth="1"/>
    <col min="3334" max="3586" width="8.85546875" style="261"/>
    <col min="3587" max="3587" width="3.85546875" style="261" customWidth="1"/>
    <col min="3588" max="3588" width="63.85546875" style="261" customWidth="1"/>
    <col min="3589" max="3589" width="16" style="261" customWidth="1"/>
    <col min="3590" max="3842" width="8.85546875" style="261"/>
    <col min="3843" max="3843" width="3.85546875" style="261" customWidth="1"/>
    <col min="3844" max="3844" width="63.85546875" style="261" customWidth="1"/>
    <col min="3845" max="3845" width="16" style="261" customWidth="1"/>
    <col min="3846" max="4098" width="8.85546875" style="261"/>
    <col min="4099" max="4099" width="3.85546875" style="261" customWidth="1"/>
    <col min="4100" max="4100" width="63.85546875" style="261" customWidth="1"/>
    <col min="4101" max="4101" width="16" style="261" customWidth="1"/>
    <col min="4102" max="4354" width="8.85546875" style="261"/>
    <col min="4355" max="4355" width="3.85546875" style="261" customWidth="1"/>
    <col min="4356" max="4356" width="63.85546875" style="261" customWidth="1"/>
    <col min="4357" max="4357" width="16" style="261" customWidth="1"/>
    <col min="4358" max="4610" width="8.85546875" style="261"/>
    <col min="4611" max="4611" width="3.85546875" style="261" customWidth="1"/>
    <col min="4612" max="4612" width="63.85546875" style="261" customWidth="1"/>
    <col min="4613" max="4613" width="16" style="261" customWidth="1"/>
    <col min="4614" max="4866" width="8.85546875" style="261"/>
    <col min="4867" max="4867" width="3.85546875" style="261" customWidth="1"/>
    <col min="4868" max="4868" width="63.85546875" style="261" customWidth="1"/>
    <col min="4869" max="4869" width="16" style="261" customWidth="1"/>
    <col min="4870" max="5122" width="8.85546875" style="261"/>
    <col min="5123" max="5123" width="3.85546875" style="261" customWidth="1"/>
    <col min="5124" max="5124" width="63.85546875" style="261" customWidth="1"/>
    <col min="5125" max="5125" width="16" style="261" customWidth="1"/>
    <col min="5126" max="5378" width="8.85546875" style="261"/>
    <col min="5379" max="5379" width="3.85546875" style="261" customWidth="1"/>
    <col min="5380" max="5380" width="63.85546875" style="261" customWidth="1"/>
    <col min="5381" max="5381" width="16" style="261" customWidth="1"/>
    <col min="5382" max="5634" width="8.85546875" style="261"/>
    <col min="5635" max="5635" width="3.85546875" style="261" customWidth="1"/>
    <col min="5636" max="5636" width="63.85546875" style="261" customWidth="1"/>
    <col min="5637" max="5637" width="16" style="261" customWidth="1"/>
    <col min="5638" max="5890" width="8.85546875" style="261"/>
    <col min="5891" max="5891" width="3.85546875" style="261" customWidth="1"/>
    <col min="5892" max="5892" width="63.85546875" style="261" customWidth="1"/>
    <col min="5893" max="5893" width="16" style="261" customWidth="1"/>
    <col min="5894" max="6146" width="8.85546875" style="261"/>
    <col min="6147" max="6147" width="3.85546875" style="261" customWidth="1"/>
    <col min="6148" max="6148" width="63.85546875" style="261" customWidth="1"/>
    <col min="6149" max="6149" width="16" style="261" customWidth="1"/>
    <col min="6150" max="6402" width="8.85546875" style="261"/>
    <col min="6403" max="6403" width="3.85546875" style="261" customWidth="1"/>
    <col min="6404" max="6404" width="63.85546875" style="261" customWidth="1"/>
    <col min="6405" max="6405" width="16" style="261" customWidth="1"/>
    <col min="6406" max="6658" width="8.85546875" style="261"/>
    <col min="6659" max="6659" width="3.85546875" style="261" customWidth="1"/>
    <col min="6660" max="6660" width="63.85546875" style="261" customWidth="1"/>
    <col min="6661" max="6661" width="16" style="261" customWidth="1"/>
    <col min="6662" max="6914" width="8.85546875" style="261"/>
    <col min="6915" max="6915" width="3.85546875" style="261" customWidth="1"/>
    <col min="6916" max="6916" width="63.85546875" style="261" customWidth="1"/>
    <col min="6917" max="6917" width="16" style="261" customWidth="1"/>
    <col min="6918" max="7170" width="8.85546875" style="261"/>
    <col min="7171" max="7171" width="3.85546875" style="261" customWidth="1"/>
    <col min="7172" max="7172" width="63.85546875" style="261" customWidth="1"/>
    <col min="7173" max="7173" width="16" style="261" customWidth="1"/>
    <col min="7174" max="7426" width="8.85546875" style="261"/>
    <col min="7427" max="7427" width="3.85546875" style="261" customWidth="1"/>
    <col min="7428" max="7428" width="63.85546875" style="261" customWidth="1"/>
    <col min="7429" max="7429" width="16" style="261" customWidth="1"/>
    <col min="7430" max="7682" width="8.85546875" style="261"/>
    <col min="7683" max="7683" width="3.85546875" style="261" customWidth="1"/>
    <col min="7684" max="7684" width="63.85546875" style="261" customWidth="1"/>
    <col min="7685" max="7685" width="16" style="261" customWidth="1"/>
    <col min="7686" max="7938" width="8.85546875" style="261"/>
    <col min="7939" max="7939" width="3.85546875" style="261" customWidth="1"/>
    <col min="7940" max="7940" width="63.85546875" style="261" customWidth="1"/>
    <col min="7941" max="7941" width="16" style="261" customWidth="1"/>
    <col min="7942" max="8194" width="8.85546875" style="261"/>
    <col min="8195" max="8195" width="3.85546875" style="261" customWidth="1"/>
    <col min="8196" max="8196" width="63.85546875" style="261" customWidth="1"/>
    <col min="8197" max="8197" width="16" style="261" customWidth="1"/>
    <col min="8198" max="8450" width="8.85546875" style="261"/>
    <col min="8451" max="8451" width="3.85546875" style="261" customWidth="1"/>
    <col min="8452" max="8452" width="63.85546875" style="261" customWidth="1"/>
    <col min="8453" max="8453" width="16" style="261" customWidth="1"/>
    <col min="8454" max="8706" width="8.85546875" style="261"/>
    <col min="8707" max="8707" width="3.85546875" style="261" customWidth="1"/>
    <col min="8708" max="8708" width="63.85546875" style="261" customWidth="1"/>
    <col min="8709" max="8709" width="16" style="261" customWidth="1"/>
    <col min="8710" max="8962" width="8.85546875" style="261"/>
    <col min="8963" max="8963" width="3.85546875" style="261" customWidth="1"/>
    <col min="8964" max="8964" width="63.85546875" style="261" customWidth="1"/>
    <col min="8965" max="8965" width="16" style="261" customWidth="1"/>
    <col min="8966" max="9218" width="8.85546875" style="261"/>
    <col min="9219" max="9219" width="3.85546875" style="261" customWidth="1"/>
    <col min="9220" max="9220" width="63.85546875" style="261" customWidth="1"/>
    <col min="9221" max="9221" width="16" style="261" customWidth="1"/>
    <col min="9222" max="9474" width="8.85546875" style="261"/>
    <col min="9475" max="9475" width="3.85546875" style="261" customWidth="1"/>
    <col min="9476" max="9476" width="63.85546875" style="261" customWidth="1"/>
    <col min="9477" max="9477" width="16" style="261" customWidth="1"/>
    <col min="9478" max="9730" width="8.85546875" style="261"/>
    <col min="9731" max="9731" width="3.85546875" style="261" customWidth="1"/>
    <col min="9732" max="9732" width="63.85546875" style="261" customWidth="1"/>
    <col min="9733" max="9733" width="16" style="261" customWidth="1"/>
    <col min="9734" max="9986" width="8.85546875" style="261"/>
    <col min="9987" max="9987" width="3.85546875" style="261" customWidth="1"/>
    <col min="9988" max="9988" width="63.85546875" style="261" customWidth="1"/>
    <col min="9989" max="9989" width="16" style="261" customWidth="1"/>
    <col min="9990" max="10242" width="8.85546875" style="261"/>
    <col min="10243" max="10243" width="3.85546875" style="261" customWidth="1"/>
    <col min="10244" max="10244" width="63.85546875" style="261" customWidth="1"/>
    <col min="10245" max="10245" width="16" style="261" customWidth="1"/>
    <col min="10246" max="10498" width="8.85546875" style="261"/>
    <col min="10499" max="10499" width="3.85546875" style="261" customWidth="1"/>
    <col min="10500" max="10500" width="63.85546875" style="261" customWidth="1"/>
    <col min="10501" max="10501" width="16" style="261" customWidth="1"/>
    <col min="10502" max="10754" width="8.85546875" style="261"/>
    <col min="10755" max="10755" width="3.85546875" style="261" customWidth="1"/>
    <col min="10756" max="10756" width="63.85546875" style="261" customWidth="1"/>
    <col min="10757" max="10757" width="16" style="261" customWidth="1"/>
    <col min="10758" max="11010" width="8.85546875" style="261"/>
    <col min="11011" max="11011" width="3.85546875" style="261" customWidth="1"/>
    <col min="11012" max="11012" width="63.85546875" style="261" customWidth="1"/>
    <col min="11013" max="11013" width="16" style="261" customWidth="1"/>
    <col min="11014" max="11266" width="8.85546875" style="261"/>
    <col min="11267" max="11267" width="3.85546875" style="261" customWidth="1"/>
    <col min="11268" max="11268" width="63.85546875" style="261" customWidth="1"/>
    <col min="11269" max="11269" width="16" style="261" customWidth="1"/>
    <col min="11270" max="11522" width="8.85546875" style="261"/>
    <col min="11523" max="11523" width="3.85546875" style="261" customWidth="1"/>
    <col min="11524" max="11524" width="63.85546875" style="261" customWidth="1"/>
    <col min="11525" max="11525" width="16" style="261" customWidth="1"/>
    <col min="11526" max="11778" width="8.85546875" style="261"/>
    <col min="11779" max="11779" width="3.85546875" style="261" customWidth="1"/>
    <col min="11780" max="11780" width="63.85546875" style="261" customWidth="1"/>
    <col min="11781" max="11781" width="16" style="261" customWidth="1"/>
    <col min="11782" max="12034" width="8.85546875" style="261"/>
    <col min="12035" max="12035" width="3.85546875" style="261" customWidth="1"/>
    <col min="12036" max="12036" width="63.85546875" style="261" customWidth="1"/>
    <col min="12037" max="12037" width="16" style="261" customWidth="1"/>
    <col min="12038" max="12290" width="8.85546875" style="261"/>
    <col min="12291" max="12291" width="3.85546875" style="261" customWidth="1"/>
    <col min="12292" max="12292" width="63.85546875" style="261" customWidth="1"/>
    <col min="12293" max="12293" width="16" style="261" customWidth="1"/>
    <col min="12294" max="12546" width="8.85546875" style="261"/>
    <col min="12547" max="12547" width="3.85546875" style="261" customWidth="1"/>
    <col min="12548" max="12548" width="63.85546875" style="261" customWidth="1"/>
    <col min="12549" max="12549" width="16" style="261" customWidth="1"/>
    <col min="12550" max="12802" width="8.85546875" style="261"/>
    <col min="12803" max="12803" width="3.85546875" style="261" customWidth="1"/>
    <col min="12804" max="12804" width="63.85546875" style="261" customWidth="1"/>
    <col min="12805" max="12805" width="16" style="261" customWidth="1"/>
    <col min="12806" max="13058" width="8.85546875" style="261"/>
    <col min="13059" max="13059" width="3.85546875" style="261" customWidth="1"/>
    <col min="13060" max="13060" width="63.85546875" style="261" customWidth="1"/>
    <col min="13061" max="13061" width="16" style="261" customWidth="1"/>
    <col min="13062" max="13314" width="8.85546875" style="261"/>
    <col min="13315" max="13315" width="3.85546875" style="261" customWidth="1"/>
    <col min="13316" max="13316" width="63.85546875" style="261" customWidth="1"/>
    <col min="13317" max="13317" width="16" style="261" customWidth="1"/>
    <col min="13318" max="13570" width="8.85546875" style="261"/>
    <col min="13571" max="13571" width="3.85546875" style="261" customWidth="1"/>
    <col min="13572" max="13572" width="63.85546875" style="261" customWidth="1"/>
    <col min="13573" max="13573" width="16" style="261" customWidth="1"/>
    <col min="13574" max="13826" width="8.85546875" style="261"/>
    <col min="13827" max="13827" width="3.85546875" style="261" customWidth="1"/>
    <col min="13828" max="13828" width="63.85546875" style="261" customWidth="1"/>
    <col min="13829" max="13829" width="16" style="261" customWidth="1"/>
    <col min="13830" max="14082" width="8.85546875" style="261"/>
    <col min="14083" max="14083" width="3.85546875" style="261" customWidth="1"/>
    <col min="14084" max="14084" width="63.85546875" style="261" customWidth="1"/>
    <col min="14085" max="14085" width="16" style="261" customWidth="1"/>
    <col min="14086" max="14338" width="8.85546875" style="261"/>
    <col min="14339" max="14339" width="3.85546875" style="261" customWidth="1"/>
    <col min="14340" max="14340" width="63.85546875" style="261" customWidth="1"/>
    <col min="14341" max="14341" width="16" style="261" customWidth="1"/>
    <col min="14342" max="14594" width="8.85546875" style="261"/>
    <col min="14595" max="14595" width="3.85546875" style="261" customWidth="1"/>
    <col min="14596" max="14596" width="63.85546875" style="261" customWidth="1"/>
    <col min="14597" max="14597" width="16" style="261" customWidth="1"/>
    <col min="14598" max="14850" width="8.85546875" style="261"/>
    <col min="14851" max="14851" width="3.85546875" style="261" customWidth="1"/>
    <col min="14852" max="14852" width="63.85546875" style="261" customWidth="1"/>
    <col min="14853" max="14853" width="16" style="261" customWidth="1"/>
    <col min="14854" max="15106" width="8.85546875" style="261"/>
    <col min="15107" max="15107" width="3.85546875" style="261" customWidth="1"/>
    <col min="15108" max="15108" width="63.85546875" style="261" customWidth="1"/>
    <col min="15109" max="15109" width="16" style="261" customWidth="1"/>
    <col min="15110" max="15362" width="8.85546875" style="261"/>
    <col min="15363" max="15363" width="3.85546875" style="261" customWidth="1"/>
    <col min="15364" max="15364" width="63.85546875" style="261" customWidth="1"/>
    <col min="15365" max="15365" width="16" style="261" customWidth="1"/>
    <col min="15366" max="15618" width="8.85546875" style="261"/>
    <col min="15619" max="15619" width="3.85546875" style="261" customWidth="1"/>
    <col min="15620" max="15620" width="63.85546875" style="261" customWidth="1"/>
    <col min="15621" max="15621" width="16" style="261" customWidth="1"/>
    <col min="15622" max="15874" width="8.85546875" style="261"/>
    <col min="15875" max="15875" width="3.85546875" style="261" customWidth="1"/>
    <col min="15876" max="15876" width="63.85546875" style="261" customWidth="1"/>
    <col min="15877" max="15877" width="16" style="261" customWidth="1"/>
    <col min="15878" max="16130" width="8.85546875" style="261"/>
    <col min="16131" max="16131" width="3.85546875" style="261" customWidth="1"/>
    <col min="16132" max="16132" width="63.85546875" style="261" customWidth="1"/>
    <col min="16133" max="16133" width="16" style="261" customWidth="1"/>
    <col min="16134" max="16384" width="8.85546875" style="261"/>
  </cols>
  <sheetData>
    <row r="1" spans="1:7" s="106" customFormat="1" ht="13.9" customHeight="1" x14ac:dyDescent="0.25">
      <c r="A1" s="799" t="s">
        <v>334</v>
      </c>
      <c r="B1" s="799"/>
      <c r="C1" s="799"/>
      <c r="D1" s="422"/>
      <c r="E1" s="422"/>
      <c r="F1" s="228"/>
      <c r="G1" s="229"/>
    </row>
    <row r="2" spans="1:7" s="106" customFormat="1" x14ac:dyDescent="0.2">
      <c r="A2" s="228"/>
      <c r="B2" s="230"/>
      <c r="C2" s="229"/>
      <c r="D2" s="229"/>
      <c r="E2" s="229"/>
      <c r="F2" s="228"/>
      <c r="G2" s="229"/>
    </row>
    <row r="3" spans="1:7" s="106" customFormat="1" ht="16.5" customHeight="1" x14ac:dyDescent="0.2">
      <c r="A3" s="800" t="s">
        <v>150</v>
      </c>
      <c r="B3" s="801"/>
      <c r="C3" s="801"/>
      <c r="D3" s="424"/>
      <c r="E3" s="424"/>
      <c r="F3" s="424"/>
      <c r="G3" s="424"/>
    </row>
    <row r="4" spans="1:7" s="106" customFormat="1" ht="24" customHeight="1" x14ac:dyDescent="0.2">
      <c r="A4" s="649"/>
      <c r="B4" s="649"/>
      <c r="C4" s="649"/>
      <c r="D4" s="423"/>
      <c r="E4" s="423"/>
      <c r="F4" s="423"/>
      <c r="G4" s="423"/>
    </row>
    <row r="5" spans="1:7" s="106" customFormat="1" ht="24" customHeight="1" x14ac:dyDescent="0.2">
      <c r="A5" s="423"/>
      <c r="B5" s="423"/>
      <c r="C5" s="423"/>
      <c r="D5" s="423"/>
      <c r="E5" s="423"/>
      <c r="F5" s="423"/>
      <c r="G5" s="423"/>
    </row>
    <row r="6" spans="1:7" s="652" customFormat="1" ht="27.6" customHeight="1" x14ac:dyDescent="0.2">
      <c r="A6" s="650"/>
      <c r="B6" s="651"/>
      <c r="C6" s="651" t="s">
        <v>364</v>
      </c>
      <c r="D6" s="651" t="s">
        <v>365</v>
      </c>
      <c r="E6" s="651" t="s">
        <v>366</v>
      </c>
      <c r="F6" s="650"/>
      <c r="G6" s="650"/>
    </row>
    <row r="7" spans="1:7" s="232" customFormat="1" ht="16.5" customHeight="1" x14ac:dyDescent="0.25">
      <c r="A7" s="231" t="s">
        <v>151</v>
      </c>
      <c r="B7" s="231" t="s">
        <v>152</v>
      </c>
      <c r="C7" s="239">
        <v>0</v>
      </c>
      <c r="D7" s="239">
        <v>0</v>
      </c>
      <c r="E7" s="239">
        <f>D7-C7</f>
        <v>0</v>
      </c>
      <c r="F7" s="231"/>
      <c r="G7" s="231"/>
    </row>
    <row r="8" spans="1:7" s="233" customFormat="1" ht="16.5" customHeight="1" x14ac:dyDescent="0.25">
      <c r="C8" s="234"/>
      <c r="D8" s="234"/>
      <c r="E8" s="234"/>
      <c r="F8" s="241"/>
      <c r="G8" s="242"/>
    </row>
    <row r="9" spans="1:7" s="237" customFormat="1" ht="16.5" customHeight="1" x14ac:dyDescent="0.25">
      <c r="A9" s="237" t="s">
        <v>158</v>
      </c>
      <c r="B9" s="231" t="s">
        <v>22</v>
      </c>
      <c r="C9" s="238"/>
      <c r="D9" s="238"/>
      <c r="E9" s="238"/>
      <c r="G9" s="238"/>
    </row>
    <row r="10" spans="1:7" s="233" customFormat="1" ht="16.5" customHeight="1" x14ac:dyDescent="0.25">
      <c r="A10" s="233" t="s">
        <v>153</v>
      </c>
      <c r="B10" s="233" t="s">
        <v>178</v>
      </c>
      <c r="C10" s="234">
        <v>11671794</v>
      </c>
      <c r="D10" s="234">
        <v>11671794</v>
      </c>
      <c r="E10" s="234">
        <f t="shared" ref="E10:E11" si="0">D10-C10</f>
        <v>0</v>
      </c>
      <c r="F10" s="241"/>
      <c r="G10" s="242"/>
    </row>
    <row r="11" spans="1:7" s="237" customFormat="1" ht="16.5" customHeight="1" x14ac:dyDescent="0.25">
      <c r="B11" s="237" t="s">
        <v>157</v>
      </c>
      <c r="C11" s="238">
        <f>SUM(C10:C10)</f>
        <v>11671794</v>
      </c>
      <c r="D11" s="238">
        <f>SUM(D10:D10)</f>
        <v>11671794</v>
      </c>
      <c r="E11" s="238">
        <f t="shared" si="0"/>
        <v>0</v>
      </c>
      <c r="G11" s="240"/>
    </row>
    <row r="12" spans="1:7" s="233" customFormat="1" ht="16.5" customHeight="1" x14ac:dyDescent="0.25">
      <c r="B12" s="232"/>
      <c r="C12" s="234"/>
      <c r="D12" s="234"/>
      <c r="E12" s="234"/>
      <c r="G12" s="234"/>
    </row>
    <row r="13" spans="1:7" s="237" customFormat="1" ht="16.5" customHeight="1" x14ac:dyDescent="0.25">
      <c r="A13" s="237" t="s">
        <v>159</v>
      </c>
      <c r="B13" s="231" t="s">
        <v>25</v>
      </c>
      <c r="C13" s="238"/>
      <c r="D13" s="238"/>
      <c r="E13" s="238"/>
      <c r="G13" s="238"/>
    </row>
    <row r="14" spans="1:7" s="237" customFormat="1" ht="16.5" customHeight="1" x14ac:dyDescent="0.25">
      <c r="A14" s="236" t="s">
        <v>153</v>
      </c>
      <c r="B14" s="243" t="s">
        <v>160</v>
      </c>
      <c r="C14" s="234">
        <v>0</v>
      </c>
      <c r="D14" s="234">
        <v>0</v>
      </c>
      <c r="E14" s="234">
        <f t="shared" ref="E14:E15" si="1">D14-C14</f>
        <v>0</v>
      </c>
      <c r="G14" s="238"/>
    </row>
    <row r="15" spans="1:7" s="237" customFormat="1" ht="16.5" customHeight="1" x14ac:dyDescent="0.25">
      <c r="A15" s="236" t="s">
        <v>154</v>
      </c>
      <c r="B15" s="243" t="s">
        <v>161</v>
      </c>
      <c r="C15" s="234">
        <v>0</v>
      </c>
      <c r="D15" s="234">
        <v>0</v>
      </c>
      <c r="E15" s="234">
        <f t="shared" si="1"/>
        <v>0</v>
      </c>
      <c r="G15" s="238"/>
    </row>
    <row r="16" spans="1:7" s="237" customFormat="1" ht="16.5" customHeight="1" x14ac:dyDescent="0.25">
      <c r="B16" s="231"/>
      <c r="C16" s="238"/>
      <c r="D16" s="238"/>
      <c r="E16" s="238"/>
      <c r="G16" s="238"/>
    </row>
    <row r="17" spans="1:7" s="237" customFormat="1" ht="16.5" customHeight="1" x14ac:dyDescent="0.25">
      <c r="C17" s="238"/>
      <c r="D17" s="238"/>
      <c r="E17" s="238"/>
      <c r="G17" s="240"/>
    </row>
    <row r="18" spans="1:7" s="237" customFormat="1" ht="16.5" customHeight="1" x14ac:dyDescent="0.25">
      <c r="A18" s="237" t="s">
        <v>162</v>
      </c>
      <c r="B18" s="231" t="s">
        <v>163</v>
      </c>
      <c r="C18" s="238"/>
      <c r="D18" s="238"/>
      <c r="E18" s="238"/>
      <c r="G18" s="238"/>
    </row>
    <row r="19" spans="1:7" s="246" customFormat="1" ht="16.5" customHeight="1" x14ac:dyDescent="0.25">
      <c r="A19" s="233" t="s">
        <v>153</v>
      </c>
      <c r="B19" s="233" t="s">
        <v>179</v>
      </c>
      <c r="C19" s="234">
        <v>47296316</v>
      </c>
      <c r="D19" s="234">
        <v>47296316</v>
      </c>
      <c r="E19" s="234">
        <f t="shared" ref="E19:E24" si="2">D19-C19</f>
        <v>0</v>
      </c>
      <c r="F19" s="244"/>
      <c r="G19" s="245"/>
    </row>
    <row r="20" spans="1:7" s="246" customFormat="1" ht="16.5" customHeight="1" x14ac:dyDescent="0.25">
      <c r="A20" s="233" t="s">
        <v>154</v>
      </c>
      <c r="B20" s="233" t="s">
        <v>180</v>
      </c>
      <c r="C20" s="234">
        <v>83640130</v>
      </c>
      <c r="D20" s="234">
        <v>83640130</v>
      </c>
      <c r="E20" s="234">
        <f t="shared" si="2"/>
        <v>0</v>
      </c>
      <c r="F20" s="244"/>
      <c r="G20" s="245"/>
    </row>
    <row r="21" spans="1:7" s="246" customFormat="1" ht="16.5" customHeight="1" x14ac:dyDescent="0.25">
      <c r="A21" s="233" t="s">
        <v>155</v>
      </c>
      <c r="B21" s="233" t="s">
        <v>181</v>
      </c>
      <c r="C21" s="234">
        <v>114754852</v>
      </c>
      <c r="D21" s="234">
        <v>114754852</v>
      </c>
      <c r="E21" s="234">
        <f t="shared" si="2"/>
        <v>0</v>
      </c>
      <c r="F21" s="244"/>
      <c r="G21" s="245"/>
    </row>
    <row r="22" spans="1:7" s="246" customFormat="1" ht="16.5" customHeight="1" x14ac:dyDescent="0.25">
      <c r="A22" s="233" t="s">
        <v>156</v>
      </c>
      <c r="B22" s="233" t="s">
        <v>182</v>
      </c>
      <c r="C22" s="234">
        <v>730000</v>
      </c>
      <c r="D22" s="234">
        <v>730000</v>
      </c>
      <c r="E22" s="234">
        <f t="shared" si="2"/>
        <v>0</v>
      </c>
      <c r="F22" s="244"/>
      <c r="G22" s="245"/>
    </row>
    <row r="23" spans="1:7" s="246" customFormat="1" ht="16.5" customHeight="1" x14ac:dyDescent="0.25">
      <c r="A23" s="233" t="s">
        <v>184</v>
      </c>
      <c r="B23" s="233" t="s">
        <v>185</v>
      </c>
      <c r="C23" s="234">
        <v>21909729</v>
      </c>
      <c r="D23" s="234">
        <f>21909729+50144248-381000</f>
        <v>71672977</v>
      </c>
      <c r="E23" s="234">
        <f t="shared" si="2"/>
        <v>49763248</v>
      </c>
      <c r="F23" s="244"/>
      <c r="G23" s="245"/>
    </row>
    <row r="24" spans="1:7" s="237" customFormat="1" ht="16.5" customHeight="1" x14ac:dyDescent="0.25">
      <c r="B24" s="243" t="s">
        <v>157</v>
      </c>
      <c r="C24" s="247">
        <f>SUM(C19:C23)</f>
        <v>268331027</v>
      </c>
      <c r="D24" s="247">
        <f>SUM(D19:D23)</f>
        <v>318094275</v>
      </c>
      <c r="E24" s="247">
        <f t="shared" si="2"/>
        <v>49763248</v>
      </c>
      <c r="G24" s="238"/>
    </row>
    <row r="25" spans="1:7" s="233" customFormat="1" ht="16.5" customHeight="1" x14ac:dyDescent="0.25">
      <c r="C25" s="242"/>
      <c r="D25" s="242"/>
      <c r="E25" s="242"/>
      <c r="F25" s="241"/>
      <c r="G25" s="242"/>
    </row>
    <row r="26" spans="1:7" s="237" customFormat="1" ht="16.5" customHeight="1" x14ac:dyDescent="0.25">
      <c r="B26" s="231" t="s">
        <v>164</v>
      </c>
      <c r="C26" s="238">
        <f>C24</f>
        <v>268331027</v>
      </c>
      <c r="D26" s="238">
        <f>D24</f>
        <v>318094275</v>
      </c>
      <c r="E26" s="238">
        <f>D26-C26</f>
        <v>49763248</v>
      </c>
      <c r="G26" s="238"/>
    </row>
    <row r="27" spans="1:7" s="237" customFormat="1" ht="16.5" customHeight="1" x14ac:dyDescent="0.25">
      <c r="B27" s="231"/>
      <c r="C27" s="238"/>
      <c r="D27" s="238"/>
      <c r="E27" s="238"/>
      <c r="G27" s="238"/>
    </row>
    <row r="28" spans="1:7" s="265" customFormat="1" ht="16.5" customHeight="1" x14ac:dyDescent="0.25">
      <c r="B28" s="269" t="s">
        <v>165</v>
      </c>
      <c r="C28" s="272">
        <f>+C11+C26+C16</f>
        <v>280002821</v>
      </c>
      <c r="D28" s="272">
        <f>+D11+D26+D16</f>
        <v>329766069</v>
      </c>
      <c r="E28" s="272">
        <f>D28-C28</f>
        <v>49763248</v>
      </c>
      <c r="F28" s="273"/>
      <c r="G28" s="274"/>
    </row>
    <row r="29" spans="1:7" s="233" customFormat="1" ht="16.5" customHeight="1" x14ac:dyDescent="0.25">
      <c r="B29" s="237" t="s">
        <v>166</v>
      </c>
      <c r="C29" s="242"/>
      <c r="D29" s="242"/>
      <c r="E29" s="242"/>
      <c r="F29" s="241"/>
      <c r="G29" s="242"/>
    </row>
    <row r="30" spans="1:7" s="233" customFormat="1" ht="16.5" customHeight="1" x14ac:dyDescent="0.25">
      <c r="B30" s="237" t="s">
        <v>167</v>
      </c>
      <c r="C30" s="400">
        <f>C28-C31</f>
        <v>280002821</v>
      </c>
      <c r="D30" s="400">
        <f>D28-D31</f>
        <v>329766069</v>
      </c>
      <c r="E30" s="400">
        <f>D30-C30</f>
        <v>49763248</v>
      </c>
      <c r="F30" s="241"/>
      <c r="G30" s="242"/>
    </row>
    <row r="31" spans="1:7" s="233" customFormat="1" ht="16.5" customHeight="1" x14ac:dyDescent="0.25">
      <c r="B31" s="237" t="s">
        <v>340</v>
      </c>
      <c r="C31" s="400">
        <v>0</v>
      </c>
      <c r="D31" s="400">
        <v>0</v>
      </c>
      <c r="E31" s="400">
        <v>0</v>
      </c>
      <c r="F31" s="241"/>
      <c r="G31" s="242"/>
    </row>
    <row r="32" spans="1:7" s="233" customFormat="1" x14ac:dyDescent="0.25">
      <c r="C32" s="242"/>
      <c r="D32" s="242"/>
      <c r="E32" s="242"/>
      <c r="F32" s="241"/>
      <c r="G32" s="242"/>
    </row>
    <row r="34" spans="3:5" x14ac:dyDescent="0.2">
      <c r="C34" s="262"/>
      <c r="D34" s="262"/>
      <c r="E34" s="262"/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04FD-61D8-4260-B740-76FB3D2315A6}">
  <dimension ref="A1:G46"/>
  <sheetViews>
    <sheetView topLeftCell="A28" zoomScaleNormal="100" workbookViewId="0">
      <selection activeCell="B5" sqref="B5"/>
    </sheetView>
  </sheetViews>
  <sheetFormatPr defaultRowHeight="12.75" x14ac:dyDescent="0.2"/>
  <cols>
    <col min="1" max="1" width="6.5703125" style="249" customWidth="1"/>
    <col min="2" max="2" width="66" style="249" customWidth="1"/>
    <col min="3" max="5" width="13.28515625" style="249" customWidth="1"/>
    <col min="6" max="7" width="8.85546875" style="249"/>
    <col min="8" max="8" width="9.28515625" style="249" bestFit="1" customWidth="1"/>
    <col min="9" max="258" width="8.85546875" style="249"/>
    <col min="259" max="259" width="4.140625" style="249" bestFit="1" customWidth="1"/>
    <col min="260" max="260" width="66.140625" style="249" customWidth="1"/>
    <col min="261" max="261" width="18.85546875" style="249" customWidth="1"/>
    <col min="262" max="263" width="8.85546875" style="249"/>
    <col min="264" max="264" width="9.28515625" style="249" bestFit="1" customWidth="1"/>
    <col min="265" max="514" width="8.85546875" style="249"/>
    <col min="515" max="515" width="4.140625" style="249" bestFit="1" customWidth="1"/>
    <col min="516" max="516" width="66.140625" style="249" customWidth="1"/>
    <col min="517" max="517" width="18.85546875" style="249" customWidth="1"/>
    <col min="518" max="519" width="8.85546875" style="249"/>
    <col min="520" max="520" width="9.28515625" style="249" bestFit="1" customWidth="1"/>
    <col min="521" max="770" width="8.85546875" style="249"/>
    <col min="771" max="771" width="4.140625" style="249" bestFit="1" customWidth="1"/>
    <col min="772" max="772" width="66.140625" style="249" customWidth="1"/>
    <col min="773" max="773" width="18.85546875" style="249" customWidth="1"/>
    <col min="774" max="775" width="8.85546875" style="249"/>
    <col min="776" max="776" width="9.28515625" style="249" bestFit="1" customWidth="1"/>
    <col min="777" max="1026" width="8.85546875" style="249"/>
    <col min="1027" max="1027" width="4.140625" style="249" bestFit="1" customWidth="1"/>
    <col min="1028" max="1028" width="66.140625" style="249" customWidth="1"/>
    <col min="1029" max="1029" width="18.85546875" style="249" customWidth="1"/>
    <col min="1030" max="1031" width="8.85546875" style="249"/>
    <col min="1032" max="1032" width="9.28515625" style="249" bestFit="1" customWidth="1"/>
    <col min="1033" max="1282" width="8.85546875" style="249"/>
    <col min="1283" max="1283" width="4.140625" style="249" bestFit="1" customWidth="1"/>
    <col min="1284" max="1284" width="66.140625" style="249" customWidth="1"/>
    <col min="1285" max="1285" width="18.85546875" style="249" customWidth="1"/>
    <col min="1286" max="1287" width="8.85546875" style="249"/>
    <col min="1288" max="1288" width="9.28515625" style="249" bestFit="1" customWidth="1"/>
    <col min="1289" max="1538" width="8.85546875" style="249"/>
    <col min="1539" max="1539" width="4.140625" style="249" bestFit="1" customWidth="1"/>
    <col min="1540" max="1540" width="66.140625" style="249" customWidth="1"/>
    <col min="1541" max="1541" width="18.85546875" style="249" customWidth="1"/>
    <col min="1542" max="1543" width="8.85546875" style="249"/>
    <col min="1544" max="1544" width="9.28515625" style="249" bestFit="1" customWidth="1"/>
    <col min="1545" max="1794" width="8.85546875" style="249"/>
    <col min="1795" max="1795" width="4.140625" style="249" bestFit="1" customWidth="1"/>
    <col min="1796" max="1796" width="66.140625" style="249" customWidth="1"/>
    <col min="1797" max="1797" width="18.85546875" style="249" customWidth="1"/>
    <col min="1798" max="1799" width="8.85546875" style="249"/>
    <col min="1800" max="1800" width="9.28515625" style="249" bestFit="1" customWidth="1"/>
    <col min="1801" max="2050" width="8.85546875" style="249"/>
    <col min="2051" max="2051" width="4.140625" style="249" bestFit="1" customWidth="1"/>
    <col min="2052" max="2052" width="66.140625" style="249" customWidth="1"/>
    <col min="2053" max="2053" width="18.85546875" style="249" customWidth="1"/>
    <col min="2054" max="2055" width="8.85546875" style="249"/>
    <col min="2056" max="2056" width="9.28515625" style="249" bestFit="1" customWidth="1"/>
    <col min="2057" max="2306" width="8.85546875" style="249"/>
    <col min="2307" max="2307" width="4.140625" style="249" bestFit="1" customWidth="1"/>
    <col min="2308" max="2308" width="66.140625" style="249" customWidth="1"/>
    <col min="2309" max="2309" width="18.85546875" style="249" customWidth="1"/>
    <col min="2310" max="2311" width="8.85546875" style="249"/>
    <col min="2312" max="2312" width="9.28515625" style="249" bestFit="1" customWidth="1"/>
    <col min="2313" max="2562" width="8.85546875" style="249"/>
    <col min="2563" max="2563" width="4.140625" style="249" bestFit="1" customWidth="1"/>
    <col min="2564" max="2564" width="66.140625" style="249" customWidth="1"/>
    <col min="2565" max="2565" width="18.85546875" style="249" customWidth="1"/>
    <col min="2566" max="2567" width="8.85546875" style="249"/>
    <col min="2568" max="2568" width="9.28515625" style="249" bestFit="1" customWidth="1"/>
    <col min="2569" max="2818" width="8.85546875" style="249"/>
    <col min="2819" max="2819" width="4.140625" style="249" bestFit="1" customWidth="1"/>
    <col min="2820" max="2820" width="66.140625" style="249" customWidth="1"/>
    <col min="2821" max="2821" width="18.85546875" style="249" customWidth="1"/>
    <col min="2822" max="2823" width="8.85546875" style="249"/>
    <col min="2824" max="2824" width="9.28515625" style="249" bestFit="1" customWidth="1"/>
    <col min="2825" max="3074" width="8.85546875" style="249"/>
    <col min="3075" max="3075" width="4.140625" style="249" bestFit="1" customWidth="1"/>
    <col min="3076" max="3076" width="66.140625" style="249" customWidth="1"/>
    <col min="3077" max="3077" width="18.85546875" style="249" customWidth="1"/>
    <col min="3078" max="3079" width="8.85546875" style="249"/>
    <col min="3080" max="3080" width="9.28515625" style="249" bestFit="1" customWidth="1"/>
    <col min="3081" max="3330" width="8.85546875" style="249"/>
    <col min="3331" max="3331" width="4.140625" style="249" bestFit="1" customWidth="1"/>
    <col min="3332" max="3332" width="66.140625" style="249" customWidth="1"/>
    <col min="3333" max="3333" width="18.85546875" style="249" customWidth="1"/>
    <col min="3334" max="3335" width="8.85546875" style="249"/>
    <col min="3336" max="3336" width="9.28515625" style="249" bestFit="1" customWidth="1"/>
    <col min="3337" max="3586" width="8.85546875" style="249"/>
    <col min="3587" max="3587" width="4.140625" style="249" bestFit="1" customWidth="1"/>
    <col min="3588" max="3588" width="66.140625" style="249" customWidth="1"/>
    <col min="3589" max="3589" width="18.85546875" style="249" customWidth="1"/>
    <col min="3590" max="3591" width="8.85546875" style="249"/>
    <col min="3592" max="3592" width="9.28515625" style="249" bestFit="1" customWidth="1"/>
    <col min="3593" max="3842" width="8.85546875" style="249"/>
    <col min="3843" max="3843" width="4.140625" style="249" bestFit="1" customWidth="1"/>
    <col min="3844" max="3844" width="66.140625" style="249" customWidth="1"/>
    <col min="3845" max="3845" width="18.85546875" style="249" customWidth="1"/>
    <col min="3846" max="3847" width="8.85546875" style="249"/>
    <col min="3848" max="3848" width="9.28515625" style="249" bestFit="1" customWidth="1"/>
    <col min="3849" max="4098" width="8.85546875" style="249"/>
    <col min="4099" max="4099" width="4.140625" style="249" bestFit="1" customWidth="1"/>
    <col min="4100" max="4100" width="66.140625" style="249" customWidth="1"/>
    <col min="4101" max="4101" width="18.85546875" style="249" customWidth="1"/>
    <col min="4102" max="4103" width="8.85546875" style="249"/>
    <col min="4104" max="4104" width="9.28515625" style="249" bestFit="1" customWidth="1"/>
    <col min="4105" max="4354" width="8.85546875" style="249"/>
    <col min="4355" max="4355" width="4.140625" style="249" bestFit="1" customWidth="1"/>
    <col min="4356" max="4356" width="66.140625" style="249" customWidth="1"/>
    <col min="4357" max="4357" width="18.85546875" style="249" customWidth="1"/>
    <col min="4358" max="4359" width="8.85546875" style="249"/>
    <col min="4360" max="4360" width="9.28515625" style="249" bestFit="1" customWidth="1"/>
    <col min="4361" max="4610" width="8.85546875" style="249"/>
    <col min="4611" max="4611" width="4.140625" style="249" bestFit="1" customWidth="1"/>
    <col min="4612" max="4612" width="66.140625" style="249" customWidth="1"/>
    <col min="4613" max="4613" width="18.85546875" style="249" customWidth="1"/>
    <col min="4614" max="4615" width="8.85546875" style="249"/>
    <col min="4616" max="4616" width="9.28515625" style="249" bestFit="1" customWidth="1"/>
    <col min="4617" max="4866" width="8.85546875" style="249"/>
    <col min="4867" max="4867" width="4.140625" style="249" bestFit="1" customWidth="1"/>
    <col min="4868" max="4868" width="66.140625" style="249" customWidth="1"/>
    <col min="4869" max="4869" width="18.85546875" style="249" customWidth="1"/>
    <col min="4870" max="4871" width="8.85546875" style="249"/>
    <col min="4872" max="4872" width="9.28515625" style="249" bestFit="1" customWidth="1"/>
    <col min="4873" max="5122" width="8.85546875" style="249"/>
    <col min="5123" max="5123" width="4.140625" style="249" bestFit="1" customWidth="1"/>
    <col min="5124" max="5124" width="66.140625" style="249" customWidth="1"/>
    <col min="5125" max="5125" width="18.85546875" style="249" customWidth="1"/>
    <col min="5126" max="5127" width="8.85546875" style="249"/>
    <col min="5128" max="5128" width="9.28515625" style="249" bestFit="1" customWidth="1"/>
    <col min="5129" max="5378" width="8.85546875" style="249"/>
    <col min="5379" max="5379" width="4.140625" style="249" bestFit="1" customWidth="1"/>
    <col min="5380" max="5380" width="66.140625" style="249" customWidth="1"/>
    <col min="5381" max="5381" width="18.85546875" style="249" customWidth="1"/>
    <col min="5382" max="5383" width="8.85546875" style="249"/>
    <col min="5384" max="5384" width="9.28515625" style="249" bestFit="1" customWidth="1"/>
    <col min="5385" max="5634" width="8.85546875" style="249"/>
    <col min="5635" max="5635" width="4.140625" style="249" bestFit="1" customWidth="1"/>
    <col min="5636" max="5636" width="66.140625" style="249" customWidth="1"/>
    <col min="5637" max="5637" width="18.85546875" style="249" customWidth="1"/>
    <col min="5638" max="5639" width="8.85546875" style="249"/>
    <col min="5640" max="5640" width="9.28515625" style="249" bestFit="1" customWidth="1"/>
    <col min="5641" max="5890" width="8.85546875" style="249"/>
    <col min="5891" max="5891" width="4.140625" style="249" bestFit="1" customWidth="1"/>
    <col min="5892" max="5892" width="66.140625" style="249" customWidth="1"/>
    <col min="5893" max="5893" width="18.85546875" style="249" customWidth="1"/>
    <col min="5894" max="5895" width="8.85546875" style="249"/>
    <col min="5896" max="5896" width="9.28515625" style="249" bestFit="1" customWidth="1"/>
    <col min="5897" max="6146" width="8.85546875" style="249"/>
    <col min="6147" max="6147" width="4.140625" style="249" bestFit="1" customWidth="1"/>
    <col min="6148" max="6148" width="66.140625" style="249" customWidth="1"/>
    <col min="6149" max="6149" width="18.85546875" style="249" customWidth="1"/>
    <col min="6150" max="6151" width="8.85546875" style="249"/>
    <col min="6152" max="6152" width="9.28515625" style="249" bestFit="1" customWidth="1"/>
    <col min="6153" max="6402" width="8.85546875" style="249"/>
    <col min="6403" max="6403" width="4.140625" style="249" bestFit="1" customWidth="1"/>
    <col min="6404" max="6404" width="66.140625" style="249" customWidth="1"/>
    <col min="6405" max="6405" width="18.85546875" style="249" customWidth="1"/>
    <col min="6406" max="6407" width="8.85546875" style="249"/>
    <col min="6408" max="6408" width="9.28515625" style="249" bestFit="1" customWidth="1"/>
    <col min="6409" max="6658" width="8.85546875" style="249"/>
    <col min="6659" max="6659" width="4.140625" style="249" bestFit="1" customWidth="1"/>
    <col min="6660" max="6660" width="66.140625" style="249" customWidth="1"/>
    <col min="6661" max="6661" width="18.85546875" style="249" customWidth="1"/>
    <col min="6662" max="6663" width="8.85546875" style="249"/>
    <col min="6664" max="6664" width="9.28515625" style="249" bestFit="1" customWidth="1"/>
    <col min="6665" max="6914" width="8.85546875" style="249"/>
    <col min="6915" max="6915" width="4.140625" style="249" bestFit="1" customWidth="1"/>
    <col min="6916" max="6916" width="66.140625" style="249" customWidth="1"/>
    <col min="6917" max="6917" width="18.85546875" style="249" customWidth="1"/>
    <col min="6918" max="6919" width="8.85546875" style="249"/>
    <col min="6920" max="6920" width="9.28515625" style="249" bestFit="1" customWidth="1"/>
    <col min="6921" max="7170" width="8.85546875" style="249"/>
    <col min="7171" max="7171" width="4.140625" style="249" bestFit="1" customWidth="1"/>
    <col min="7172" max="7172" width="66.140625" style="249" customWidth="1"/>
    <col min="7173" max="7173" width="18.85546875" style="249" customWidth="1"/>
    <col min="7174" max="7175" width="8.85546875" style="249"/>
    <col min="7176" max="7176" width="9.28515625" style="249" bestFit="1" customWidth="1"/>
    <col min="7177" max="7426" width="8.85546875" style="249"/>
    <col min="7427" max="7427" width="4.140625" style="249" bestFit="1" customWidth="1"/>
    <col min="7428" max="7428" width="66.140625" style="249" customWidth="1"/>
    <col min="7429" max="7429" width="18.85546875" style="249" customWidth="1"/>
    <col min="7430" max="7431" width="8.85546875" style="249"/>
    <col min="7432" max="7432" width="9.28515625" style="249" bestFit="1" customWidth="1"/>
    <col min="7433" max="7682" width="8.85546875" style="249"/>
    <col min="7683" max="7683" width="4.140625" style="249" bestFit="1" customWidth="1"/>
    <col min="7684" max="7684" width="66.140625" style="249" customWidth="1"/>
    <col min="7685" max="7685" width="18.85546875" style="249" customWidth="1"/>
    <col min="7686" max="7687" width="8.85546875" style="249"/>
    <col min="7688" max="7688" width="9.28515625" style="249" bestFit="1" customWidth="1"/>
    <col min="7689" max="7938" width="8.85546875" style="249"/>
    <col min="7939" max="7939" width="4.140625" style="249" bestFit="1" customWidth="1"/>
    <col min="7940" max="7940" width="66.140625" style="249" customWidth="1"/>
    <col min="7941" max="7941" width="18.85546875" style="249" customWidth="1"/>
    <col min="7942" max="7943" width="8.85546875" style="249"/>
    <col min="7944" max="7944" width="9.28515625" style="249" bestFit="1" customWidth="1"/>
    <col min="7945" max="8194" width="8.85546875" style="249"/>
    <col min="8195" max="8195" width="4.140625" style="249" bestFit="1" customWidth="1"/>
    <col min="8196" max="8196" width="66.140625" style="249" customWidth="1"/>
    <col min="8197" max="8197" width="18.85546875" style="249" customWidth="1"/>
    <col min="8198" max="8199" width="8.85546875" style="249"/>
    <col min="8200" max="8200" width="9.28515625" style="249" bestFit="1" customWidth="1"/>
    <col min="8201" max="8450" width="8.85546875" style="249"/>
    <col min="8451" max="8451" width="4.140625" style="249" bestFit="1" customWidth="1"/>
    <col min="8452" max="8452" width="66.140625" style="249" customWidth="1"/>
    <col min="8453" max="8453" width="18.85546875" style="249" customWidth="1"/>
    <col min="8454" max="8455" width="8.85546875" style="249"/>
    <col min="8456" max="8456" width="9.28515625" style="249" bestFit="1" customWidth="1"/>
    <col min="8457" max="8706" width="8.85546875" style="249"/>
    <col min="8707" max="8707" width="4.140625" style="249" bestFit="1" customWidth="1"/>
    <col min="8708" max="8708" width="66.140625" style="249" customWidth="1"/>
    <col min="8709" max="8709" width="18.85546875" style="249" customWidth="1"/>
    <col min="8710" max="8711" width="8.85546875" style="249"/>
    <col min="8712" max="8712" width="9.28515625" style="249" bestFit="1" customWidth="1"/>
    <col min="8713" max="8962" width="8.85546875" style="249"/>
    <col min="8963" max="8963" width="4.140625" style="249" bestFit="1" customWidth="1"/>
    <col min="8964" max="8964" width="66.140625" style="249" customWidth="1"/>
    <col min="8965" max="8965" width="18.85546875" style="249" customWidth="1"/>
    <col min="8966" max="8967" width="8.85546875" style="249"/>
    <col min="8968" max="8968" width="9.28515625" style="249" bestFit="1" customWidth="1"/>
    <col min="8969" max="9218" width="8.85546875" style="249"/>
    <col min="9219" max="9219" width="4.140625" style="249" bestFit="1" customWidth="1"/>
    <col min="9220" max="9220" width="66.140625" style="249" customWidth="1"/>
    <col min="9221" max="9221" width="18.85546875" style="249" customWidth="1"/>
    <col min="9222" max="9223" width="8.85546875" style="249"/>
    <col min="9224" max="9224" width="9.28515625" style="249" bestFit="1" customWidth="1"/>
    <col min="9225" max="9474" width="8.85546875" style="249"/>
    <col min="9475" max="9475" width="4.140625" style="249" bestFit="1" customWidth="1"/>
    <col min="9476" max="9476" width="66.140625" style="249" customWidth="1"/>
    <col min="9477" max="9477" width="18.85546875" style="249" customWidth="1"/>
    <col min="9478" max="9479" width="8.85546875" style="249"/>
    <col min="9480" max="9480" width="9.28515625" style="249" bestFit="1" customWidth="1"/>
    <col min="9481" max="9730" width="8.85546875" style="249"/>
    <col min="9731" max="9731" width="4.140625" style="249" bestFit="1" customWidth="1"/>
    <col min="9732" max="9732" width="66.140625" style="249" customWidth="1"/>
    <col min="9733" max="9733" width="18.85546875" style="249" customWidth="1"/>
    <col min="9734" max="9735" width="8.85546875" style="249"/>
    <col min="9736" max="9736" width="9.28515625" style="249" bestFit="1" customWidth="1"/>
    <col min="9737" max="9986" width="8.85546875" style="249"/>
    <col min="9987" max="9987" width="4.140625" style="249" bestFit="1" customWidth="1"/>
    <col min="9988" max="9988" width="66.140625" style="249" customWidth="1"/>
    <col min="9989" max="9989" width="18.85546875" style="249" customWidth="1"/>
    <col min="9990" max="9991" width="8.85546875" style="249"/>
    <col min="9992" max="9992" width="9.28515625" style="249" bestFit="1" customWidth="1"/>
    <col min="9993" max="10242" width="8.85546875" style="249"/>
    <col min="10243" max="10243" width="4.140625" style="249" bestFit="1" customWidth="1"/>
    <col min="10244" max="10244" width="66.140625" style="249" customWidth="1"/>
    <col min="10245" max="10245" width="18.85546875" style="249" customWidth="1"/>
    <col min="10246" max="10247" width="8.85546875" style="249"/>
    <col min="10248" max="10248" width="9.28515625" style="249" bestFit="1" customWidth="1"/>
    <col min="10249" max="10498" width="8.85546875" style="249"/>
    <col min="10499" max="10499" width="4.140625" style="249" bestFit="1" customWidth="1"/>
    <col min="10500" max="10500" width="66.140625" style="249" customWidth="1"/>
    <col min="10501" max="10501" width="18.85546875" style="249" customWidth="1"/>
    <col min="10502" max="10503" width="8.85546875" style="249"/>
    <col min="10504" max="10504" width="9.28515625" style="249" bestFit="1" customWidth="1"/>
    <col min="10505" max="10754" width="8.85546875" style="249"/>
    <col min="10755" max="10755" width="4.140625" style="249" bestFit="1" customWidth="1"/>
    <col min="10756" max="10756" width="66.140625" style="249" customWidth="1"/>
    <col min="10757" max="10757" width="18.85546875" style="249" customWidth="1"/>
    <col min="10758" max="10759" width="8.85546875" style="249"/>
    <col min="10760" max="10760" width="9.28515625" style="249" bestFit="1" customWidth="1"/>
    <col min="10761" max="11010" width="8.85546875" style="249"/>
    <col min="11011" max="11011" width="4.140625" style="249" bestFit="1" customWidth="1"/>
    <col min="11012" max="11012" width="66.140625" style="249" customWidth="1"/>
    <col min="11013" max="11013" width="18.85546875" style="249" customWidth="1"/>
    <col min="11014" max="11015" width="8.85546875" style="249"/>
    <col min="11016" max="11016" width="9.28515625" style="249" bestFit="1" customWidth="1"/>
    <col min="11017" max="11266" width="8.85546875" style="249"/>
    <col min="11267" max="11267" width="4.140625" style="249" bestFit="1" customWidth="1"/>
    <col min="11268" max="11268" width="66.140625" style="249" customWidth="1"/>
    <col min="11269" max="11269" width="18.85546875" style="249" customWidth="1"/>
    <col min="11270" max="11271" width="8.85546875" style="249"/>
    <col min="11272" max="11272" width="9.28515625" style="249" bestFit="1" customWidth="1"/>
    <col min="11273" max="11522" width="8.85546875" style="249"/>
    <col min="11523" max="11523" width="4.140625" style="249" bestFit="1" customWidth="1"/>
    <col min="11524" max="11524" width="66.140625" style="249" customWidth="1"/>
    <col min="11525" max="11525" width="18.85546875" style="249" customWidth="1"/>
    <col min="11526" max="11527" width="8.85546875" style="249"/>
    <col min="11528" max="11528" width="9.28515625" style="249" bestFit="1" customWidth="1"/>
    <col min="11529" max="11778" width="8.85546875" style="249"/>
    <col min="11779" max="11779" width="4.140625" style="249" bestFit="1" customWidth="1"/>
    <col min="11780" max="11780" width="66.140625" style="249" customWidth="1"/>
    <col min="11781" max="11781" width="18.85546875" style="249" customWidth="1"/>
    <col min="11782" max="11783" width="8.85546875" style="249"/>
    <col min="11784" max="11784" width="9.28515625" style="249" bestFit="1" customWidth="1"/>
    <col min="11785" max="12034" width="8.85546875" style="249"/>
    <col min="12035" max="12035" width="4.140625" style="249" bestFit="1" customWidth="1"/>
    <col min="12036" max="12036" width="66.140625" style="249" customWidth="1"/>
    <col min="12037" max="12037" width="18.85546875" style="249" customWidth="1"/>
    <col min="12038" max="12039" width="8.85546875" style="249"/>
    <col min="12040" max="12040" width="9.28515625" style="249" bestFit="1" customWidth="1"/>
    <col min="12041" max="12290" width="8.85546875" style="249"/>
    <col min="12291" max="12291" width="4.140625" style="249" bestFit="1" customWidth="1"/>
    <col min="12292" max="12292" width="66.140625" style="249" customWidth="1"/>
    <col min="12293" max="12293" width="18.85546875" style="249" customWidth="1"/>
    <col min="12294" max="12295" width="8.85546875" style="249"/>
    <col min="12296" max="12296" width="9.28515625" style="249" bestFit="1" customWidth="1"/>
    <col min="12297" max="12546" width="8.85546875" style="249"/>
    <col min="12547" max="12547" width="4.140625" style="249" bestFit="1" customWidth="1"/>
    <col min="12548" max="12548" width="66.140625" style="249" customWidth="1"/>
    <col min="12549" max="12549" width="18.85546875" style="249" customWidth="1"/>
    <col min="12550" max="12551" width="8.85546875" style="249"/>
    <col min="12552" max="12552" width="9.28515625" style="249" bestFit="1" customWidth="1"/>
    <col min="12553" max="12802" width="8.85546875" style="249"/>
    <col min="12803" max="12803" width="4.140625" style="249" bestFit="1" customWidth="1"/>
    <col min="12804" max="12804" width="66.140625" style="249" customWidth="1"/>
    <col min="12805" max="12805" width="18.85546875" style="249" customWidth="1"/>
    <col min="12806" max="12807" width="8.85546875" style="249"/>
    <col min="12808" max="12808" width="9.28515625" style="249" bestFit="1" customWidth="1"/>
    <col min="12809" max="13058" width="8.85546875" style="249"/>
    <col min="13059" max="13059" width="4.140625" style="249" bestFit="1" customWidth="1"/>
    <col min="13060" max="13060" width="66.140625" style="249" customWidth="1"/>
    <col min="13061" max="13061" width="18.85546875" style="249" customWidth="1"/>
    <col min="13062" max="13063" width="8.85546875" style="249"/>
    <col min="13064" max="13064" width="9.28515625" style="249" bestFit="1" customWidth="1"/>
    <col min="13065" max="13314" width="8.85546875" style="249"/>
    <col min="13315" max="13315" width="4.140625" style="249" bestFit="1" customWidth="1"/>
    <col min="13316" max="13316" width="66.140625" style="249" customWidth="1"/>
    <col min="13317" max="13317" width="18.85546875" style="249" customWidth="1"/>
    <col min="13318" max="13319" width="8.85546875" style="249"/>
    <col min="13320" max="13320" width="9.28515625" style="249" bestFit="1" customWidth="1"/>
    <col min="13321" max="13570" width="8.85546875" style="249"/>
    <col min="13571" max="13571" width="4.140625" style="249" bestFit="1" customWidth="1"/>
    <col min="13572" max="13572" width="66.140625" style="249" customWidth="1"/>
    <col min="13573" max="13573" width="18.85546875" style="249" customWidth="1"/>
    <col min="13574" max="13575" width="8.85546875" style="249"/>
    <col min="13576" max="13576" width="9.28515625" style="249" bestFit="1" customWidth="1"/>
    <col min="13577" max="13826" width="8.85546875" style="249"/>
    <col min="13827" max="13827" width="4.140625" style="249" bestFit="1" customWidth="1"/>
    <col min="13828" max="13828" width="66.140625" style="249" customWidth="1"/>
    <col min="13829" max="13829" width="18.85546875" style="249" customWidth="1"/>
    <col min="13830" max="13831" width="8.85546875" style="249"/>
    <col min="13832" max="13832" width="9.28515625" style="249" bestFit="1" customWidth="1"/>
    <col min="13833" max="14082" width="8.85546875" style="249"/>
    <col min="14083" max="14083" width="4.140625" style="249" bestFit="1" customWidth="1"/>
    <col min="14084" max="14084" width="66.140625" style="249" customWidth="1"/>
    <col min="14085" max="14085" width="18.85546875" style="249" customWidth="1"/>
    <col min="14086" max="14087" width="8.85546875" style="249"/>
    <col min="14088" max="14088" width="9.28515625" style="249" bestFit="1" customWidth="1"/>
    <col min="14089" max="14338" width="8.85546875" style="249"/>
    <col min="14339" max="14339" width="4.140625" style="249" bestFit="1" customWidth="1"/>
    <col min="14340" max="14340" width="66.140625" style="249" customWidth="1"/>
    <col min="14341" max="14341" width="18.85546875" style="249" customWidth="1"/>
    <col min="14342" max="14343" width="8.85546875" style="249"/>
    <col min="14344" max="14344" width="9.28515625" style="249" bestFit="1" customWidth="1"/>
    <col min="14345" max="14594" width="8.85546875" style="249"/>
    <col min="14595" max="14595" width="4.140625" style="249" bestFit="1" customWidth="1"/>
    <col min="14596" max="14596" width="66.140625" style="249" customWidth="1"/>
    <col min="14597" max="14597" width="18.85546875" style="249" customWidth="1"/>
    <col min="14598" max="14599" width="8.85546875" style="249"/>
    <col min="14600" max="14600" width="9.28515625" style="249" bestFit="1" customWidth="1"/>
    <col min="14601" max="14850" width="8.85546875" style="249"/>
    <col min="14851" max="14851" width="4.140625" style="249" bestFit="1" customWidth="1"/>
    <col min="14852" max="14852" width="66.140625" style="249" customWidth="1"/>
    <col min="14853" max="14853" width="18.85546875" style="249" customWidth="1"/>
    <col min="14854" max="14855" width="8.85546875" style="249"/>
    <col min="14856" max="14856" width="9.28515625" style="249" bestFit="1" customWidth="1"/>
    <col min="14857" max="15106" width="8.85546875" style="249"/>
    <col min="15107" max="15107" width="4.140625" style="249" bestFit="1" customWidth="1"/>
    <col min="15108" max="15108" width="66.140625" style="249" customWidth="1"/>
    <col min="15109" max="15109" width="18.85546875" style="249" customWidth="1"/>
    <col min="15110" max="15111" width="8.85546875" style="249"/>
    <col min="15112" max="15112" width="9.28515625" style="249" bestFit="1" customWidth="1"/>
    <col min="15113" max="15362" width="8.85546875" style="249"/>
    <col min="15363" max="15363" width="4.140625" style="249" bestFit="1" customWidth="1"/>
    <col min="15364" max="15364" width="66.140625" style="249" customWidth="1"/>
    <col min="15365" max="15365" width="18.85546875" style="249" customWidth="1"/>
    <col min="15366" max="15367" width="8.85546875" style="249"/>
    <col min="15368" max="15368" width="9.28515625" style="249" bestFit="1" customWidth="1"/>
    <col min="15369" max="15618" width="8.85546875" style="249"/>
    <col min="15619" max="15619" width="4.140625" style="249" bestFit="1" customWidth="1"/>
    <col min="15620" max="15620" width="66.140625" style="249" customWidth="1"/>
    <col min="15621" max="15621" width="18.85546875" style="249" customWidth="1"/>
    <col min="15622" max="15623" width="8.85546875" style="249"/>
    <col min="15624" max="15624" width="9.28515625" style="249" bestFit="1" customWidth="1"/>
    <col min="15625" max="15874" width="8.85546875" style="249"/>
    <col min="15875" max="15875" width="4.140625" style="249" bestFit="1" customWidth="1"/>
    <col min="15876" max="15876" width="66.140625" style="249" customWidth="1"/>
    <col min="15877" max="15877" width="18.85546875" style="249" customWidth="1"/>
    <col min="15878" max="15879" width="8.85546875" style="249"/>
    <col min="15880" max="15880" width="9.28515625" style="249" bestFit="1" customWidth="1"/>
    <col min="15881" max="16130" width="8.85546875" style="249"/>
    <col min="16131" max="16131" width="4.140625" style="249" bestFit="1" customWidth="1"/>
    <col min="16132" max="16132" width="66.140625" style="249" customWidth="1"/>
    <col min="16133" max="16133" width="18.85546875" style="249" customWidth="1"/>
    <col min="16134" max="16135" width="8.85546875" style="249"/>
    <col min="16136" max="16136" width="9.28515625" style="249" bestFit="1" customWidth="1"/>
    <col min="16137" max="16384" width="8.85546875" style="249"/>
  </cols>
  <sheetData>
    <row r="1" spans="1:6" s="106" customFormat="1" ht="13.5" customHeight="1" x14ac:dyDescent="0.25">
      <c r="A1" s="802" t="s">
        <v>335</v>
      </c>
      <c r="B1" s="802"/>
      <c r="C1" s="802"/>
      <c r="D1" s="425"/>
      <c r="E1" s="425"/>
    </row>
    <row r="2" spans="1:6" s="106" customFormat="1" ht="15" customHeight="1" x14ac:dyDescent="0.2">
      <c r="A2" s="800" t="s">
        <v>168</v>
      </c>
      <c r="B2" s="800"/>
      <c r="C2" s="800"/>
      <c r="D2" s="423"/>
      <c r="E2" s="423"/>
    </row>
    <row r="3" spans="1:6" s="106" customFormat="1" ht="9" customHeight="1" x14ac:dyDescent="0.2">
      <c r="A3" s="423"/>
      <c r="B3" s="423"/>
      <c r="C3" s="423"/>
      <c r="D3" s="423"/>
      <c r="E3" s="423"/>
    </row>
    <row r="4" spans="1:6" s="106" customFormat="1" ht="9" customHeight="1" x14ac:dyDescent="0.2">
      <c r="A4" s="423"/>
      <c r="B4" s="423"/>
      <c r="C4" s="423"/>
      <c r="D4" s="423"/>
      <c r="E4" s="423"/>
    </row>
    <row r="5" spans="1:6" s="106" customFormat="1" ht="24" customHeight="1" x14ac:dyDescent="0.2">
      <c r="A5" s="423"/>
      <c r="B5" s="423"/>
      <c r="C5" s="651" t="s">
        <v>364</v>
      </c>
      <c r="D5" s="651" t="s">
        <v>365</v>
      </c>
      <c r="E5" s="651" t="s">
        <v>366</v>
      </c>
    </row>
    <row r="6" spans="1:6" s="233" customFormat="1" ht="18" customHeight="1" x14ac:dyDescent="0.25">
      <c r="A6" s="237" t="s">
        <v>151</v>
      </c>
      <c r="B6" s="248" t="s">
        <v>2</v>
      </c>
      <c r="C6" s="238"/>
      <c r="D6" s="238"/>
      <c r="E6" s="238"/>
    </row>
    <row r="7" spans="1:6" s="251" customFormat="1" ht="18" customHeight="1" x14ac:dyDescent="0.25">
      <c r="A7" s="266" t="s">
        <v>153</v>
      </c>
      <c r="B7" s="267" t="s">
        <v>187</v>
      </c>
      <c r="C7" s="268">
        <v>13000000</v>
      </c>
      <c r="D7" s="268">
        <v>13000000</v>
      </c>
      <c r="E7" s="268">
        <f>D7-C7</f>
        <v>0</v>
      </c>
      <c r="F7" s="250"/>
    </row>
    <row r="8" spans="1:6" s="251" customFormat="1" ht="18" customHeight="1" x14ac:dyDescent="0.25">
      <c r="A8" s="266" t="s">
        <v>154</v>
      </c>
      <c r="B8" s="233" t="s">
        <v>189</v>
      </c>
      <c r="C8" s="234">
        <v>730000</v>
      </c>
      <c r="D8" s="234">
        <v>730000</v>
      </c>
      <c r="E8" s="268">
        <f t="shared" ref="E8:E11" si="0">D8-C8</f>
        <v>0</v>
      </c>
      <c r="F8" s="250"/>
    </row>
    <row r="9" spans="1:6" s="251" customFormat="1" ht="18" customHeight="1" x14ac:dyDescent="0.25">
      <c r="A9" s="266" t="s">
        <v>155</v>
      </c>
      <c r="B9" s="258" t="s">
        <v>191</v>
      </c>
      <c r="C9" s="259">
        <v>2950000</v>
      </c>
      <c r="D9" s="259">
        <v>2950000</v>
      </c>
      <c r="E9" s="268">
        <f t="shared" si="0"/>
        <v>0</v>
      </c>
      <c r="F9" s="250"/>
    </row>
    <row r="10" spans="1:6" s="251" customFormat="1" ht="18" customHeight="1" x14ac:dyDescent="0.25">
      <c r="A10" s="266" t="s">
        <v>156</v>
      </c>
      <c r="B10" s="258" t="s">
        <v>367</v>
      </c>
      <c r="C10" s="259"/>
      <c r="D10" s="259">
        <f>42660+158000+15876+58800</f>
        <v>275336</v>
      </c>
      <c r="E10" s="268">
        <f t="shared" si="0"/>
        <v>275336</v>
      </c>
      <c r="F10" s="250"/>
    </row>
    <row r="11" spans="1:6" s="251" customFormat="1" ht="18" customHeight="1" x14ac:dyDescent="0.25">
      <c r="A11" s="266" t="s">
        <v>184</v>
      </c>
      <c r="B11" s="258" t="s">
        <v>368</v>
      </c>
      <c r="C11" s="259"/>
      <c r="D11" s="259">
        <v>633000</v>
      </c>
      <c r="E11" s="268">
        <f t="shared" si="0"/>
        <v>633000</v>
      </c>
      <c r="F11" s="250"/>
    </row>
    <row r="12" spans="1:6" s="250" customFormat="1" x14ac:dyDescent="0.25">
      <c r="A12" s="252"/>
      <c r="B12" s="237" t="s">
        <v>157</v>
      </c>
      <c r="C12" s="253">
        <f>SUM(C7:C11)</f>
        <v>16680000</v>
      </c>
      <c r="D12" s="253">
        <f t="shared" ref="D12:E12" si="1">SUM(D7:D11)</f>
        <v>17588336</v>
      </c>
      <c r="E12" s="253">
        <f t="shared" si="1"/>
        <v>908336</v>
      </c>
    </row>
    <row r="13" spans="1:6" s="250" customFormat="1" x14ac:dyDescent="0.25">
      <c r="A13" s="252"/>
      <c r="B13" s="237"/>
      <c r="C13" s="253"/>
      <c r="D13" s="253"/>
      <c r="E13" s="253"/>
    </row>
    <row r="14" spans="1:6" s="233" customFormat="1" ht="15.75" customHeight="1" x14ac:dyDescent="0.25">
      <c r="A14" s="237" t="s">
        <v>151</v>
      </c>
      <c r="B14" s="248" t="s">
        <v>169</v>
      </c>
      <c r="C14" s="238"/>
      <c r="D14" s="238"/>
      <c r="E14" s="238"/>
    </row>
    <row r="15" spans="1:6" s="250" customFormat="1" ht="15.75" customHeight="1" x14ac:dyDescent="0.25">
      <c r="A15" s="252" t="s">
        <v>153</v>
      </c>
      <c r="B15" s="267" t="s">
        <v>188</v>
      </c>
      <c r="C15" s="268">
        <v>13731523</v>
      </c>
      <c r="D15" s="268">
        <f>13731523-381000</f>
        <v>13350523</v>
      </c>
      <c r="E15" s="268">
        <f t="shared" ref="E15:E20" si="2">D15-C15</f>
        <v>-381000</v>
      </c>
      <c r="F15" s="254"/>
    </row>
    <row r="16" spans="1:6" s="250" customFormat="1" ht="15.75" customHeight="1" x14ac:dyDescent="0.25">
      <c r="A16" s="252" t="s">
        <v>154</v>
      </c>
      <c r="B16" s="233" t="s">
        <v>179</v>
      </c>
      <c r="C16" s="234">
        <v>47296316</v>
      </c>
      <c r="D16" s="234">
        <v>76463557</v>
      </c>
      <c r="E16" s="234">
        <f t="shared" si="2"/>
        <v>29167241</v>
      </c>
      <c r="F16" s="254"/>
    </row>
    <row r="17" spans="1:7" s="237" customFormat="1" ht="15.75" customHeight="1" x14ac:dyDescent="0.25">
      <c r="A17" s="252" t="s">
        <v>155</v>
      </c>
      <c r="B17" s="233" t="s">
        <v>180</v>
      </c>
      <c r="C17" s="234">
        <v>83640130</v>
      </c>
      <c r="D17" s="234">
        <v>108696306</v>
      </c>
      <c r="E17" s="234">
        <f t="shared" si="2"/>
        <v>25056176</v>
      </c>
    </row>
    <row r="18" spans="1:7" s="237" customFormat="1" ht="15.75" customHeight="1" x14ac:dyDescent="0.25">
      <c r="A18" s="252" t="s">
        <v>156</v>
      </c>
      <c r="B18" s="233" t="s">
        <v>181</v>
      </c>
      <c r="C18" s="234">
        <v>114754852</v>
      </c>
      <c r="D18" s="234">
        <v>104797930</v>
      </c>
      <c r="E18" s="234">
        <f t="shared" si="2"/>
        <v>-9956922</v>
      </c>
    </row>
    <row r="19" spans="1:7" s="237" customFormat="1" ht="15.75" customHeight="1" x14ac:dyDescent="0.25">
      <c r="A19" s="252" t="s">
        <v>184</v>
      </c>
      <c r="B19" s="258" t="s">
        <v>190</v>
      </c>
      <c r="C19" s="259">
        <v>2700000</v>
      </c>
      <c r="D19" s="259">
        <f>2700000-250000</f>
        <v>2450000</v>
      </c>
      <c r="E19" s="234">
        <f t="shared" si="2"/>
        <v>-250000</v>
      </c>
    </row>
    <row r="20" spans="1:7" s="237" customFormat="1" ht="15.75" customHeight="1" x14ac:dyDescent="0.25">
      <c r="A20" s="252" t="s">
        <v>186</v>
      </c>
      <c r="B20" s="258" t="s">
        <v>369</v>
      </c>
      <c r="C20" s="259"/>
      <c r="D20" s="259">
        <f>3731824+1007593</f>
        <v>4739417</v>
      </c>
      <c r="E20" s="234">
        <f t="shared" si="2"/>
        <v>4739417</v>
      </c>
    </row>
    <row r="21" spans="1:7" s="237" customFormat="1" ht="16.5" customHeight="1" x14ac:dyDescent="0.25">
      <c r="A21" s="233"/>
      <c r="B21" s="248" t="s">
        <v>157</v>
      </c>
      <c r="C21" s="253">
        <f>SUM(C15:C20)</f>
        <v>262122821</v>
      </c>
      <c r="D21" s="253">
        <f>SUM(D15:D20)</f>
        <v>310497733</v>
      </c>
      <c r="E21" s="253">
        <f t="shared" ref="E21" si="3">SUM(E15:E20)</f>
        <v>48374912</v>
      </c>
    </row>
    <row r="22" spans="1:7" s="237" customFormat="1" ht="8.25" customHeight="1" x14ac:dyDescent="0.25">
      <c r="A22" s="233"/>
      <c r="B22" s="248"/>
      <c r="C22" s="253"/>
      <c r="D22" s="253"/>
      <c r="E22" s="253"/>
    </row>
    <row r="23" spans="1:7" s="233" customFormat="1" ht="16.5" customHeight="1" x14ac:dyDescent="0.25">
      <c r="A23" s="237" t="s">
        <v>159</v>
      </c>
      <c r="B23" s="237" t="s">
        <v>43</v>
      </c>
      <c r="C23" s="238"/>
      <c r="D23" s="238"/>
      <c r="E23" s="238"/>
    </row>
    <row r="24" spans="1:7" s="237" customFormat="1" ht="16.5" customHeight="1" x14ac:dyDescent="0.2">
      <c r="A24" s="263" t="s">
        <v>153</v>
      </c>
      <c r="B24" s="236" t="s">
        <v>170</v>
      </c>
      <c r="C24" s="247"/>
      <c r="D24" s="247"/>
      <c r="E24" s="247"/>
    </row>
    <row r="25" spans="1:7" s="233" customFormat="1" ht="16.5" customHeight="1" x14ac:dyDescent="0.2">
      <c r="A25" s="263" t="s">
        <v>154</v>
      </c>
      <c r="B25" s="236" t="s">
        <v>171</v>
      </c>
      <c r="C25" s="238"/>
      <c r="D25" s="238"/>
      <c r="E25" s="238"/>
    </row>
    <row r="26" spans="1:7" s="233" customFormat="1" ht="16.5" customHeight="1" x14ac:dyDescent="0.2">
      <c r="A26" s="263" t="s">
        <v>155</v>
      </c>
      <c r="B26" s="236" t="s">
        <v>172</v>
      </c>
      <c r="C26" s="238">
        <f>SUM(C27:C28)</f>
        <v>1200000</v>
      </c>
      <c r="D26" s="238">
        <f>SUM(D27:D28)</f>
        <v>1680000</v>
      </c>
      <c r="E26" s="238">
        <f t="shared" ref="E26:E32" si="4">D26-C26</f>
        <v>480000</v>
      </c>
    </row>
    <row r="27" spans="1:7" s="265" customFormat="1" ht="15.75" x14ac:dyDescent="0.2">
      <c r="A27" s="263"/>
      <c r="B27" s="264" t="s">
        <v>276</v>
      </c>
      <c r="C27" s="255">
        <v>1200000</v>
      </c>
      <c r="D27" s="255">
        <v>1200000</v>
      </c>
      <c r="E27" s="255">
        <f t="shared" si="4"/>
        <v>0</v>
      </c>
      <c r="F27" s="233"/>
      <c r="G27" s="255"/>
    </row>
    <row r="28" spans="1:7" s="265" customFormat="1" ht="15.75" x14ac:dyDescent="0.2">
      <c r="A28" s="263"/>
      <c r="B28" s="264" t="s">
        <v>276</v>
      </c>
      <c r="C28" s="255"/>
      <c r="D28" s="255">
        <v>480000</v>
      </c>
      <c r="E28" s="255">
        <f t="shared" si="4"/>
        <v>480000</v>
      </c>
      <c r="F28" s="233"/>
      <c r="G28" s="255"/>
    </row>
    <row r="29" spans="1:7" s="237" customFormat="1" ht="16.5" customHeight="1" x14ac:dyDescent="0.25">
      <c r="A29" s="243" t="s">
        <v>156</v>
      </c>
      <c r="B29" s="243" t="s">
        <v>173</v>
      </c>
      <c r="C29" s="240">
        <f>SUM(C30)</f>
        <v>0</v>
      </c>
      <c r="D29" s="240">
        <f>SUM(D30)</f>
        <v>0</v>
      </c>
      <c r="E29" s="240">
        <f t="shared" si="4"/>
        <v>0</v>
      </c>
    </row>
    <row r="30" spans="1:7" s="237" customFormat="1" ht="16.5" customHeight="1" x14ac:dyDescent="0.25">
      <c r="A30" s="252"/>
      <c r="B30" s="264" t="s">
        <v>183</v>
      </c>
      <c r="C30" s="268"/>
      <c r="D30" s="268"/>
      <c r="E30" s="268">
        <f t="shared" si="4"/>
        <v>0</v>
      </c>
    </row>
    <row r="31" spans="1:7" s="237" customFormat="1" ht="16.5" customHeight="1" x14ac:dyDescent="0.25">
      <c r="A31" s="256"/>
      <c r="B31" s="243" t="s">
        <v>157</v>
      </c>
      <c r="C31" s="235">
        <f>SUM(C30:C30)</f>
        <v>0</v>
      </c>
      <c r="D31" s="235">
        <f>SUM(D30:D30)</f>
        <v>0</v>
      </c>
      <c r="E31" s="235">
        <f t="shared" si="4"/>
        <v>0</v>
      </c>
    </row>
    <row r="32" spans="1:7" s="237" customFormat="1" ht="16.5" customHeight="1" x14ac:dyDescent="0.25">
      <c r="A32" s="233"/>
      <c r="B32" s="248" t="s">
        <v>157</v>
      </c>
      <c r="C32" s="253">
        <f>C24+C25+C26+C29</f>
        <v>1200000</v>
      </c>
      <c r="D32" s="253">
        <f>D24+D25+D26+D29</f>
        <v>1680000</v>
      </c>
      <c r="E32" s="253">
        <f t="shared" si="4"/>
        <v>480000</v>
      </c>
    </row>
    <row r="33" spans="1:7" s="246" customFormat="1" ht="9.75" customHeight="1" x14ac:dyDescent="0.25">
      <c r="A33" s="237"/>
      <c r="B33" s="237"/>
      <c r="C33" s="238"/>
      <c r="D33" s="238"/>
      <c r="E33" s="238"/>
      <c r="F33" s="244"/>
    </row>
    <row r="34" spans="1:7" s="269" customFormat="1" ht="16.5" customHeight="1" x14ac:dyDescent="0.25">
      <c r="B34" s="270" t="s">
        <v>174</v>
      </c>
      <c r="C34" s="271">
        <f>C32+C21+C12</f>
        <v>280002821</v>
      </c>
      <c r="D34" s="271">
        <f>D32+D21+D12</f>
        <v>329766069</v>
      </c>
      <c r="E34" s="271">
        <f>D34-C34</f>
        <v>49763248</v>
      </c>
    </row>
    <row r="35" spans="1:7" s="246" customFormat="1" ht="21" customHeight="1" x14ac:dyDescent="0.25">
      <c r="A35" s="237"/>
      <c r="B35" s="248"/>
      <c r="C35" s="238"/>
      <c r="D35" s="238"/>
      <c r="E35" s="238"/>
    </row>
    <row r="36" spans="1:7" s="237" customFormat="1" ht="16.5" customHeight="1" x14ac:dyDescent="0.25">
      <c r="A36" s="237" t="s">
        <v>162</v>
      </c>
      <c r="B36" s="257" t="s">
        <v>175</v>
      </c>
      <c r="C36" s="238">
        <v>0</v>
      </c>
      <c r="D36" s="238">
        <v>0</v>
      </c>
      <c r="E36" s="238">
        <f>D36-C36</f>
        <v>0</v>
      </c>
    </row>
    <row r="37" spans="1:7" s="237" customFormat="1" ht="16.5" customHeight="1" x14ac:dyDescent="0.25">
      <c r="A37" s="232"/>
      <c r="B37" s="260"/>
      <c r="C37" s="234"/>
      <c r="D37" s="234"/>
      <c r="E37" s="234"/>
    </row>
    <row r="38" spans="1:7" s="237" customFormat="1" ht="16.5" customHeight="1" x14ac:dyDescent="0.25">
      <c r="B38" s="257" t="s">
        <v>157</v>
      </c>
      <c r="C38" s="238">
        <f>SUM(C37:C37)</f>
        <v>0</v>
      </c>
      <c r="D38" s="238">
        <f>SUM(D37:D37)</f>
        <v>0</v>
      </c>
      <c r="E38" s="238">
        <f>D38-C38</f>
        <v>0</v>
      </c>
    </row>
    <row r="39" spans="1:7" s="233" customFormat="1" ht="16.5" customHeight="1" x14ac:dyDescent="0.25">
      <c r="A39" s="246"/>
      <c r="B39" s="257" t="s">
        <v>176</v>
      </c>
      <c r="C39" s="238">
        <v>0</v>
      </c>
      <c r="D39" s="238">
        <v>0</v>
      </c>
      <c r="E39" s="238">
        <f>D39-C39</f>
        <v>0</v>
      </c>
    </row>
    <row r="40" spans="1:7" s="233" customFormat="1" x14ac:dyDescent="0.25">
      <c r="B40" s="237"/>
      <c r="C40" s="238"/>
      <c r="D40" s="238"/>
      <c r="E40" s="238"/>
    </row>
    <row r="41" spans="1:7" s="265" customFormat="1" ht="18.75" customHeight="1" x14ac:dyDescent="0.25">
      <c r="B41" s="269" t="s">
        <v>165</v>
      </c>
      <c r="C41" s="271">
        <f>C34+C39</f>
        <v>280002821</v>
      </c>
      <c r="D41" s="271">
        <f>D34+D39</f>
        <v>329766069</v>
      </c>
      <c r="E41" s="271">
        <f>D41-C41</f>
        <v>49763248</v>
      </c>
    </row>
    <row r="42" spans="1:7" s="233" customFormat="1" ht="16.5" customHeight="1" x14ac:dyDescent="0.25">
      <c r="B42" s="246" t="s">
        <v>342</v>
      </c>
      <c r="C42" s="400">
        <f>C41</f>
        <v>280002821</v>
      </c>
      <c r="D42" s="400">
        <f>D41-D43</f>
        <v>328086069</v>
      </c>
      <c r="E42" s="400">
        <f>D42-C42</f>
        <v>48083248</v>
      </c>
      <c r="F42" s="241"/>
      <c r="G42" s="242"/>
    </row>
    <row r="43" spans="1:7" s="233" customFormat="1" ht="16.5" customHeight="1" x14ac:dyDescent="0.25">
      <c r="B43" s="246" t="s">
        <v>343</v>
      </c>
      <c r="C43" s="400">
        <v>0</v>
      </c>
      <c r="D43" s="400">
        <v>1680000</v>
      </c>
      <c r="E43" s="400">
        <f>D43-C43</f>
        <v>1680000</v>
      </c>
      <c r="F43" s="241"/>
      <c r="G43" s="242"/>
    </row>
    <row r="44" spans="1:7" s="233" customFormat="1" ht="11.25" customHeight="1" x14ac:dyDescent="0.25">
      <c r="B44" s="237"/>
      <c r="C44" s="238"/>
      <c r="D44" s="238"/>
      <c r="E44" s="238">
        <f>D44-C44</f>
        <v>0</v>
      </c>
    </row>
    <row r="45" spans="1:7" s="258" customFormat="1" x14ac:dyDescent="0.25">
      <c r="A45" s="233"/>
      <c r="B45" s="237" t="s">
        <v>177</v>
      </c>
      <c r="C45" s="238">
        <f>'[1]4. melléklet'!C28-'5. melléklet  (2)'!C41</f>
        <v>0</v>
      </c>
      <c r="D45" s="238">
        <f>'[1]4. melléklet'!D28-'5. melléklet  (2)'!D41</f>
        <v>0</v>
      </c>
      <c r="E45" s="238">
        <f>D45-C45</f>
        <v>0</v>
      </c>
    </row>
    <row r="46" spans="1:7" s="233" customFormat="1" x14ac:dyDescent="0.25">
      <c r="B46" s="237"/>
      <c r="C46" s="238"/>
      <c r="D46" s="238"/>
      <c r="E46" s="238"/>
    </row>
  </sheetData>
  <mergeCells count="2">
    <mergeCell ref="A1:C1"/>
    <mergeCell ref="A2:C2"/>
  </mergeCells>
  <pageMargins left="0.70866141732283472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topLeftCell="A16" zoomScaleNormal="100" workbookViewId="0">
      <selection activeCell="D33" sqref="D33"/>
    </sheetView>
  </sheetViews>
  <sheetFormatPr defaultRowHeight="15" x14ac:dyDescent="0.25"/>
  <cols>
    <col min="1" max="1" width="82.5703125" style="285" customWidth="1"/>
    <col min="2" max="3" width="9.140625" style="285"/>
    <col min="4" max="4" width="12.5703125" style="285" customWidth="1"/>
    <col min="5" max="7" width="12" style="285" bestFit="1" customWidth="1"/>
    <col min="8" max="8" width="13.140625" style="285" bestFit="1" customWidth="1"/>
    <col min="9" max="257" width="9.140625" style="285"/>
    <col min="258" max="258" width="51.7109375" style="285" customWidth="1"/>
    <col min="259" max="513" width="9.140625" style="285"/>
    <col min="514" max="514" width="51.7109375" style="285" customWidth="1"/>
    <col min="515" max="769" width="9.140625" style="285"/>
    <col min="770" max="770" width="51.7109375" style="285" customWidth="1"/>
    <col min="771" max="1025" width="9.140625" style="285"/>
    <col min="1026" max="1026" width="51.7109375" style="285" customWidth="1"/>
    <col min="1027" max="1281" width="9.140625" style="285"/>
    <col min="1282" max="1282" width="51.7109375" style="285" customWidth="1"/>
    <col min="1283" max="1537" width="9.140625" style="285"/>
    <col min="1538" max="1538" width="51.7109375" style="285" customWidth="1"/>
    <col min="1539" max="1793" width="9.140625" style="285"/>
    <col min="1794" max="1794" width="51.7109375" style="285" customWidth="1"/>
    <col min="1795" max="2049" width="9.140625" style="285"/>
    <col min="2050" max="2050" width="51.7109375" style="285" customWidth="1"/>
    <col min="2051" max="2305" width="9.140625" style="285"/>
    <col min="2306" max="2306" width="51.7109375" style="285" customWidth="1"/>
    <col min="2307" max="2561" width="9.140625" style="285"/>
    <col min="2562" max="2562" width="51.7109375" style="285" customWidth="1"/>
    <col min="2563" max="2817" width="9.140625" style="285"/>
    <col min="2818" max="2818" width="51.7109375" style="285" customWidth="1"/>
    <col min="2819" max="3073" width="9.140625" style="285"/>
    <col min="3074" max="3074" width="51.7109375" style="285" customWidth="1"/>
    <col min="3075" max="3329" width="9.140625" style="285"/>
    <col min="3330" max="3330" width="51.7109375" style="285" customWidth="1"/>
    <col min="3331" max="3585" width="9.140625" style="285"/>
    <col min="3586" max="3586" width="51.7109375" style="285" customWidth="1"/>
    <col min="3587" max="3841" width="9.140625" style="285"/>
    <col min="3842" max="3842" width="51.7109375" style="285" customWidth="1"/>
    <col min="3843" max="4097" width="9.140625" style="285"/>
    <col min="4098" max="4098" width="51.7109375" style="285" customWidth="1"/>
    <col min="4099" max="4353" width="9.140625" style="285"/>
    <col min="4354" max="4354" width="51.7109375" style="285" customWidth="1"/>
    <col min="4355" max="4609" width="9.140625" style="285"/>
    <col min="4610" max="4610" width="51.7109375" style="285" customWidth="1"/>
    <col min="4611" max="4865" width="9.140625" style="285"/>
    <col min="4866" max="4866" width="51.7109375" style="285" customWidth="1"/>
    <col min="4867" max="5121" width="9.140625" style="285"/>
    <col min="5122" max="5122" width="51.7109375" style="285" customWidth="1"/>
    <col min="5123" max="5377" width="9.140625" style="285"/>
    <col min="5378" max="5378" width="51.7109375" style="285" customWidth="1"/>
    <col min="5379" max="5633" width="9.140625" style="285"/>
    <col min="5634" max="5634" width="51.7109375" style="285" customWidth="1"/>
    <col min="5635" max="5889" width="9.140625" style="285"/>
    <col min="5890" max="5890" width="51.7109375" style="285" customWidth="1"/>
    <col min="5891" max="6145" width="9.140625" style="285"/>
    <col min="6146" max="6146" width="51.7109375" style="285" customWidth="1"/>
    <col min="6147" max="6401" width="9.140625" style="285"/>
    <col min="6402" max="6402" width="51.7109375" style="285" customWidth="1"/>
    <col min="6403" max="6657" width="9.140625" style="285"/>
    <col min="6658" max="6658" width="51.7109375" style="285" customWidth="1"/>
    <col min="6659" max="6913" width="9.140625" style="285"/>
    <col min="6914" max="6914" width="51.7109375" style="285" customWidth="1"/>
    <col min="6915" max="7169" width="9.140625" style="285"/>
    <col min="7170" max="7170" width="51.7109375" style="285" customWidth="1"/>
    <col min="7171" max="7425" width="9.140625" style="285"/>
    <col min="7426" max="7426" width="51.7109375" style="285" customWidth="1"/>
    <col min="7427" max="7681" width="9.140625" style="285"/>
    <col min="7682" max="7682" width="51.7109375" style="285" customWidth="1"/>
    <col min="7683" max="7937" width="9.140625" style="285"/>
    <col min="7938" max="7938" width="51.7109375" style="285" customWidth="1"/>
    <col min="7939" max="8193" width="9.140625" style="285"/>
    <col min="8194" max="8194" width="51.7109375" style="285" customWidth="1"/>
    <col min="8195" max="8449" width="9.140625" style="285"/>
    <col min="8450" max="8450" width="51.7109375" style="285" customWidth="1"/>
    <col min="8451" max="8705" width="9.140625" style="285"/>
    <col min="8706" max="8706" width="51.7109375" style="285" customWidth="1"/>
    <col min="8707" max="8961" width="9.140625" style="285"/>
    <col min="8962" max="8962" width="51.7109375" style="285" customWidth="1"/>
    <col min="8963" max="9217" width="9.140625" style="285"/>
    <col min="9218" max="9218" width="51.7109375" style="285" customWidth="1"/>
    <col min="9219" max="9473" width="9.140625" style="285"/>
    <col min="9474" max="9474" width="51.7109375" style="285" customWidth="1"/>
    <col min="9475" max="9729" width="9.140625" style="285"/>
    <col min="9730" max="9730" width="51.7109375" style="285" customWidth="1"/>
    <col min="9731" max="9985" width="9.140625" style="285"/>
    <col min="9986" max="9986" width="51.7109375" style="285" customWidth="1"/>
    <col min="9987" max="10241" width="9.140625" style="285"/>
    <col min="10242" max="10242" width="51.7109375" style="285" customWidth="1"/>
    <col min="10243" max="10497" width="9.140625" style="285"/>
    <col min="10498" max="10498" width="51.7109375" style="285" customWidth="1"/>
    <col min="10499" max="10753" width="9.140625" style="285"/>
    <col min="10754" max="10754" width="51.7109375" style="285" customWidth="1"/>
    <col min="10755" max="11009" width="9.140625" style="285"/>
    <col min="11010" max="11010" width="51.7109375" style="285" customWidth="1"/>
    <col min="11011" max="11265" width="9.140625" style="285"/>
    <col min="11266" max="11266" width="51.7109375" style="285" customWidth="1"/>
    <col min="11267" max="11521" width="9.140625" style="285"/>
    <col min="11522" max="11522" width="51.7109375" style="285" customWidth="1"/>
    <col min="11523" max="11777" width="9.140625" style="285"/>
    <col min="11778" max="11778" width="51.7109375" style="285" customWidth="1"/>
    <col min="11779" max="12033" width="9.140625" style="285"/>
    <col min="12034" max="12034" width="51.7109375" style="285" customWidth="1"/>
    <col min="12035" max="12289" width="9.140625" style="285"/>
    <col min="12290" max="12290" width="51.7109375" style="285" customWidth="1"/>
    <col min="12291" max="12545" width="9.140625" style="285"/>
    <col min="12546" max="12546" width="51.7109375" style="285" customWidth="1"/>
    <col min="12547" max="12801" width="9.140625" style="285"/>
    <col min="12802" max="12802" width="51.7109375" style="285" customWidth="1"/>
    <col min="12803" max="13057" width="9.140625" style="285"/>
    <col min="13058" max="13058" width="51.7109375" style="285" customWidth="1"/>
    <col min="13059" max="13313" width="9.140625" style="285"/>
    <col min="13314" max="13314" width="51.7109375" style="285" customWidth="1"/>
    <col min="13315" max="13569" width="9.140625" style="285"/>
    <col min="13570" max="13570" width="51.7109375" style="285" customWidth="1"/>
    <col min="13571" max="13825" width="9.140625" style="285"/>
    <col min="13826" max="13826" width="51.7109375" style="285" customWidth="1"/>
    <col min="13827" max="14081" width="9.140625" style="285"/>
    <col min="14082" max="14082" width="51.7109375" style="285" customWidth="1"/>
    <col min="14083" max="14337" width="9.140625" style="285"/>
    <col min="14338" max="14338" width="51.7109375" style="285" customWidth="1"/>
    <col min="14339" max="14593" width="9.140625" style="285"/>
    <col min="14594" max="14594" width="51.7109375" style="285" customWidth="1"/>
    <col min="14595" max="14849" width="9.140625" style="285"/>
    <col min="14850" max="14850" width="51.7109375" style="285" customWidth="1"/>
    <col min="14851" max="15105" width="9.140625" style="285"/>
    <col min="15106" max="15106" width="51.7109375" style="285" customWidth="1"/>
    <col min="15107" max="15361" width="9.140625" style="285"/>
    <col min="15362" max="15362" width="51.7109375" style="285" customWidth="1"/>
    <col min="15363" max="15617" width="9.140625" style="285"/>
    <col min="15618" max="15618" width="51.7109375" style="285" customWidth="1"/>
    <col min="15619" max="15873" width="9.140625" style="285"/>
    <col min="15874" max="15874" width="51.7109375" style="285" customWidth="1"/>
    <col min="15875" max="16129" width="9.140625" style="285"/>
    <col min="16130" max="16130" width="51.7109375" style="285" customWidth="1"/>
    <col min="16131" max="16384" width="9.140625" style="285"/>
  </cols>
  <sheetData>
    <row r="1" spans="1:8" ht="25.5" customHeight="1" x14ac:dyDescent="0.25">
      <c r="A1" s="805" t="s">
        <v>336</v>
      </c>
      <c r="B1" s="805"/>
      <c r="C1" s="805"/>
      <c r="D1" s="805"/>
      <c r="E1" s="805"/>
      <c r="F1" s="805"/>
      <c r="G1" s="805"/>
      <c r="H1" s="805"/>
    </row>
    <row r="2" spans="1:8" ht="45" customHeight="1" thickBot="1" x14ac:dyDescent="0.3">
      <c r="A2" s="820" t="s">
        <v>213</v>
      </c>
      <c r="B2" s="820"/>
      <c r="C2" s="820"/>
      <c r="D2" s="820"/>
      <c r="E2" s="820"/>
      <c r="F2" s="820"/>
      <c r="G2" s="820"/>
      <c r="H2" s="820"/>
    </row>
    <row r="3" spans="1:8" ht="15.75" thickBot="1" x14ac:dyDescent="0.3">
      <c r="A3" s="806" t="s">
        <v>229</v>
      </c>
      <c r="B3" s="807"/>
      <c r="C3" s="808"/>
      <c r="D3" s="815" t="s">
        <v>217</v>
      </c>
      <c r="E3" s="816"/>
      <c r="F3" s="816"/>
      <c r="G3" s="816"/>
      <c r="H3" s="817"/>
    </row>
    <row r="4" spans="1:8" ht="24" customHeight="1" x14ac:dyDescent="0.25">
      <c r="A4" s="809"/>
      <c r="B4" s="810"/>
      <c r="C4" s="811"/>
      <c r="D4" s="286" t="s">
        <v>192</v>
      </c>
      <c r="E4" s="286" t="s">
        <v>193</v>
      </c>
      <c r="F4" s="286" t="s">
        <v>214</v>
      </c>
      <c r="G4" s="286" t="s">
        <v>215</v>
      </c>
      <c r="H4" s="818" t="s">
        <v>194</v>
      </c>
    </row>
    <row r="5" spans="1:8" ht="15.75" thickBot="1" x14ac:dyDescent="0.3">
      <c r="A5" s="812"/>
      <c r="B5" s="813"/>
      <c r="C5" s="814"/>
      <c r="D5" s="287" t="s">
        <v>195</v>
      </c>
      <c r="E5" s="287" t="s">
        <v>195</v>
      </c>
      <c r="F5" s="287" t="s">
        <v>195</v>
      </c>
      <c r="G5" s="287" t="s">
        <v>195</v>
      </c>
      <c r="H5" s="819"/>
    </row>
    <row r="6" spans="1:8" s="275" customFormat="1" ht="29.25" thickBot="1" x14ac:dyDescent="0.3">
      <c r="A6" s="288" t="s">
        <v>197</v>
      </c>
      <c r="B6" s="289" t="s">
        <v>198</v>
      </c>
      <c r="C6" s="289" t="s">
        <v>199</v>
      </c>
      <c r="D6" s="290"/>
      <c r="E6" s="290"/>
      <c r="F6" s="290"/>
      <c r="G6" s="290"/>
      <c r="H6" s="291"/>
    </row>
    <row r="7" spans="1:8" x14ac:dyDescent="0.25">
      <c r="A7" s="292" t="s">
        <v>196</v>
      </c>
      <c r="B7" s="293"/>
      <c r="C7" s="293"/>
      <c r="D7" s="294">
        <v>0</v>
      </c>
      <c r="E7" s="294">
        <v>0</v>
      </c>
      <c r="F7" s="294">
        <v>0</v>
      </c>
      <c r="G7" s="294">
        <v>0</v>
      </c>
      <c r="H7" s="295">
        <f>SUM(D7:G7)</f>
        <v>0</v>
      </c>
    </row>
    <row r="8" spans="1:8" ht="30" x14ac:dyDescent="0.25">
      <c r="A8" s="296" t="s">
        <v>201</v>
      </c>
      <c r="B8" s="297"/>
      <c r="C8" s="297"/>
      <c r="D8" s="298">
        <v>0</v>
      </c>
      <c r="E8" s="298">
        <v>0</v>
      </c>
      <c r="F8" s="298">
        <v>0</v>
      </c>
      <c r="G8" s="298">
        <v>0</v>
      </c>
      <c r="H8" s="299">
        <f t="shared" ref="H8:H13" si="0">SUM(D8:G8)</f>
        <v>0</v>
      </c>
    </row>
    <row r="9" spans="1:8" x14ac:dyDescent="0.25">
      <c r="A9" s="296" t="s">
        <v>202</v>
      </c>
      <c r="B9" s="297"/>
      <c r="C9" s="297"/>
      <c r="D9" s="298">
        <v>0</v>
      </c>
      <c r="E9" s="298">
        <v>0</v>
      </c>
      <c r="F9" s="298">
        <v>0</v>
      </c>
      <c r="G9" s="298">
        <v>0</v>
      </c>
      <c r="H9" s="299">
        <f t="shared" si="0"/>
        <v>0</v>
      </c>
    </row>
    <row r="10" spans="1:8" ht="30" x14ac:dyDescent="0.25">
      <c r="A10" s="296" t="s">
        <v>203</v>
      </c>
      <c r="B10" s="297"/>
      <c r="C10" s="297"/>
      <c r="D10" s="298">
        <v>0</v>
      </c>
      <c r="E10" s="298">
        <v>0</v>
      </c>
      <c r="F10" s="298">
        <v>0</v>
      </c>
      <c r="G10" s="298">
        <v>0</v>
      </c>
      <c r="H10" s="299">
        <f t="shared" si="0"/>
        <v>0</v>
      </c>
    </row>
    <row r="11" spans="1:8" ht="30" x14ac:dyDescent="0.25">
      <c r="A11" s="300" t="s">
        <v>204</v>
      </c>
      <c r="B11" s="297"/>
      <c r="C11" s="297"/>
      <c r="D11" s="298">
        <v>0</v>
      </c>
      <c r="E11" s="298">
        <v>0</v>
      </c>
      <c r="F11" s="298">
        <v>0</v>
      </c>
      <c r="G11" s="298">
        <v>0</v>
      </c>
      <c r="H11" s="299">
        <f t="shared" si="0"/>
        <v>0</v>
      </c>
    </row>
    <row r="12" spans="1:8" ht="30" x14ac:dyDescent="0.25">
      <c r="A12" s="296" t="s">
        <v>205</v>
      </c>
      <c r="B12" s="297"/>
      <c r="C12" s="297"/>
      <c r="D12" s="298">
        <v>0</v>
      </c>
      <c r="E12" s="298">
        <v>0</v>
      </c>
      <c r="F12" s="298">
        <v>0</v>
      </c>
      <c r="G12" s="298">
        <v>0</v>
      </c>
      <c r="H12" s="299">
        <f t="shared" si="0"/>
        <v>0</v>
      </c>
    </row>
    <row r="13" spans="1:8" ht="45" x14ac:dyDescent="0.25">
      <c r="A13" s="296" t="s">
        <v>216</v>
      </c>
      <c r="B13" s="297"/>
      <c r="C13" s="297"/>
      <c r="D13" s="298">
        <v>0</v>
      </c>
      <c r="E13" s="298">
        <v>0</v>
      </c>
      <c r="F13" s="298">
        <v>0</v>
      </c>
      <c r="G13" s="298">
        <v>0</v>
      </c>
      <c r="H13" s="299">
        <f t="shared" si="0"/>
        <v>0</v>
      </c>
    </row>
    <row r="14" spans="1:8" ht="30" customHeight="1" thickBot="1" x14ac:dyDescent="0.3">
      <c r="A14" s="803" t="s">
        <v>226</v>
      </c>
      <c r="B14" s="804"/>
      <c r="C14" s="804"/>
      <c r="D14" s="301">
        <f>SUM(D7:D13)</f>
        <v>0</v>
      </c>
      <c r="E14" s="301">
        <f t="shared" ref="E14:H14" si="1">SUM(E7:E13)</f>
        <v>0</v>
      </c>
      <c r="F14" s="301">
        <f t="shared" si="1"/>
        <v>0</v>
      </c>
      <c r="G14" s="301">
        <f t="shared" si="1"/>
        <v>0</v>
      </c>
      <c r="H14" s="302">
        <f t="shared" si="1"/>
        <v>0</v>
      </c>
    </row>
    <row r="15" spans="1:8" ht="12" customHeight="1" thickBot="1" x14ac:dyDescent="0.3">
      <c r="A15" s="307"/>
      <c r="B15" s="308"/>
      <c r="C15" s="309"/>
      <c r="D15" s="303"/>
      <c r="E15" s="303"/>
      <c r="F15" s="303"/>
      <c r="G15" s="303"/>
      <c r="H15" s="304"/>
    </row>
    <row r="16" spans="1:8" x14ac:dyDescent="0.25">
      <c r="A16" s="840" t="s">
        <v>228</v>
      </c>
      <c r="B16" s="841"/>
      <c r="C16" s="842"/>
      <c r="D16" s="821" t="s">
        <v>233</v>
      </c>
      <c r="E16" s="822"/>
      <c r="F16" s="822"/>
      <c r="G16" s="822"/>
      <c r="H16" s="823"/>
    </row>
    <row r="17" spans="1:8" x14ac:dyDescent="0.25">
      <c r="A17" s="843"/>
      <c r="B17" s="844"/>
      <c r="C17" s="845"/>
      <c r="D17" s="286" t="s">
        <v>192</v>
      </c>
      <c r="E17" s="286" t="s">
        <v>193</v>
      </c>
      <c r="F17" s="286" t="s">
        <v>214</v>
      </c>
      <c r="G17" s="286" t="s">
        <v>215</v>
      </c>
      <c r="H17" s="830" t="s">
        <v>227</v>
      </c>
    </row>
    <row r="18" spans="1:8" ht="15.75" thickBot="1" x14ac:dyDescent="0.3">
      <c r="A18" s="843"/>
      <c r="B18" s="844"/>
      <c r="C18" s="845"/>
      <c r="D18" s="287" t="s">
        <v>195</v>
      </c>
      <c r="E18" s="287" t="s">
        <v>195</v>
      </c>
      <c r="F18" s="287" t="s">
        <v>195</v>
      </c>
      <c r="G18" s="287" t="s">
        <v>195</v>
      </c>
      <c r="H18" s="830"/>
    </row>
    <row r="19" spans="1:8" ht="15" customHeight="1" x14ac:dyDescent="0.25">
      <c r="A19" s="838" t="s">
        <v>231</v>
      </c>
      <c r="B19" s="834" t="s">
        <v>232</v>
      </c>
      <c r="C19" s="836" t="s">
        <v>207</v>
      </c>
      <c r="D19" s="824"/>
      <c r="E19" s="826"/>
      <c r="F19" s="826"/>
      <c r="G19" s="826"/>
      <c r="H19" s="828"/>
    </row>
    <row r="20" spans="1:8" ht="15.75" customHeight="1" thickBot="1" x14ac:dyDescent="0.3">
      <c r="A20" s="839"/>
      <c r="B20" s="835"/>
      <c r="C20" s="837"/>
      <c r="D20" s="825"/>
      <c r="E20" s="827"/>
      <c r="F20" s="827"/>
      <c r="G20" s="827"/>
      <c r="H20" s="829"/>
    </row>
    <row r="21" spans="1:8" ht="20.25" customHeight="1" x14ac:dyDescent="0.25">
      <c r="A21" s="292" t="s">
        <v>206</v>
      </c>
      <c r="B21" s="306"/>
      <c r="C21" s="306"/>
      <c r="D21" s="311">
        <v>78000000</v>
      </c>
      <c r="E21" s="311">
        <v>78000000</v>
      </c>
      <c r="F21" s="311">
        <v>78000000</v>
      </c>
      <c r="G21" s="311">
        <v>78000000</v>
      </c>
      <c r="H21" s="312">
        <f>SUM(D21:G21)</f>
        <v>312000000</v>
      </c>
    </row>
    <row r="22" spans="1:8" ht="30" x14ac:dyDescent="0.25">
      <c r="A22" s="296" t="s">
        <v>208</v>
      </c>
      <c r="B22" s="305"/>
      <c r="C22" s="305"/>
      <c r="D22" s="310"/>
      <c r="E22" s="310"/>
      <c r="F22" s="310"/>
      <c r="G22" s="310"/>
      <c r="H22" s="312">
        <f t="shared" ref="H22:H26" si="2">SUM(D22:G22)</f>
        <v>0</v>
      </c>
    </row>
    <row r="23" spans="1:8" x14ac:dyDescent="0.25">
      <c r="A23" s="296" t="s">
        <v>209</v>
      </c>
      <c r="B23" s="297"/>
      <c r="C23" s="297"/>
      <c r="D23" s="310"/>
      <c r="E23" s="310"/>
      <c r="F23" s="310"/>
      <c r="G23" s="310"/>
      <c r="H23" s="312">
        <f t="shared" si="2"/>
        <v>0</v>
      </c>
    </row>
    <row r="24" spans="1:8" ht="36.75" customHeight="1" x14ac:dyDescent="0.25">
      <c r="A24" s="296" t="s">
        <v>210</v>
      </c>
      <c r="B24" s="297"/>
      <c r="C24" s="297"/>
      <c r="D24" s="310"/>
      <c r="E24" s="310"/>
      <c r="F24" s="310"/>
      <c r="G24" s="310"/>
      <c r="H24" s="312">
        <f t="shared" si="2"/>
        <v>0</v>
      </c>
    </row>
    <row r="25" spans="1:8" x14ac:dyDescent="0.25">
      <c r="A25" s="296" t="s">
        <v>211</v>
      </c>
      <c r="B25" s="297"/>
      <c r="C25" s="297"/>
      <c r="D25" s="310"/>
      <c r="E25" s="310"/>
      <c r="F25" s="310"/>
      <c r="G25" s="310"/>
      <c r="H25" s="312">
        <f t="shared" si="2"/>
        <v>0</v>
      </c>
    </row>
    <row r="26" spans="1:8" ht="30" x14ac:dyDescent="0.25">
      <c r="A26" s="296" t="s">
        <v>212</v>
      </c>
      <c r="B26" s="297"/>
      <c r="C26" s="297"/>
      <c r="D26" s="310"/>
      <c r="E26" s="310"/>
      <c r="F26" s="310"/>
      <c r="G26" s="310"/>
      <c r="H26" s="312">
        <f t="shared" si="2"/>
        <v>0</v>
      </c>
    </row>
    <row r="27" spans="1:8" ht="32.25" customHeight="1" thickBot="1" x14ac:dyDescent="0.3">
      <c r="A27" s="831" t="s">
        <v>230</v>
      </c>
      <c r="B27" s="832"/>
      <c r="C27" s="833"/>
      <c r="D27" s="311">
        <f>SUM(D21:D26)</f>
        <v>78000000</v>
      </c>
      <c r="E27" s="311">
        <f t="shared" ref="E27:H27" si="3">SUM(E21:E26)</f>
        <v>78000000</v>
      </c>
      <c r="F27" s="311">
        <f t="shared" si="3"/>
        <v>78000000</v>
      </c>
      <c r="G27" s="311">
        <f t="shared" si="3"/>
        <v>78000000</v>
      </c>
      <c r="H27" s="311">
        <f t="shared" si="3"/>
        <v>312000000</v>
      </c>
    </row>
  </sheetData>
  <mergeCells count="18">
    <mergeCell ref="A27:C27"/>
    <mergeCell ref="B19:B20"/>
    <mergeCell ref="C19:C20"/>
    <mergeCell ref="A19:A20"/>
    <mergeCell ref="A16:C18"/>
    <mergeCell ref="D16:H16"/>
    <mergeCell ref="D19:D20"/>
    <mergeCell ref="E19:E20"/>
    <mergeCell ref="F19:F20"/>
    <mergeCell ref="H19:H20"/>
    <mergeCell ref="G19:G20"/>
    <mergeCell ref="H17:H18"/>
    <mergeCell ref="A14:C14"/>
    <mergeCell ref="A1:H1"/>
    <mergeCell ref="A3:C5"/>
    <mergeCell ref="D3:H3"/>
    <mergeCell ref="H4:H5"/>
    <mergeCell ref="A2:H2"/>
  </mergeCells>
  <pageMargins left="0.59055118110236227" right="0.59055118110236227" top="0.59055118110236227" bottom="0.59055118110236227" header="0.31496062992125984" footer="0.31496062992125984"/>
  <pageSetup paperSize="9" scale="81" fitToHeight="5" orientation="landscape" r:id="rId1"/>
  <headerFoot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5"/>
  <sheetViews>
    <sheetView zoomScaleNormal="100" workbookViewId="0">
      <selection activeCell="B9" sqref="B9"/>
    </sheetView>
  </sheetViews>
  <sheetFormatPr defaultRowHeight="12.75" x14ac:dyDescent="0.2"/>
  <cols>
    <col min="1" max="1" width="65.85546875" style="321" customWidth="1"/>
    <col min="2" max="2" width="17.7109375" style="322" customWidth="1"/>
    <col min="3" max="254" width="9.140625" style="321"/>
    <col min="255" max="255" width="64.28515625" style="321" customWidth="1"/>
    <col min="256" max="510" width="9.140625" style="321"/>
    <col min="511" max="511" width="64.28515625" style="321" customWidth="1"/>
    <col min="512" max="766" width="9.140625" style="321"/>
    <col min="767" max="767" width="64.28515625" style="321" customWidth="1"/>
    <col min="768" max="1022" width="9.140625" style="321"/>
    <col min="1023" max="1023" width="64.28515625" style="321" customWidth="1"/>
    <col min="1024" max="1278" width="9.140625" style="321"/>
    <col min="1279" max="1279" width="64.28515625" style="321" customWidth="1"/>
    <col min="1280" max="1534" width="9.140625" style="321"/>
    <col min="1535" max="1535" width="64.28515625" style="321" customWidth="1"/>
    <col min="1536" max="1790" width="9.140625" style="321"/>
    <col min="1791" max="1791" width="64.28515625" style="321" customWidth="1"/>
    <col min="1792" max="2046" width="9.140625" style="321"/>
    <col min="2047" max="2047" width="64.28515625" style="321" customWidth="1"/>
    <col min="2048" max="2302" width="9.140625" style="321"/>
    <col min="2303" max="2303" width="64.28515625" style="321" customWidth="1"/>
    <col min="2304" max="2558" width="9.140625" style="321"/>
    <col min="2559" max="2559" width="64.28515625" style="321" customWidth="1"/>
    <col min="2560" max="2814" width="9.140625" style="321"/>
    <col min="2815" max="2815" width="64.28515625" style="321" customWidth="1"/>
    <col min="2816" max="3070" width="9.140625" style="321"/>
    <col min="3071" max="3071" width="64.28515625" style="321" customWidth="1"/>
    <col min="3072" max="3326" width="9.140625" style="321"/>
    <col min="3327" max="3327" width="64.28515625" style="321" customWidth="1"/>
    <col min="3328" max="3582" width="9.140625" style="321"/>
    <col min="3583" max="3583" width="64.28515625" style="321" customWidth="1"/>
    <col min="3584" max="3838" width="9.140625" style="321"/>
    <col min="3839" max="3839" width="64.28515625" style="321" customWidth="1"/>
    <col min="3840" max="4094" width="9.140625" style="321"/>
    <col min="4095" max="4095" width="64.28515625" style="321" customWidth="1"/>
    <col min="4096" max="4350" width="9.140625" style="321"/>
    <col min="4351" max="4351" width="64.28515625" style="321" customWidth="1"/>
    <col min="4352" max="4606" width="9.140625" style="321"/>
    <col min="4607" max="4607" width="64.28515625" style="321" customWidth="1"/>
    <col min="4608" max="4862" width="9.140625" style="321"/>
    <col min="4863" max="4863" width="64.28515625" style="321" customWidth="1"/>
    <col min="4864" max="5118" width="9.140625" style="321"/>
    <col min="5119" max="5119" width="64.28515625" style="321" customWidth="1"/>
    <col min="5120" max="5374" width="9.140625" style="321"/>
    <col min="5375" max="5375" width="64.28515625" style="321" customWidth="1"/>
    <col min="5376" max="5630" width="9.140625" style="321"/>
    <col min="5631" max="5631" width="64.28515625" style="321" customWidth="1"/>
    <col min="5632" max="5886" width="9.140625" style="321"/>
    <col min="5887" max="5887" width="64.28515625" style="321" customWidth="1"/>
    <col min="5888" max="6142" width="9.140625" style="321"/>
    <col min="6143" max="6143" width="64.28515625" style="321" customWidth="1"/>
    <col min="6144" max="6398" width="9.140625" style="321"/>
    <col min="6399" max="6399" width="64.28515625" style="321" customWidth="1"/>
    <col min="6400" max="6654" width="9.140625" style="321"/>
    <col min="6655" max="6655" width="64.28515625" style="321" customWidth="1"/>
    <col min="6656" max="6910" width="9.140625" style="321"/>
    <col min="6911" max="6911" width="64.28515625" style="321" customWidth="1"/>
    <col min="6912" max="7166" width="9.140625" style="321"/>
    <col min="7167" max="7167" width="64.28515625" style="321" customWidth="1"/>
    <col min="7168" max="7422" width="9.140625" style="321"/>
    <col min="7423" max="7423" width="64.28515625" style="321" customWidth="1"/>
    <col min="7424" max="7678" width="9.140625" style="321"/>
    <col min="7679" max="7679" width="64.28515625" style="321" customWidth="1"/>
    <col min="7680" max="7934" width="9.140625" style="321"/>
    <col min="7935" max="7935" width="64.28515625" style="321" customWidth="1"/>
    <col min="7936" max="8190" width="9.140625" style="321"/>
    <col min="8191" max="8191" width="64.28515625" style="321" customWidth="1"/>
    <col min="8192" max="8446" width="9.140625" style="321"/>
    <col min="8447" max="8447" width="64.28515625" style="321" customWidth="1"/>
    <col min="8448" max="8702" width="9.140625" style="321"/>
    <col min="8703" max="8703" width="64.28515625" style="321" customWidth="1"/>
    <col min="8704" max="8958" width="9.140625" style="321"/>
    <col min="8959" max="8959" width="64.28515625" style="321" customWidth="1"/>
    <col min="8960" max="9214" width="9.140625" style="321"/>
    <col min="9215" max="9215" width="64.28515625" style="321" customWidth="1"/>
    <col min="9216" max="9470" width="9.140625" style="321"/>
    <col min="9471" max="9471" width="64.28515625" style="321" customWidth="1"/>
    <col min="9472" max="9726" width="9.140625" style="321"/>
    <col min="9727" max="9727" width="64.28515625" style="321" customWidth="1"/>
    <col min="9728" max="9982" width="9.140625" style="321"/>
    <col min="9983" max="9983" width="64.28515625" style="321" customWidth="1"/>
    <col min="9984" max="10238" width="9.140625" style="321"/>
    <col min="10239" max="10239" width="64.28515625" style="321" customWidth="1"/>
    <col min="10240" max="10494" width="9.140625" style="321"/>
    <col min="10495" max="10495" width="64.28515625" style="321" customWidth="1"/>
    <col min="10496" max="10750" width="9.140625" style="321"/>
    <col min="10751" max="10751" width="64.28515625" style="321" customWidth="1"/>
    <col min="10752" max="11006" width="9.140625" style="321"/>
    <col min="11007" max="11007" width="64.28515625" style="321" customWidth="1"/>
    <col min="11008" max="11262" width="9.140625" style="321"/>
    <col min="11263" max="11263" width="64.28515625" style="321" customWidth="1"/>
    <col min="11264" max="11518" width="9.140625" style="321"/>
    <col min="11519" max="11519" width="64.28515625" style="321" customWidth="1"/>
    <col min="11520" max="11774" width="9.140625" style="321"/>
    <col min="11775" max="11775" width="64.28515625" style="321" customWidth="1"/>
    <col min="11776" max="12030" width="9.140625" style="321"/>
    <col min="12031" max="12031" width="64.28515625" style="321" customWidth="1"/>
    <col min="12032" max="12286" width="9.140625" style="321"/>
    <col min="12287" max="12287" width="64.28515625" style="321" customWidth="1"/>
    <col min="12288" max="12542" width="9.140625" style="321"/>
    <col min="12543" max="12543" width="64.28515625" style="321" customWidth="1"/>
    <col min="12544" max="12798" width="9.140625" style="321"/>
    <col min="12799" max="12799" width="64.28515625" style="321" customWidth="1"/>
    <col min="12800" max="13054" width="9.140625" style="321"/>
    <col min="13055" max="13055" width="64.28515625" style="321" customWidth="1"/>
    <col min="13056" max="13310" width="9.140625" style="321"/>
    <col min="13311" max="13311" width="64.28515625" style="321" customWidth="1"/>
    <col min="13312" max="13566" width="9.140625" style="321"/>
    <col min="13567" max="13567" width="64.28515625" style="321" customWidth="1"/>
    <col min="13568" max="13822" width="9.140625" style="321"/>
    <col min="13823" max="13823" width="64.28515625" style="321" customWidth="1"/>
    <col min="13824" max="14078" width="9.140625" style="321"/>
    <col min="14079" max="14079" width="64.28515625" style="321" customWidth="1"/>
    <col min="14080" max="14334" width="9.140625" style="321"/>
    <col min="14335" max="14335" width="64.28515625" style="321" customWidth="1"/>
    <col min="14336" max="14590" width="9.140625" style="321"/>
    <col min="14591" max="14591" width="64.28515625" style="321" customWidth="1"/>
    <col min="14592" max="14846" width="9.140625" style="321"/>
    <col min="14847" max="14847" width="64.28515625" style="321" customWidth="1"/>
    <col min="14848" max="15102" width="9.140625" style="321"/>
    <col min="15103" max="15103" width="64.28515625" style="321" customWidth="1"/>
    <col min="15104" max="15358" width="9.140625" style="321"/>
    <col min="15359" max="15359" width="64.28515625" style="321" customWidth="1"/>
    <col min="15360" max="15614" width="9.140625" style="321"/>
    <col min="15615" max="15615" width="64.28515625" style="321" customWidth="1"/>
    <col min="15616" max="15870" width="9.140625" style="321"/>
    <col min="15871" max="15871" width="64.28515625" style="321" customWidth="1"/>
    <col min="15872" max="16126" width="9.140625" style="321"/>
    <col min="16127" max="16127" width="64.28515625" style="321" customWidth="1"/>
    <col min="16128" max="16384" width="9.140625" style="321"/>
  </cols>
  <sheetData>
    <row r="1" spans="1:2" ht="13.5" x14ac:dyDescent="0.2">
      <c r="A1" s="397" t="s">
        <v>337</v>
      </c>
      <c r="B1" s="320"/>
    </row>
    <row r="2" spans="1:2" x14ac:dyDescent="0.2">
      <c r="A2" s="313"/>
      <c r="B2" s="320"/>
    </row>
    <row r="3" spans="1:2" x14ac:dyDescent="0.2">
      <c r="A3" s="313" t="s">
        <v>275</v>
      </c>
      <c r="B3" s="320"/>
    </row>
    <row r="4" spans="1:2" ht="24" customHeight="1" thickBot="1" x14ac:dyDescent="0.25">
      <c r="A4" s="313"/>
      <c r="B4" s="320"/>
    </row>
    <row r="5" spans="1:2" ht="13.5" thickBot="1" x14ac:dyDescent="0.25">
      <c r="A5" s="314" t="s">
        <v>234</v>
      </c>
      <c r="B5" s="395" t="s">
        <v>192</v>
      </c>
    </row>
    <row r="6" spans="1:2" ht="13.5" thickBot="1" x14ac:dyDescent="0.25">
      <c r="A6" s="323" t="s">
        <v>235</v>
      </c>
      <c r="B6" s="316"/>
    </row>
    <row r="7" spans="1:2" ht="13.5" thickBot="1" x14ac:dyDescent="0.25">
      <c r="A7" s="323" t="s">
        <v>236</v>
      </c>
      <c r="B7" s="390"/>
    </row>
    <row r="8" spans="1:2" ht="13.5" thickBot="1" x14ac:dyDescent="0.25">
      <c r="A8" s="323" t="s">
        <v>237</v>
      </c>
      <c r="B8" s="390">
        <f>6566000+560500</f>
        <v>7126500</v>
      </c>
    </row>
    <row r="9" spans="1:2" ht="13.5" thickBot="1" x14ac:dyDescent="0.25">
      <c r="A9" s="323" t="s">
        <v>238</v>
      </c>
      <c r="B9" s="390"/>
    </row>
    <row r="10" spans="1:2" ht="13.5" thickBot="1" x14ac:dyDescent="0.25">
      <c r="A10" s="325" t="s">
        <v>239</v>
      </c>
      <c r="B10" s="391">
        <f>SUM(B6:B9)</f>
        <v>7126500</v>
      </c>
    </row>
    <row r="11" spans="1:2" ht="26.25" thickBot="1" x14ac:dyDescent="0.25">
      <c r="A11" s="323" t="s">
        <v>240</v>
      </c>
      <c r="B11" s="390"/>
    </row>
    <row r="12" spans="1:2" ht="26.25" thickBot="1" x14ac:dyDescent="0.25">
      <c r="A12" s="323" t="s">
        <v>241</v>
      </c>
      <c r="B12" s="390"/>
    </row>
    <row r="13" spans="1:2" ht="13.5" thickBot="1" x14ac:dyDescent="0.25">
      <c r="A13" s="318" t="s">
        <v>242</v>
      </c>
      <c r="B13" s="392"/>
    </row>
    <row r="14" spans="1:2" ht="13.5" thickBot="1" x14ac:dyDescent="0.25">
      <c r="A14" s="323" t="s">
        <v>243</v>
      </c>
      <c r="B14" s="390">
        <v>222445</v>
      </c>
    </row>
    <row r="15" spans="1:2" ht="13.5" thickBot="1" x14ac:dyDescent="0.25">
      <c r="A15" s="318" t="s">
        <v>244</v>
      </c>
      <c r="B15" s="392">
        <f>SUM(B14)</f>
        <v>222445</v>
      </c>
    </row>
    <row r="16" spans="1:2" ht="13.5" thickBot="1" x14ac:dyDescent="0.25">
      <c r="A16" s="323" t="s">
        <v>245</v>
      </c>
      <c r="B16" s="390">
        <f>7700400-126000</f>
        <v>7574400</v>
      </c>
    </row>
    <row r="17" spans="1:2" ht="13.5" thickBot="1" x14ac:dyDescent="0.25">
      <c r="A17" s="318" t="s">
        <v>246</v>
      </c>
      <c r="B17" s="392">
        <f>SUM(B16)</f>
        <v>7574400</v>
      </c>
    </row>
    <row r="18" spans="1:2" ht="13.5" thickBot="1" x14ac:dyDescent="0.25">
      <c r="A18" s="318" t="s">
        <v>247</v>
      </c>
      <c r="B18" s="392"/>
    </row>
    <row r="19" spans="1:2" ht="13.5" thickBot="1" x14ac:dyDescent="0.25">
      <c r="A19" s="323" t="s">
        <v>248</v>
      </c>
      <c r="B19" s="390"/>
    </row>
    <row r="20" spans="1:2" ht="13.5" thickBot="1" x14ac:dyDescent="0.25">
      <c r="A20" s="323" t="s">
        <v>249</v>
      </c>
      <c r="B20" s="390"/>
    </row>
    <row r="21" spans="1:2" ht="13.5" thickBot="1" x14ac:dyDescent="0.25">
      <c r="A21" s="318" t="s">
        <v>250</v>
      </c>
      <c r="B21" s="392"/>
    </row>
    <row r="22" spans="1:2" ht="13.5" thickBot="1" x14ac:dyDescent="0.25">
      <c r="A22" s="325" t="s">
        <v>251</v>
      </c>
      <c r="B22" s="393"/>
    </row>
    <row r="23" spans="1:2" ht="26.25" thickBot="1" x14ac:dyDescent="0.25">
      <c r="A23" s="323" t="s">
        <v>252</v>
      </c>
      <c r="B23" s="392"/>
    </row>
    <row r="24" spans="1:2" ht="26.25" thickBot="1" x14ac:dyDescent="0.25">
      <c r="A24" s="323" t="s">
        <v>253</v>
      </c>
      <c r="B24" s="392"/>
    </row>
    <row r="25" spans="1:2" ht="13.5" thickBot="1" x14ac:dyDescent="0.25">
      <c r="A25" s="318" t="s">
        <v>254</v>
      </c>
      <c r="B25" s="392"/>
    </row>
    <row r="26" spans="1:2" ht="26.25" thickBot="1" x14ac:dyDescent="0.25">
      <c r="A26" s="323" t="s">
        <v>255</v>
      </c>
      <c r="B26" s="392"/>
    </row>
    <row r="27" spans="1:2" ht="26.25" thickBot="1" x14ac:dyDescent="0.25">
      <c r="A27" s="323" t="s">
        <v>256</v>
      </c>
      <c r="B27" s="392"/>
    </row>
    <row r="28" spans="1:2" ht="13.5" thickBot="1" x14ac:dyDescent="0.25">
      <c r="A28" s="318" t="s">
        <v>257</v>
      </c>
      <c r="B28" s="392"/>
    </row>
    <row r="29" spans="1:2" ht="14.25" thickBot="1" x14ac:dyDescent="0.25">
      <c r="A29" s="323" t="s">
        <v>258</v>
      </c>
      <c r="B29" s="394">
        <f>9360*9+30560*10</f>
        <v>389840</v>
      </c>
    </row>
    <row r="30" spans="1:2" ht="13.5" thickBot="1" x14ac:dyDescent="0.25">
      <c r="A30" s="318" t="s">
        <v>259</v>
      </c>
      <c r="B30" s="392">
        <f>SUM(B29)</f>
        <v>389840</v>
      </c>
    </row>
    <row r="31" spans="1:2" ht="14.25" thickBot="1" x14ac:dyDescent="0.25">
      <c r="A31" s="323" t="s">
        <v>260</v>
      </c>
      <c r="B31" s="394"/>
    </row>
    <row r="32" spans="1:2" ht="13.5" thickBot="1" x14ac:dyDescent="0.25">
      <c r="A32" s="317" t="s">
        <v>261</v>
      </c>
      <c r="B32" s="390"/>
    </row>
    <row r="33" spans="1:2" ht="13.5" thickBot="1" x14ac:dyDescent="0.25">
      <c r="A33" s="317" t="s">
        <v>262</v>
      </c>
      <c r="B33" s="392"/>
    </row>
    <row r="34" spans="1:2" ht="13.5" thickBot="1" x14ac:dyDescent="0.25">
      <c r="A34" s="318" t="s">
        <v>263</v>
      </c>
      <c r="B34" s="392"/>
    </row>
    <row r="35" spans="1:2" ht="14.25" thickBot="1" x14ac:dyDescent="0.25">
      <c r="A35" s="323" t="s">
        <v>264</v>
      </c>
      <c r="B35" s="394"/>
    </row>
    <row r="36" spans="1:2" ht="13.5" thickBot="1" x14ac:dyDescent="0.25">
      <c r="A36" s="318" t="s">
        <v>265</v>
      </c>
      <c r="B36" s="392"/>
    </row>
    <row r="37" spans="1:2" ht="13.5" thickBot="1" x14ac:dyDescent="0.25">
      <c r="A37" s="318" t="s">
        <v>266</v>
      </c>
      <c r="B37" s="392"/>
    </row>
    <row r="38" spans="1:2" ht="26.25" thickBot="1" x14ac:dyDescent="0.25">
      <c r="A38" s="323" t="s">
        <v>267</v>
      </c>
      <c r="B38" s="319"/>
    </row>
    <row r="39" spans="1:2" ht="26.25" thickBot="1" x14ac:dyDescent="0.25">
      <c r="A39" s="317" t="s">
        <v>268</v>
      </c>
      <c r="B39" s="316"/>
    </row>
    <row r="40" spans="1:2" ht="13.5" thickBot="1" x14ac:dyDescent="0.25">
      <c r="A40" s="318" t="s">
        <v>269</v>
      </c>
      <c r="B40" s="319"/>
    </row>
    <row r="41" spans="1:2" ht="26.25" thickBot="1" x14ac:dyDescent="0.25">
      <c r="A41" s="323" t="s">
        <v>270</v>
      </c>
      <c r="B41" s="316"/>
    </row>
    <row r="42" spans="1:2" ht="51.75" thickBot="1" x14ac:dyDescent="0.25">
      <c r="A42" s="324" t="s">
        <v>271</v>
      </c>
      <c r="B42" s="315"/>
    </row>
    <row r="43" spans="1:2" ht="26.25" thickBot="1" x14ac:dyDescent="0.25">
      <c r="A43" s="317" t="s">
        <v>272</v>
      </c>
      <c r="B43" s="319"/>
    </row>
    <row r="44" spans="1:2" ht="13.5" thickBot="1" x14ac:dyDescent="0.25">
      <c r="A44" s="318" t="s">
        <v>273</v>
      </c>
      <c r="B44" s="319"/>
    </row>
    <row r="45" spans="1:2" ht="13.5" thickBot="1" x14ac:dyDescent="0.25">
      <c r="A45" s="318" t="s">
        <v>274</v>
      </c>
      <c r="B45" s="396">
        <f>B30+B17+B15+B10</f>
        <v>15313185</v>
      </c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A485-785F-405B-ABC0-96F10FDE4764}">
  <dimension ref="A1:E51"/>
  <sheetViews>
    <sheetView topLeftCell="A4" zoomScaleNormal="100" zoomScaleSheetLayoutView="100" workbookViewId="0">
      <selection activeCell="I21" sqref="I21"/>
    </sheetView>
  </sheetViews>
  <sheetFormatPr defaultRowHeight="13.5" x14ac:dyDescent="0.25"/>
  <cols>
    <col min="1" max="1" width="5.42578125" style="278" customWidth="1"/>
    <col min="2" max="2" width="49.42578125" style="283" customWidth="1"/>
    <col min="3" max="4" width="13.5703125" style="282" customWidth="1"/>
    <col min="5" max="5" width="13.7109375" style="277" customWidth="1"/>
    <col min="6" max="249" width="8.85546875" style="277"/>
    <col min="250" max="250" width="7.140625" style="277" customWidth="1"/>
    <col min="251" max="251" width="39.42578125" style="277" customWidth="1"/>
    <col min="252" max="252" width="14" style="277" customWidth="1"/>
    <col min="253" max="253" width="16.140625" style="277" customWidth="1"/>
    <col min="254" max="505" width="8.85546875" style="277"/>
    <col min="506" max="506" width="7.140625" style="277" customWidth="1"/>
    <col min="507" max="507" width="39.42578125" style="277" customWidth="1"/>
    <col min="508" max="508" width="14" style="277" customWidth="1"/>
    <col min="509" max="509" width="16.140625" style="277" customWidth="1"/>
    <col min="510" max="761" width="8.85546875" style="277"/>
    <col min="762" max="762" width="7.140625" style="277" customWidth="1"/>
    <col min="763" max="763" width="39.42578125" style="277" customWidth="1"/>
    <col min="764" max="764" width="14" style="277" customWidth="1"/>
    <col min="765" max="765" width="16.140625" style="277" customWidth="1"/>
    <col min="766" max="1017" width="8.85546875" style="277"/>
    <col min="1018" max="1018" width="7.140625" style="277" customWidth="1"/>
    <col min="1019" max="1019" width="39.42578125" style="277" customWidth="1"/>
    <col min="1020" max="1020" width="14" style="277" customWidth="1"/>
    <col min="1021" max="1021" width="16.140625" style="277" customWidth="1"/>
    <col min="1022" max="1273" width="8.85546875" style="277"/>
    <col min="1274" max="1274" width="7.140625" style="277" customWidth="1"/>
    <col min="1275" max="1275" width="39.42578125" style="277" customWidth="1"/>
    <col min="1276" max="1276" width="14" style="277" customWidth="1"/>
    <col min="1277" max="1277" width="16.140625" style="277" customWidth="1"/>
    <col min="1278" max="1529" width="8.85546875" style="277"/>
    <col min="1530" max="1530" width="7.140625" style="277" customWidth="1"/>
    <col min="1531" max="1531" width="39.42578125" style="277" customWidth="1"/>
    <col min="1532" max="1532" width="14" style="277" customWidth="1"/>
    <col min="1533" max="1533" width="16.140625" style="277" customWidth="1"/>
    <col min="1534" max="1785" width="8.85546875" style="277"/>
    <col min="1786" max="1786" width="7.140625" style="277" customWidth="1"/>
    <col min="1787" max="1787" width="39.42578125" style="277" customWidth="1"/>
    <col min="1788" max="1788" width="14" style="277" customWidth="1"/>
    <col min="1789" max="1789" width="16.140625" style="277" customWidth="1"/>
    <col min="1790" max="2041" width="8.85546875" style="277"/>
    <col min="2042" max="2042" width="7.140625" style="277" customWidth="1"/>
    <col min="2043" max="2043" width="39.42578125" style="277" customWidth="1"/>
    <col min="2044" max="2044" width="14" style="277" customWidth="1"/>
    <col min="2045" max="2045" width="16.140625" style="277" customWidth="1"/>
    <col min="2046" max="2297" width="8.85546875" style="277"/>
    <col min="2298" max="2298" width="7.140625" style="277" customWidth="1"/>
    <col min="2299" max="2299" width="39.42578125" style="277" customWidth="1"/>
    <col min="2300" max="2300" width="14" style="277" customWidth="1"/>
    <col min="2301" max="2301" width="16.140625" style="277" customWidth="1"/>
    <col min="2302" max="2553" width="8.85546875" style="277"/>
    <col min="2554" max="2554" width="7.140625" style="277" customWidth="1"/>
    <col min="2555" max="2555" width="39.42578125" style="277" customWidth="1"/>
    <col min="2556" max="2556" width="14" style="277" customWidth="1"/>
    <col min="2557" max="2557" width="16.140625" style="277" customWidth="1"/>
    <col min="2558" max="2809" width="8.85546875" style="277"/>
    <col min="2810" max="2810" width="7.140625" style="277" customWidth="1"/>
    <col min="2811" max="2811" width="39.42578125" style="277" customWidth="1"/>
    <col min="2812" max="2812" width="14" style="277" customWidth="1"/>
    <col min="2813" max="2813" width="16.140625" style="277" customWidth="1"/>
    <col min="2814" max="3065" width="8.85546875" style="277"/>
    <col min="3066" max="3066" width="7.140625" style="277" customWidth="1"/>
    <col min="3067" max="3067" width="39.42578125" style="277" customWidth="1"/>
    <col min="3068" max="3068" width="14" style="277" customWidth="1"/>
    <col min="3069" max="3069" width="16.140625" style="277" customWidth="1"/>
    <col min="3070" max="3321" width="8.85546875" style="277"/>
    <col min="3322" max="3322" width="7.140625" style="277" customWidth="1"/>
    <col min="3323" max="3323" width="39.42578125" style="277" customWidth="1"/>
    <col min="3324" max="3324" width="14" style="277" customWidth="1"/>
    <col min="3325" max="3325" width="16.140625" style="277" customWidth="1"/>
    <col min="3326" max="3577" width="8.85546875" style="277"/>
    <col min="3578" max="3578" width="7.140625" style="277" customWidth="1"/>
    <col min="3579" max="3579" width="39.42578125" style="277" customWidth="1"/>
    <col min="3580" max="3580" width="14" style="277" customWidth="1"/>
    <col min="3581" max="3581" width="16.140625" style="277" customWidth="1"/>
    <col min="3582" max="3833" width="8.85546875" style="277"/>
    <col min="3834" max="3834" width="7.140625" style="277" customWidth="1"/>
    <col min="3835" max="3835" width="39.42578125" style="277" customWidth="1"/>
    <col min="3836" max="3836" width="14" style="277" customWidth="1"/>
    <col min="3837" max="3837" width="16.140625" style="277" customWidth="1"/>
    <col min="3838" max="4089" width="8.85546875" style="277"/>
    <col min="4090" max="4090" width="7.140625" style="277" customWidth="1"/>
    <col min="4091" max="4091" width="39.42578125" style="277" customWidth="1"/>
    <col min="4092" max="4092" width="14" style="277" customWidth="1"/>
    <col min="4093" max="4093" width="16.140625" style="277" customWidth="1"/>
    <col min="4094" max="4345" width="8.85546875" style="277"/>
    <col min="4346" max="4346" width="7.140625" style="277" customWidth="1"/>
    <col min="4347" max="4347" width="39.42578125" style="277" customWidth="1"/>
    <col min="4348" max="4348" width="14" style="277" customWidth="1"/>
    <col min="4349" max="4349" width="16.140625" style="277" customWidth="1"/>
    <col min="4350" max="4601" width="8.85546875" style="277"/>
    <col min="4602" max="4602" width="7.140625" style="277" customWidth="1"/>
    <col min="4603" max="4603" width="39.42578125" style="277" customWidth="1"/>
    <col min="4604" max="4604" width="14" style="277" customWidth="1"/>
    <col min="4605" max="4605" width="16.140625" style="277" customWidth="1"/>
    <col min="4606" max="4857" width="8.85546875" style="277"/>
    <col min="4858" max="4858" width="7.140625" style="277" customWidth="1"/>
    <col min="4859" max="4859" width="39.42578125" style="277" customWidth="1"/>
    <col min="4860" max="4860" width="14" style="277" customWidth="1"/>
    <col min="4861" max="4861" width="16.140625" style="277" customWidth="1"/>
    <col min="4862" max="5113" width="8.85546875" style="277"/>
    <col min="5114" max="5114" width="7.140625" style="277" customWidth="1"/>
    <col min="5115" max="5115" width="39.42578125" style="277" customWidth="1"/>
    <col min="5116" max="5116" width="14" style="277" customWidth="1"/>
    <col min="5117" max="5117" width="16.140625" style="277" customWidth="1"/>
    <col min="5118" max="5369" width="8.85546875" style="277"/>
    <col min="5370" max="5370" width="7.140625" style="277" customWidth="1"/>
    <col min="5371" max="5371" width="39.42578125" style="277" customWidth="1"/>
    <col min="5372" max="5372" width="14" style="277" customWidth="1"/>
    <col min="5373" max="5373" width="16.140625" style="277" customWidth="1"/>
    <col min="5374" max="5625" width="8.85546875" style="277"/>
    <col min="5626" max="5626" width="7.140625" style="277" customWidth="1"/>
    <col min="5627" max="5627" width="39.42578125" style="277" customWidth="1"/>
    <col min="5628" max="5628" width="14" style="277" customWidth="1"/>
    <col min="5629" max="5629" width="16.140625" style="277" customWidth="1"/>
    <col min="5630" max="5881" width="8.85546875" style="277"/>
    <col min="5882" max="5882" width="7.140625" style="277" customWidth="1"/>
    <col min="5883" max="5883" width="39.42578125" style="277" customWidth="1"/>
    <col min="5884" max="5884" width="14" style="277" customWidth="1"/>
    <col min="5885" max="5885" width="16.140625" style="277" customWidth="1"/>
    <col min="5886" max="6137" width="8.85546875" style="277"/>
    <col min="6138" max="6138" width="7.140625" style="277" customWidth="1"/>
    <col min="6139" max="6139" width="39.42578125" style="277" customWidth="1"/>
    <col min="6140" max="6140" width="14" style="277" customWidth="1"/>
    <col min="6141" max="6141" width="16.140625" style="277" customWidth="1"/>
    <col min="6142" max="6393" width="8.85546875" style="277"/>
    <col min="6394" max="6394" width="7.140625" style="277" customWidth="1"/>
    <col min="6395" max="6395" width="39.42578125" style="277" customWidth="1"/>
    <col min="6396" max="6396" width="14" style="277" customWidth="1"/>
    <col min="6397" max="6397" width="16.140625" style="277" customWidth="1"/>
    <col min="6398" max="6649" width="8.85546875" style="277"/>
    <col min="6650" max="6650" width="7.140625" style="277" customWidth="1"/>
    <col min="6651" max="6651" width="39.42578125" style="277" customWidth="1"/>
    <col min="6652" max="6652" width="14" style="277" customWidth="1"/>
    <col min="6653" max="6653" width="16.140625" style="277" customWidth="1"/>
    <col min="6654" max="6905" width="8.85546875" style="277"/>
    <col min="6906" max="6906" width="7.140625" style="277" customWidth="1"/>
    <col min="6907" max="6907" width="39.42578125" style="277" customWidth="1"/>
    <col min="6908" max="6908" width="14" style="277" customWidth="1"/>
    <col min="6909" max="6909" width="16.140625" style="277" customWidth="1"/>
    <col min="6910" max="7161" width="8.85546875" style="277"/>
    <col min="7162" max="7162" width="7.140625" style="277" customWidth="1"/>
    <col min="7163" max="7163" width="39.42578125" style="277" customWidth="1"/>
    <col min="7164" max="7164" width="14" style="277" customWidth="1"/>
    <col min="7165" max="7165" width="16.140625" style="277" customWidth="1"/>
    <col min="7166" max="7417" width="8.85546875" style="277"/>
    <col min="7418" max="7418" width="7.140625" style="277" customWidth="1"/>
    <col min="7419" max="7419" width="39.42578125" style="277" customWidth="1"/>
    <col min="7420" max="7420" width="14" style="277" customWidth="1"/>
    <col min="7421" max="7421" width="16.140625" style="277" customWidth="1"/>
    <col min="7422" max="7673" width="8.85546875" style="277"/>
    <col min="7674" max="7674" width="7.140625" style="277" customWidth="1"/>
    <col min="7675" max="7675" width="39.42578125" style="277" customWidth="1"/>
    <col min="7676" max="7676" width="14" style="277" customWidth="1"/>
    <col min="7677" max="7677" width="16.140625" style="277" customWidth="1"/>
    <col min="7678" max="7929" width="8.85546875" style="277"/>
    <col min="7930" max="7930" width="7.140625" style="277" customWidth="1"/>
    <col min="7931" max="7931" width="39.42578125" style="277" customWidth="1"/>
    <col min="7932" max="7932" width="14" style="277" customWidth="1"/>
    <col min="7933" max="7933" width="16.140625" style="277" customWidth="1"/>
    <col min="7934" max="8185" width="8.85546875" style="277"/>
    <col min="8186" max="8186" width="7.140625" style="277" customWidth="1"/>
    <col min="8187" max="8187" width="39.42578125" style="277" customWidth="1"/>
    <col min="8188" max="8188" width="14" style="277" customWidth="1"/>
    <col min="8189" max="8189" width="16.140625" style="277" customWidth="1"/>
    <col min="8190" max="8441" width="8.85546875" style="277"/>
    <col min="8442" max="8442" width="7.140625" style="277" customWidth="1"/>
    <col min="8443" max="8443" width="39.42578125" style="277" customWidth="1"/>
    <col min="8444" max="8444" width="14" style="277" customWidth="1"/>
    <col min="8445" max="8445" width="16.140625" style="277" customWidth="1"/>
    <col min="8446" max="8697" width="8.85546875" style="277"/>
    <col min="8698" max="8698" width="7.140625" style="277" customWidth="1"/>
    <col min="8699" max="8699" width="39.42578125" style="277" customWidth="1"/>
    <col min="8700" max="8700" width="14" style="277" customWidth="1"/>
    <col min="8701" max="8701" width="16.140625" style="277" customWidth="1"/>
    <col min="8702" max="8953" width="8.85546875" style="277"/>
    <col min="8954" max="8954" width="7.140625" style="277" customWidth="1"/>
    <col min="8955" max="8955" width="39.42578125" style="277" customWidth="1"/>
    <col min="8956" max="8956" width="14" style="277" customWidth="1"/>
    <col min="8957" max="8957" width="16.140625" style="277" customWidth="1"/>
    <col min="8958" max="9209" width="8.85546875" style="277"/>
    <col min="9210" max="9210" width="7.140625" style="277" customWidth="1"/>
    <col min="9211" max="9211" width="39.42578125" style="277" customWidth="1"/>
    <col min="9212" max="9212" width="14" style="277" customWidth="1"/>
    <col min="9213" max="9213" width="16.140625" style="277" customWidth="1"/>
    <col min="9214" max="9465" width="8.85546875" style="277"/>
    <col min="9466" max="9466" width="7.140625" style="277" customWidth="1"/>
    <col min="9467" max="9467" width="39.42578125" style="277" customWidth="1"/>
    <col min="9468" max="9468" width="14" style="277" customWidth="1"/>
    <col min="9469" max="9469" width="16.140625" style="277" customWidth="1"/>
    <col min="9470" max="9721" width="8.85546875" style="277"/>
    <col min="9722" max="9722" width="7.140625" style="277" customWidth="1"/>
    <col min="9723" max="9723" width="39.42578125" style="277" customWidth="1"/>
    <col min="9724" max="9724" width="14" style="277" customWidth="1"/>
    <col min="9725" max="9725" width="16.140625" style="277" customWidth="1"/>
    <col min="9726" max="9977" width="8.85546875" style="277"/>
    <col min="9978" max="9978" width="7.140625" style="277" customWidth="1"/>
    <col min="9979" max="9979" width="39.42578125" style="277" customWidth="1"/>
    <col min="9980" max="9980" width="14" style="277" customWidth="1"/>
    <col min="9981" max="9981" width="16.140625" style="277" customWidth="1"/>
    <col min="9982" max="10233" width="8.85546875" style="277"/>
    <col min="10234" max="10234" width="7.140625" style="277" customWidth="1"/>
    <col min="10235" max="10235" width="39.42578125" style="277" customWidth="1"/>
    <col min="10236" max="10236" width="14" style="277" customWidth="1"/>
    <col min="10237" max="10237" width="16.140625" style="277" customWidth="1"/>
    <col min="10238" max="10489" width="8.85546875" style="277"/>
    <col min="10490" max="10490" width="7.140625" style="277" customWidth="1"/>
    <col min="10491" max="10491" width="39.42578125" style="277" customWidth="1"/>
    <col min="10492" max="10492" width="14" style="277" customWidth="1"/>
    <col min="10493" max="10493" width="16.140625" style="277" customWidth="1"/>
    <col min="10494" max="10745" width="8.85546875" style="277"/>
    <col min="10746" max="10746" width="7.140625" style="277" customWidth="1"/>
    <col min="10747" max="10747" width="39.42578125" style="277" customWidth="1"/>
    <col min="10748" max="10748" width="14" style="277" customWidth="1"/>
    <col min="10749" max="10749" width="16.140625" style="277" customWidth="1"/>
    <col min="10750" max="11001" width="8.85546875" style="277"/>
    <col min="11002" max="11002" width="7.140625" style="277" customWidth="1"/>
    <col min="11003" max="11003" width="39.42578125" style="277" customWidth="1"/>
    <col min="11004" max="11004" width="14" style="277" customWidth="1"/>
    <col min="11005" max="11005" width="16.140625" style="277" customWidth="1"/>
    <col min="11006" max="11257" width="8.85546875" style="277"/>
    <col min="11258" max="11258" width="7.140625" style="277" customWidth="1"/>
    <col min="11259" max="11259" width="39.42578125" style="277" customWidth="1"/>
    <col min="11260" max="11260" width="14" style="277" customWidth="1"/>
    <col min="11261" max="11261" width="16.140625" style="277" customWidth="1"/>
    <col min="11262" max="11513" width="8.85546875" style="277"/>
    <col min="11514" max="11514" width="7.140625" style="277" customWidth="1"/>
    <col min="11515" max="11515" width="39.42578125" style="277" customWidth="1"/>
    <col min="11516" max="11516" width="14" style="277" customWidth="1"/>
    <col min="11517" max="11517" width="16.140625" style="277" customWidth="1"/>
    <col min="11518" max="11769" width="8.85546875" style="277"/>
    <col min="11770" max="11770" width="7.140625" style="277" customWidth="1"/>
    <col min="11771" max="11771" width="39.42578125" style="277" customWidth="1"/>
    <col min="11772" max="11772" width="14" style="277" customWidth="1"/>
    <col min="11773" max="11773" width="16.140625" style="277" customWidth="1"/>
    <col min="11774" max="12025" width="8.85546875" style="277"/>
    <col min="12026" max="12026" width="7.140625" style="277" customWidth="1"/>
    <col min="12027" max="12027" width="39.42578125" style="277" customWidth="1"/>
    <col min="12028" max="12028" width="14" style="277" customWidth="1"/>
    <col min="12029" max="12029" width="16.140625" style="277" customWidth="1"/>
    <col min="12030" max="12281" width="8.85546875" style="277"/>
    <col min="12282" max="12282" width="7.140625" style="277" customWidth="1"/>
    <col min="12283" max="12283" width="39.42578125" style="277" customWidth="1"/>
    <col min="12284" max="12284" width="14" style="277" customWidth="1"/>
    <col min="12285" max="12285" width="16.140625" style="277" customWidth="1"/>
    <col min="12286" max="12537" width="8.85546875" style="277"/>
    <col min="12538" max="12538" width="7.140625" style="277" customWidth="1"/>
    <col min="12539" max="12539" width="39.42578125" style="277" customWidth="1"/>
    <col min="12540" max="12540" width="14" style="277" customWidth="1"/>
    <col min="12541" max="12541" width="16.140625" style="277" customWidth="1"/>
    <col min="12542" max="12793" width="8.85546875" style="277"/>
    <col min="12794" max="12794" width="7.140625" style="277" customWidth="1"/>
    <col min="12795" max="12795" width="39.42578125" style="277" customWidth="1"/>
    <col min="12796" max="12796" width="14" style="277" customWidth="1"/>
    <col min="12797" max="12797" width="16.140625" style="277" customWidth="1"/>
    <col min="12798" max="13049" width="8.85546875" style="277"/>
    <col min="13050" max="13050" width="7.140625" style="277" customWidth="1"/>
    <col min="13051" max="13051" width="39.42578125" style="277" customWidth="1"/>
    <col min="13052" max="13052" width="14" style="277" customWidth="1"/>
    <col min="13053" max="13053" width="16.140625" style="277" customWidth="1"/>
    <col min="13054" max="13305" width="8.85546875" style="277"/>
    <col min="13306" max="13306" width="7.140625" style="277" customWidth="1"/>
    <col min="13307" max="13307" width="39.42578125" style="277" customWidth="1"/>
    <col min="13308" max="13308" width="14" style="277" customWidth="1"/>
    <col min="13309" max="13309" width="16.140625" style="277" customWidth="1"/>
    <col min="13310" max="13561" width="8.85546875" style="277"/>
    <col min="13562" max="13562" width="7.140625" style="277" customWidth="1"/>
    <col min="13563" max="13563" width="39.42578125" style="277" customWidth="1"/>
    <col min="13564" max="13564" width="14" style="277" customWidth="1"/>
    <col min="13565" max="13565" width="16.140625" style="277" customWidth="1"/>
    <col min="13566" max="13817" width="8.85546875" style="277"/>
    <col min="13818" max="13818" width="7.140625" style="277" customWidth="1"/>
    <col min="13819" max="13819" width="39.42578125" style="277" customWidth="1"/>
    <col min="13820" max="13820" width="14" style="277" customWidth="1"/>
    <col min="13821" max="13821" width="16.140625" style="277" customWidth="1"/>
    <col min="13822" max="14073" width="8.85546875" style="277"/>
    <col min="14074" max="14074" width="7.140625" style="277" customWidth="1"/>
    <col min="14075" max="14075" width="39.42578125" style="277" customWidth="1"/>
    <col min="14076" max="14076" width="14" style="277" customWidth="1"/>
    <col min="14077" max="14077" width="16.140625" style="277" customWidth="1"/>
    <col min="14078" max="14329" width="8.85546875" style="277"/>
    <col min="14330" max="14330" width="7.140625" style="277" customWidth="1"/>
    <col min="14331" max="14331" width="39.42578125" style="277" customWidth="1"/>
    <col min="14332" max="14332" width="14" style="277" customWidth="1"/>
    <col min="14333" max="14333" width="16.140625" style="277" customWidth="1"/>
    <col min="14334" max="14585" width="8.85546875" style="277"/>
    <col min="14586" max="14586" width="7.140625" style="277" customWidth="1"/>
    <col min="14587" max="14587" width="39.42578125" style="277" customWidth="1"/>
    <col min="14588" max="14588" width="14" style="277" customWidth="1"/>
    <col min="14589" max="14589" width="16.140625" style="277" customWidth="1"/>
    <col min="14590" max="14841" width="8.85546875" style="277"/>
    <col min="14842" max="14842" width="7.140625" style="277" customWidth="1"/>
    <col min="14843" max="14843" width="39.42578125" style="277" customWidth="1"/>
    <col min="14844" max="14844" width="14" style="277" customWidth="1"/>
    <col min="14845" max="14845" width="16.140625" style="277" customWidth="1"/>
    <col min="14846" max="15097" width="8.85546875" style="277"/>
    <col min="15098" max="15098" width="7.140625" style="277" customWidth="1"/>
    <col min="15099" max="15099" width="39.42578125" style="277" customWidth="1"/>
    <col min="15100" max="15100" width="14" style="277" customWidth="1"/>
    <col min="15101" max="15101" width="16.140625" style="277" customWidth="1"/>
    <col min="15102" max="15353" width="8.85546875" style="277"/>
    <col min="15354" max="15354" width="7.140625" style="277" customWidth="1"/>
    <col min="15355" max="15355" width="39.42578125" style="277" customWidth="1"/>
    <col min="15356" max="15356" width="14" style="277" customWidth="1"/>
    <col min="15357" max="15357" width="16.140625" style="277" customWidth="1"/>
    <col min="15358" max="15609" width="8.85546875" style="277"/>
    <col min="15610" max="15610" width="7.140625" style="277" customWidth="1"/>
    <col min="15611" max="15611" width="39.42578125" style="277" customWidth="1"/>
    <col min="15612" max="15612" width="14" style="277" customWidth="1"/>
    <col min="15613" max="15613" width="16.140625" style="277" customWidth="1"/>
    <col min="15614" max="15865" width="8.85546875" style="277"/>
    <col min="15866" max="15866" width="7.140625" style="277" customWidth="1"/>
    <col min="15867" max="15867" width="39.42578125" style="277" customWidth="1"/>
    <col min="15868" max="15868" width="14" style="277" customWidth="1"/>
    <col min="15869" max="15869" width="16.140625" style="277" customWidth="1"/>
    <col min="15870" max="16121" width="8.85546875" style="277"/>
    <col min="16122" max="16122" width="7.140625" style="277" customWidth="1"/>
    <col min="16123" max="16123" width="39.42578125" style="277" customWidth="1"/>
    <col min="16124" max="16124" width="14" style="277" customWidth="1"/>
    <col min="16125" max="16125" width="16.140625" style="277" customWidth="1"/>
    <col min="16126" max="16384" width="8.85546875" style="277"/>
  </cols>
  <sheetData>
    <row r="1" spans="1:5" ht="12.75" customHeight="1" x14ac:dyDescent="0.25">
      <c r="A1" s="802" t="s">
        <v>338</v>
      </c>
      <c r="B1" s="802"/>
      <c r="C1" s="802"/>
      <c r="D1" s="276"/>
    </row>
    <row r="2" spans="1:5" x14ac:dyDescent="0.25">
      <c r="B2" s="279"/>
      <c r="C2" s="276"/>
      <c r="D2" s="276"/>
    </row>
    <row r="3" spans="1:5" x14ac:dyDescent="0.25">
      <c r="B3" s="846" t="s">
        <v>218</v>
      </c>
      <c r="C3" s="847"/>
      <c r="D3" s="847"/>
      <c r="E3" s="847"/>
    </row>
    <row r="4" spans="1:5" ht="24" customHeight="1" x14ac:dyDescent="0.2">
      <c r="A4" s="848" t="s">
        <v>344</v>
      </c>
      <c r="B4" s="848"/>
      <c r="C4" s="848"/>
      <c r="D4" s="848"/>
      <c r="E4" s="848"/>
    </row>
    <row r="5" spans="1:5" ht="12.75" x14ac:dyDescent="0.2">
      <c r="A5" s="848"/>
      <c r="B5" s="848"/>
      <c r="C5" s="848"/>
      <c r="D5" s="848"/>
      <c r="E5" s="848"/>
    </row>
    <row r="7" spans="1:5" ht="27" x14ac:dyDescent="0.2">
      <c r="A7" s="653" t="s">
        <v>153</v>
      </c>
      <c r="B7" s="653" t="s">
        <v>179</v>
      </c>
      <c r="C7" s="654" t="s">
        <v>370</v>
      </c>
      <c r="D7" s="654" t="s">
        <v>371</v>
      </c>
      <c r="E7" s="655" t="s">
        <v>372</v>
      </c>
    </row>
    <row r="8" spans="1:5" x14ac:dyDescent="0.25">
      <c r="B8" s="280" t="s">
        <v>219</v>
      </c>
      <c r="C8" s="281"/>
      <c r="D8" s="281"/>
      <c r="E8" s="282"/>
    </row>
    <row r="9" spans="1:5" x14ac:dyDescent="0.25">
      <c r="B9" s="326" t="s">
        <v>220</v>
      </c>
      <c r="C9" s="282">
        <v>47296316</v>
      </c>
      <c r="D9" s="282">
        <v>47296316</v>
      </c>
      <c r="E9" s="282">
        <f>D9-C9</f>
        <v>0</v>
      </c>
    </row>
    <row r="10" spans="1:5" x14ac:dyDescent="0.25">
      <c r="B10" s="326" t="s">
        <v>221</v>
      </c>
      <c r="C10" s="282">
        <v>0</v>
      </c>
      <c r="D10" s="282">
        <v>0</v>
      </c>
      <c r="E10" s="282">
        <f t="shared" ref="E10:E13" si="0">D10-C10</f>
        <v>0</v>
      </c>
    </row>
    <row r="11" spans="1:5" x14ac:dyDescent="0.25">
      <c r="B11" s="326" t="s">
        <v>222</v>
      </c>
      <c r="E11" s="282">
        <f t="shared" si="0"/>
        <v>0</v>
      </c>
    </row>
    <row r="12" spans="1:5" x14ac:dyDescent="0.25">
      <c r="B12" s="326" t="s">
        <v>223</v>
      </c>
      <c r="C12" s="282">
        <f>C20-C9-C10-C11</f>
        <v>0</v>
      </c>
      <c r="D12" s="282">
        <f>D20-D9-D10-D11</f>
        <v>50058401</v>
      </c>
      <c r="E12" s="282">
        <f t="shared" si="0"/>
        <v>50058401</v>
      </c>
    </row>
    <row r="13" spans="1:5" x14ac:dyDescent="0.25">
      <c r="B13" s="284" t="s">
        <v>157</v>
      </c>
      <c r="C13" s="328">
        <f>SUM(C9:C12)</f>
        <v>47296316</v>
      </c>
      <c r="D13" s="328">
        <f>SUM(D9:D12)</f>
        <v>97354717</v>
      </c>
      <c r="E13" s="328">
        <f t="shared" si="0"/>
        <v>50058401</v>
      </c>
    </row>
    <row r="14" spans="1:5" ht="9.75" customHeight="1" x14ac:dyDescent="0.25">
      <c r="B14" s="277"/>
      <c r="E14" s="282"/>
    </row>
    <row r="15" spans="1:5" x14ac:dyDescent="0.25">
      <c r="B15" s="280" t="s">
        <v>224</v>
      </c>
      <c r="C15" s="281"/>
      <c r="D15" s="281"/>
      <c r="E15" s="282"/>
    </row>
    <row r="16" spans="1:5" x14ac:dyDescent="0.25">
      <c r="B16" s="326" t="s">
        <v>4</v>
      </c>
      <c r="C16" s="282">
        <v>47296316</v>
      </c>
      <c r="D16" s="282">
        <v>76463557</v>
      </c>
      <c r="E16" s="282">
        <f t="shared" ref="E16:E20" si="1">D16-C16</f>
        <v>29167241</v>
      </c>
    </row>
    <row r="17" spans="1:5" ht="15" customHeight="1" x14ac:dyDescent="0.25">
      <c r="B17" s="326" t="s">
        <v>3</v>
      </c>
      <c r="E17" s="282">
        <f t="shared" si="1"/>
        <v>0</v>
      </c>
    </row>
    <row r="18" spans="1:5" x14ac:dyDescent="0.25">
      <c r="B18" s="326" t="s">
        <v>0</v>
      </c>
      <c r="D18" s="282">
        <v>20891160</v>
      </c>
      <c r="E18" s="282">
        <f t="shared" si="1"/>
        <v>20891160</v>
      </c>
    </row>
    <row r="19" spans="1:5" x14ac:dyDescent="0.25">
      <c r="B19" s="326" t="s">
        <v>225</v>
      </c>
      <c r="E19" s="282">
        <f t="shared" si="1"/>
        <v>0</v>
      </c>
    </row>
    <row r="20" spans="1:5" x14ac:dyDescent="0.25">
      <c r="B20" s="284" t="s">
        <v>157</v>
      </c>
      <c r="C20" s="328">
        <f>SUM(C16:C19)</f>
        <v>47296316</v>
      </c>
      <c r="D20" s="328">
        <f>SUM(D16:D19)</f>
        <v>97354717</v>
      </c>
      <c r="E20" s="329">
        <f t="shared" si="1"/>
        <v>50058401</v>
      </c>
    </row>
    <row r="21" spans="1:5" ht="25.15" customHeight="1" x14ac:dyDescent="0.25">
      <c r="B21" s="280"/>
      <c r="C21" s="281"/>
      <c r="D21" s="281"/>
      <c r="E21" s="282"/>
    </row>
    <row r="22" spans="1:5" ht="25.5" x14ac:dyDescent="0.2">
      <c r="A22" s="653" t="s">
        <v>154</v>
      </c>
      <c r="B22" s="656" t="s">
        <v>180</v>
      </c>
      <c r="C22" s="654" t="s">
        <v>370</v>
      </c>
      <c r="D22" s="654" t="s">
        <v>371</v>
      </c>
      <c r="E22" s="655" t="s">
        <v>157</v>
      </c>
    </row>
    <row r="23" spans="1:5" x14ac:dyDescent="0.25">
      <c r="B23" s="280" t="s">
        <v>219</v>
      </c>
      <c r="C23" s="281"/>
      <c r="D23" s="281"/>
      <c r="E23" s="282"/>
    </row>
    <row r="24" spans="1:5" x14ac:dyDescent="0.25">
      <c r="B24" s="326" t="s">
        <v>220</v>
      </c>
      <c r="C24" s="282">
        <v>83640130</v>
      </c>
      <c r="D24" s="282">
        <v>83640130</v>
      </c>
      <c r="E24" s="282">
        <f t="shared" ref="E24:E28" si="2">D24-C24</f>
        <v>0</v>
      </c>
    </row>
    <row r="25" spans="1:5" x14ac:dyDescent="0.25">
      <c r="B25" s="326" t="s">
        <v>221</v>
      </c>
      <c r="C25" s="282">
        <v>0</v>
      </c>
      <c r="D25" s="282">
        <v>0</v>
      </c>
      <c r="E25" s="282">
        <f t="shared" si="2"/>
        <v>0</v>
      </c>
    </row>
    <row r="26" spans="1:5" x14ac:dyDescent="0.25">
      <c r="B26" s="326" t="s">
        <v>222</v>
      </c>
      <c r="E26" s="282">
        <f t="shared" si="2"/>
        <v>0</v>
      </c>
    </row>
    <row r="27" spans="1:5" x14ac:dyDescent="0.25">
      <c r="B27" s="326" t="s">
        <v>223</v>
      </c>
      <c r="C27" s="282">
        <v>0</v>
      </c>
      <c r="D27" s="282">
        <f>D35-D24-D25-D26</f>
        <v>25921046</v>
      </c>
      <c r="E27" s="282">
        <f t="shared" si="2"/>
        <v>25921046</v>
      </c>
    </row>
    <row r="28" spans="1:5" x14ac:dyDescent="0.25">
      <c r="B28" s="284" t="s">
        <v>157</v>
      </c>
      <c r="C28" s="328">
        <f>SUM(C24:C27)</f>
        <v>83640130</v>
      </c>
      <c r="D28" s="328">
        <f>SUM(D24:D27)</f>
        <v>109561176</v>
      </c>
      <c r="E28" s="328">
        <f t="shared" si="2"/>
        <v>25921046</v>
      </c>
    </row>
    <row r="29" spans="1:5" ht="9.75" customHeight="1" x14ac:dyDescent="0.25">
      <c r="B29" s="277"/>
      <c r="E29" s="282"/>
    </row>
    <row r="30" spans="1:5" x14ac:dyDescent="0.25">
      <c r="B30" s="280" t="s">
        <v>224</v>
      </c>
      <c r="C30" s="281"/>
      <c r="D30" s="281"/>
      <c r="E30" s="282"/>
    </row>
    <row r="31" spans="1:5" x14ac:dyDescent="0.25">
      <c r="B31" s="326" t="s">
        <v>4</v>
      </c>
      <c r="C31" s="282">
        <v>83640130</v>
      </c>
      <c r="D31" s="282">
        <v>108696306</v>
      </c>
      <c r="E31" s="282">
        <f t="shared" ref="E31:E35" si="3">D31-C31</f>
        <v>25056176</v>
      </c>
    </row>
    <row r="32" spans="1:5" ht="15" customHeight="1" x14ac:dyDescent="0.25">
      <c r="B32" s="326" t="s">
        <v>3</v>
      </c>
      <c r="E32" s="282">
        <f t="shared" si="3"/>
        <v>0</v>
      </c>
    </row>
    <row r="33" spans="1:5" x14ac:dyDescent="0.25">
      <c r="B33" s="326" t="s">
        <v>0</v>
      </c>
      <c r="D33" s="282">
        <v>864870</v>
      </c>
      <c r="E33" s="282">
        <f t="shared" si="3"/>
        <v>864870</v>
      </c>
    </row>
    <row r="34" spans="1:5" x14ac:dyDescent="0.25">
      <c r="B34" s="326" t="s">
        <v>225</v>
      </c>
      <c r="E34" s="282">
        <f t="shared" si="3"/>
        <v>0</v>
      </c>
    </row>
    <row r="35" spans="1:5" x14ac:dyDescent="0.25">
      <c r="B35" s="284" t="s">
        <v>157</v>
      </c>
      <c r="C35" s="328">
        <f>SUM(C31:C34)</f>
        <v>83640130</v>
      </c>
      <c r="D35" s="328">
        <f>SUM(D31:D34)</f>
        <v>109561176</v>
      </c>
      <c r="E35" s="329">
        <f t="shared" si="3"/>
        <v>25921046</v>
      </c>
    </row>
    <row r="36" spans="1:5" ht="26.45" customHeight="1" x14ac:dyDescent="0.25">
      <c r="B36" s="280"/>
      <c r="C36" s="281"/>
      <c r="D36" s="281"/>
      <c r="E36" s="282"/>
    </row>
    <row r="37" spans="1:5" ht="25.5" x14ac:dyDescent="0.2">
      <c r="A37" s="657" t="s">
        <v>155</v>
      </c>
      <c r="B37" s="658" t="s">
        <v>181</v>
      </c>
      <c r="C37" s="654" t="s">
        <v>370</v>
      </c>
      <c r="D37" s="654" t="s">
        <v>371</v>
      </c>
      <c r="E37" s="655" t="s">
        <v>157</v>
      </c>
    </row>
    <row r="38" spans="1:5" x14ac:dyDescent="0.25">
      <c r="B38" s="280" t="s">
        <v>219</v>
      </c>
      <c r="C38" s="281"/>
      <c r="D38" s="281"/>
      <c r="E38" s="282"/>
    </row>
    <row r="39" spans="1:5" x14ac:dyDescent="0.25">
      <c r="B39" s="326" t="s">
        <v>220</v>
      </c>
      <c r="C39" s="234">
        <v>114754852</v>
      </c>
      <c r="D39" s="234">
        <v>114754852</v>
      </c>
      <c r="E39" s="282">
        <f t="shared" ref="E39:E43" si="4">D39-C39</f>
        <v>0</v>
      </c>
    </row>
    <row r="40" spans="1:5" x14ac:dyDescent="0.25">
      <c r="B40" s="326" t="s">
        <v>221</v>
      </c>
      <c r="C40" s="282">
        <v>0</v>
      </c>
      <c r="D40" s="282">
        <v>0</v>
      </c>
      <c r="E40" s="282">
        <f t="shared" si="4"/>
        <v>0</v>
      </c>
    </row>
    <row r="41" spans="1:5" x14ac:dyDescent="0.25">
      <c r="B41" s="326" t="s">
        <v>222</v>
      </c>
      <c r="E41" s="282">
        <f t="shared" si="4"/>
        <v>0</v>
      </c>
    </row>
    <row r="42" spans="1:5" x14ac:dyDescent="0.25">
      <c r="B42" s="326" t="s">
        <v>223</v>
      </c>
      <c r="C42" s="282">
        <v>0</v>
      </c>
      <c r="D42" s="282">
        <f>D50-D39-D40-D41</f>
        <v>18881519</v>
      </c>
      <c r="E42" s="282">
        <f t="shared" si="4"/>
        <v>18881519</v>
      </c>
    </row>
    <row r="43" spans="1:5" x14ac:dyDescent="0.25">
      <c r="B43" s="284" t="s">
        <v>157</v>
      </c>
      <c r="C43" s="328">
        <f>SUM(C39:C42)</f>
        <v>114754852</v>
      </c>
      <c r="D43" s="328">
        <f>SUM(D39:D42)</f>
        <v>133636371</v>
      </c>
      <c r="E43" s="328">
        <f t="shared" si="4"/>
        <v>18881519</v>
      </c>
    </row>
    <row r="44" spans="1:5" ht="9.75" customHeight="1" x14ac:dyDescent="0.25">
      <c r="B44" s="277"/>
      <c r="E44" s="282"/>
    </row>
    <row r="45" spans="1:5" x14ac:dyDescent="0.25">
      <c r="B45" s="280" t="s">
        <v>224</v>
      </c>
      <c r="C45" s="281"/>
      <c r="D45" s="281"/>
      <c r="E45" s="282"/>
    </row>
    <row r="46" spans="1:5" x14ac:dyDescent="0.25">
      <c r="B46" s="327" t="s">
        <v>4</v>
      </c>
      <c r="C46" s="234">
        <v>114754852</v>
      </c>
      <c r="D46" s="234">
        <v>104797930</v>
      </c>
      <c r="E46" s="282">
        <f t="shared" ref="E46:E50" si="5">D46-C46</f>
        <v>-9956922</v>
      </c>
    </row>
    <row r="47" spans="1:5" ht="15" customHeight="1" x14ac:dyDescent="0.25">
      <c r="B47" s="327" t="s">
        <v>3</v>
      </c>
      <c r="E47" s="282">
        <f t="shared" si="5"/>
        <v>0</v>
      </c>
    </row>
    <row r="48" spans="1:5" x14ac:dyDescent="0.25">
      <c r="B48" s="327" t="s">
        <v>0</v>
      </c>
      <c r="D48" s="282">
        <v>28838441</v>
      </c>
      <c r="E48" s="282">
        <f t="shared" si="5"/>
        <v>28838441</v>
      </c>
    </row>
    <row r="49" spans="2:5" x14ac:dyDescent="0.25">
      <c r="B49" s="327" t="s">
        <v>225</v>
      </c>
      <c r="E49" s="282">
        <f t="shared" si="5"/>
        <v>0</v>
      </c>
    </row>
    <row r="50" spans="2:5" x14ac:dyDescent="0.25">
      <c r="B50" s="284" t="s">
        <v>157</v>
      </c>
      <c r="C50" s="328">
        <f>SUM(C46:C49)</f>
        <v>114754852</v>
      </c>
      <c r="D50" s="328">
        <f>SUM(D46:D49)</f>
        <v>133636371</v>
      </c>
      <c r="E50" s="329">
        <f t="shared" si="5"/>
        <v>18881519</v>
      </c>
    </row>
    <row r="51" spans="2:5" x14ac:dyDescent="0.25">
      <c r="B51" s="280"/>
      <c r="C51" s="281"/>
      <c r="D51" s="281"/>
      <c r="E51" s="282"/>
    </row>
  </sheetData>
  <mergeCells count="3">
    <mergeCell ref="A1:C1"/>
    <mergeCell ref="B3:E3"/>
    <mergeCell ref="A4:E5"/>
  </mergeCells>
  <pageMargins left="0.78740157480314965" right="0.78740157480314965" top="1.1023622047244095" bottom="1.181102362204724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40AE-19E8-4806-8170-574BDC085A5E}">
  <dimension ref="A1:Q138"/>
  <sheetViews>
    <sheetView tabSelected="1" topLeftCell="A28" zoomScaleNormal="100" zoomScaleSheetLayoutView="100" workbookViewId="0">
      <selection activeCell="L43" sqref="L43"/>
    </sheetView>
  </sheetViews>
  <sheetFormatPr defaultRowHeight="12.75" x14ac:dyDescent="0.2"/>
  <cols>
    <col min="1" max="1" width="3.7109375" style="659" customWidth="1"/>
    <col min="2" max="2" width="20.42578125" style="662" customWidth="1"/>
    <col min="3" max="3" width="10.140625" style="659" customWidth="1"/>
    <col min="4" max="4" width="13.42578125" style="659" bestFit="1" customWidth="1"/>
    <col min="5" max="5" width="10.140625" style="659" customWidth="1"/>
    <col min="6" max="6" width="14.42578125" style="659" bestFit="1" customWidth="1"/>
    <col min="7" max="7" width="11.7109375" style="659" customWidth="1"/>
    <col min="8" max="8" width="9.85546875" style="659" bestFit="1" customWidth="1"/>
    <col min="9" max="9" width="13.42578125" style="659" bestFit="1" customWidth="1"/>
    <col min="10" max="10" width="10.5703125" style="659" customWidth="1"/>
    <col min="11" max="11" width="11.42578125" style="659" customWidth="1"/>
    <col min="12" max="12" width="10.85546875" style="659" customWidth="1"/>
    <col min="13" max="13" width="11.28515625" style="659" customWidth="1"/>
    <col min="14" max="14" width="10.85546875" style="659" customWidth="1"/>
    <col min="15" max="15" width="13.28515625" style="659" customWidth="1"/>
    <col min="16" max="16" width="13.28515625" style="659" bestFit="1" customWidth="1"/>
    <col min="17" max="17" width="12.28515625" style="659" customWidth="1"/>
    <col min="18" max="257" width="8.85546875" style="659"/>
    <col min="258" max="258" width="27.85546875" style="659" customWidth="1"/>
    <col min="259" max="259" width="7.5703125" style="659" customWidth="1"/>
    <col min="260" max="260" width="7.85546875" style="659" customWidth="1"/>
    <col min="261" max="261" width="8.28515625" style="659" customWidth="1"/>
    <col min="262" max="263" width="7.42578125" style="659" customWidth="1"/>
    <col min="264" max="264" width="7.85546875" style="659" customWidth="1"/>
    <col min="265" max="265" width="7.28515625" style="659" customWidth="1"/>
    <col min="266" max="266" width="9.42578125" style="659" customWidth="1"/>
    <col min="267" max="267" width="10.5703125" style="659" customWidth="1"/>
    <col min="268" max="268" width="8.5703125" style="659" customWidth="1"/>
    <col min="269" max="269" width="9.7109375" style="659" customWidth="1"/>
    <col min="270" max="271" width="9" style="659" customWidth="1"/>
    <col min="272" max="272" width="10.85546875" style="659" bestFit="1" customWidth="1"/>
    <col min="273" max="513" width="8.85546875" style="659"/>
    <col min="514" max="514" width="27.85546875" style="659" customWidth="1"/>
    <col min="515" max="515" width="7.5703125" style="659" customWidth="1"/>
    <col min="516" max="516" width="7.85546875" style="659" customWidth="1"/>
    <col min="517" max="517" width="8.28515625" style="659" customWidth="1"/>
    <col min="518" max="519" width="7.42578125" style="659" customWidth="1"/>
    <col min="520" max="520" width="7.85546875" style="659" customWidth="1"/>
    <col min="521" max="521" width="7.28515625" style="659" customWidth="1"/>
    <col min="522" max="522" width="9.42578125" style="659" customWidth="1"/>
    <col min="523" max="523" width="10.5703125" style="659" customWidth="1"/>
    <col min="524" max="524" width="8.5703125" style="659" customWidth="1"/>
    <col min="525" max="525" width="9.7109375" style="659" customWidth="1"/>
    <col min="526" max="527" width="9" style="659" customWidth="1"/>
    <col min="528" max="528" width="10.85546875" style="659" bestFit="1" customWidth="1"/>
    <col min="529" max="769" width="8.85546875" style="659"/>
    <col min="770" max="770" width="27.85546875" style="659" customWidth="1"/>
    <col min="771" max="771" width="7.5703125" style="659" customWidth="1"/>
    <col min="772" max="772" width="7.85546875" style="659" customWidth="1"/>
    <col min="773" max="773" width="8.28515625" style="659" customWidth="1"/>
    <col min="774" max="775" width="7.42578125" style="659" customWidth="1"/>
    <col min="776" max="776" width="7.85546875" style="659" customWidth="1"/>
    <col min="777" max="777" width="7.28515625" style="659" customWidth="1"/>
    <col min="778" max="778" width="9.42578125" style="659" customWidth="1"/>
    <col min="779" max="779" width="10.5703125" style="659" customWidth="1"/>
    <col min="780" max="780" width="8.5703125" style="659" customWidth="1"/>
    <col min="781" max="781" width="9.7109375" style="659" customWidth="1"/>
    <col min="782" max="783" width="9" style="659" customWidth="1"/>
    <col min="784" max="784" width="10.85546875" style="659" bestFit="1" customWidth="1"/>
    <col min="785" max="1025" width="8.85546875" style="659"/>
    <col min="1026" max="1026" width="27.85546875" style="659" customWidth="1"/>
    <col min="1027" max="1027" width="7.5703125" style="659" customWidth="1"/>
    <col min="1028" max="1028" width="7.85546875" style="659" customWidth="1"/>
    <col min="1029" max="1029" width="8.28515625" style="659" customWidth="1"/>
    <col min="1030" max="1031" width="7.42578125" style="659" customWidth="1"/>
    <col min="1032" max="1032" width="7.85546875" style="659" customWidth="1"/>
    <col min="1033" max="1033" width="7.28515625" style="659" customWidth="1"/>
    <col min="1034" max="1034" width="9.42578125" style="659" customWidth="1"/>
    <col min="1035" max="1035" width="10.5703125" style="659" customWidth="1"/>
    <col min="1036" max="1036" width="8.5703125" style="659" customWidth="1"/>
    <col min="1037" max="1037" width="9.7109375" style="659" customWidth="1"/>
    <col min="1038" max="1039" width="9" style="659" customWidth="1"/>
    <col min="1040" max="1040" width="10.85546875" style="659" bestFit="1" customWidth="1"/>
    <col min="1041" max="1281" width="8.85546875" style="659"/>
    <col min="1282" max="1282" width="27.85546875" style="659" customWidth="1"/>
    <col min="1283" max="1283" width="7.5703125" style="659" customWidth="1"/>
    <col min="1284" max="1284" width="7.85546875" style="659" customWidth="1"/>
    <col min="1285" max="1285" width="8.28515625" style="659" customWidth="1"/>
    <col min="1286" max="1287" width="7.42578125" style="659" customWidth="1"/>
    <col min="1288" max="1288" width="7.85546875" style="659" customWidth="1"/>
    <col min="1289" max="1289" width="7.28515625" style="659" customWidth="1"/>
    <col min="1290" max="1290" width="9.42578125" style="659" customWidth="1"/>
    <col min="1291" max="1291" width="10.5703125" style="659" customWidth="1"/>
    <col min="1292" max="1292" width="8.5703125" style="659" customWidth="1"/>
    <col min="1293" max="1293" width="9.7109375" style="659" customWidth="1"/>
    <col min="1294" max="1295" width="9" style="659" customWidth="1"/>
    <col min="1296" max="1296" width="10.85546875" style="659" bestFit="1" customWidth="1"/>
    <col min="1297" max="1537" width="8.85546875" style="659"/>
    <col min="1538" max="1538" width="27.85546875" style="659" customWidth="1"/>
    <col min="1539" max="1539" width="7.5703125" style="659" customWidth="1"/>
    <col min="1540" max="1540" width="7.85546875" style="659" customWidth="1"/>
    <col min="1541" max="1541" width="8.28515625" style="659" customWidth="1"/>
    <col min="1542" max="1543" width="7.42578125" style="659" customWidth="1"/>
    <col min="1544" max="1544" width="7.85546875" style="659" customWidth="1"/>
    <col min="1545" max="1545" width="7.28515625" style="659" customWidth="1"/>
    <col min="1546" max="1546" width="9.42578125" style="659" customWidth="1"/>
    <col min="1547" max="1547" width="10.5703125" style="659" customWidth="1"/>
    <col min="1548" max="1548" width="8.5703125" style="659" customWidth="1"/>
    <col min="1549" max="1549" width="9.7109375" style="659" customWidth="1"/>
    <col min="1550" max="1551" width="9" style="659" customWidth="1"/>
    <col min="1552" max="1552" width="10.85546875" style="659" bestFit="1" customWidth="1"/>
    <col min="1553" max="1793" width="8.85546875" style="659"/>
    <col min="1794" max="1794" width="27.85546875" style="659" customWidth="1"/>
    <col min="1795" max="1795" width="7.5703125" style="659" customWidth="1"/>
    <col min="1796" max="1796" width="7.85546875" style="659" customWidth="1"/>
    <col min="1797" max="1797" width="8.28515625" style="659" customWidth="1"/>
    <col min="1798" max="1799" width="7.42578125" style="659" customWidth="1"/>
    <col min="1800" max="1800" width="7.85546875" style="659" customWidth="1"/>
    <col min="1801" max="1801" width="7.28515625" style="659" customWidth="1"/>
    <col min="1802" max="1802" width="9.42578125" style="659" customWidth="1"/>
    <col min="1803" max="1803" width="10.5703125" style="659" customWidth="1"/>
    <col min="1804" max="1804" width="8.5703125" style="659" customWidth="1"/>
    <col min="1805" max="1805" width="9.7109375" style="659" customWidth="1"/>
    <col min="1806" max="1807" width="9" style="659" customWidth="1"/>
    <col min="1808" max="1808" width="10.85546875" style="659" bestFit="1" customWidth="1"/>
    <col min="1809" max="2049" width="8.85546875" style="659"/>
    <col min="2050" max="2050" width="27.85546875" style="659" customWidth="1"/>
    <col min="2051" max="2051" width="7.5703125" style="659" customWidth="1"/>
    <col min="2052" max="2052" width="7.85546875" style="659" customWidth="1"/>
    <col min="2053" max="2053" width="8.28515625" style="659" customWidth="1"/>
    <col min="2054" max="2055" width="7.42578125" style="659" customWidth="1"/>
    <col min="2056" max="2056" width="7.85546875" style="659" customWidth="1"/>
    <col min="2057" max="2057" width="7.28515625" style="659" customWidth="1"/>
    <col min="2058" max="2058" width="9.42578125" style="659" customWidth="1"/>
    <col min="2059" max="2059" width="10.5703125" style="659" customWidth="1"/>
    <col min="2060" max="2060" width="8.5703125" style="659" customWidth="1"/>
    <col min="2061" max="2061" width="9.7109375" style="659" customWidth="1"/>
    <col min="2062" max="2063" width="9" style="659" customWidth="1"/>
    <col min="2064" max="2064" width="10.85546875" style="659" bestFit="1" customWidth="1"/>
    <col min="2065" max="2305" width="8.85546875" style="659"/>
    <col min="2306" max="2306" width="27.85546875" style="659" customWidth="1"/>
    <col min="2307" max="2307" width="7.5703125" style="659" customWidth="1"/>
    <col min="2308" max="2308" width="7.85546875" style="659" customWidth="1"/>
    <col min="2309" max="2309" width="8.28515625" style="659" customWidth="1"/>
    <col min="2310" max="2311" width="7.42578125" style="659" customWidth="1"/>
    <col min="2312" max="2312" width="7.85546875" style="659" customWidth="1"/>
    <col min="2313" max="2313" width="7.28515625" style="659" customWidth="1"/>
    <col min="2314" max="2314" width="9.42578125" style="659" customWidth="1"/>
    <col min="2315" max="2315" width="10.5703125" style="659" customWidth="1"/>
    <col min="2316" max="2316" width="8.5703125" style="659" customWidth="1"/>
    <col min="2317" max="2317" width="9.7109375" style="659" customWidth="1"/>
    <col min="2318" max="2319" width="9" style="659" customWidth="1"/>
    <col min="2320" max="2320" width="10.85546875" style="659" bestFit="1" customWidth="1"/>
    <col min="2321" max="2561" width="8.85546875" style="659"/>
    <col min="2562" max="2562" width="27.85546875" style="659" customWidth="1"/>
    <col min="2563" max="2563" width="7.5703125" style="659" customWidth="1"/>
    <col min="2564" max="2564" width="7.85546875" style="659" customWidth="1"/>
    <col min="2565" max="2565" width="8.28515625" style="659" customWidth="1"/>
    <col min="2566" max="2567" width="7.42578125" style="659" customWidth="1"/>
    <col min="2568" max="2568" width="7.85546875" style="659" customWidth="1"/>
    <col min="2569" max="2569" width="7.28515625" style="659" customWidth="1"/>
    <col min="2570" max="2570" width="9.42578125" style="659" customWidth="1"/>
    <col min="2571" max="2571" width="10.5703125" style="659" customWidth="1"/>
    <col min="2572" max="2572" width="8.5703125" style="659" customWidth="1"/>
    <col min="2573" max="2573" width="9.7109375" style="659" customWidth="1"/>
    <col min="2574" max="2575" width="9" style="659" customWidth="1"/>
    <col min="2576" max="2576" width="10.85546875" style="659" bestFit="1" customWidth="1"/>
    <col min="2577" max="2817" width="8.85546875" style="659"/>
    <col min="2818" max="2818" width="27.85546875" style="659" customWidth="1"/>
    <col min="2819" max="2819" width="7.5703125" style="659" customWidth="1"/>
    <col min="2820" max="2820" width="7.85546875" style="659" customWidth="1"/>
    <col min="2821" max="2821" width="8.28515625" style="659" customWidth="1"/>
    <col min="2822" max="2823" width="7.42578125" style="659" customWidth="1"/>
    <col min="2824" max="2824" width="7.85546875" style="659" customWidth="1"/>
    <col min="2825" max="2825" width="7.28515625" style="659" customWidth="1"/>
    <col min="2826" max="2826" width="9.42578125" style="659" customWidth="1"/>
    <col min="2827" max="2827" width="10.5703125" style="659" customWidth="1"/>
    <col min="2828" max="2828" width="8.5703125" style="659" customWidth="1"/>
    <col min="2829" max="2829" width="9.7109375" style="659" customWidth="1"/>
    <col min="2830" max="2831" width="9" style="659" customWidth="1"/>
    <col min="2832" max="2832" width="10.85546875" style="659" bestFit="1" customWidth="1"/>
    <col min="2833" max="3073" width="8.85546875" style="659"/>
    <col min="3074" max="3074" width="27.85546875" style="659" customWidth="1"/>
    <col min="3075" max="3075" width="7.5703125" style="659" customWidth="1"/>
    <col min="3076" max="3076" width="7.85546875" style="659" customWidth="1"/>
    <col min="3077" max="3077" width="8.28515625" style="659" customWidth="1"/>
    <col min="3078" max="3079" width="7.42578125" style="659" customWidth="1"/>
    <col min="3080" max="3080" width="7.85546875" style="659" customWidth="1"/>
    <col min="3081" max="3081" width="7.28515625" style="659" customWidth="1"/>
    <col min="3082" max="3082" width="9.42578125" style="659" customWidth="1"/>
    <col min="3083" max="3083" width="10.5703125" style="659" customWidth="1"/>
    <col min="3084" max="3084" width="8.5703125" style="659" customWidth="1"/>
    <col min="3085" max="3085" width="9.7109375" style="659" customWidth="1"/>
    <col min="3086" max="3087" width="9" style="659" customWidth="1"/>
    <col min="3088" max="3088" width="10.85546875" style="659" bestFit="1" customWidth="1"/>
    <col min="3089" max="3329" width="8.85546875" style="659"/>
    <col min="3330" max="3330" width="27.85546875" style="659" customWidth="1"/>
    <col min="3331" max="3331" width="7.5703125" style="659" customWidth="1"/>
    <col min="3332" max="3332" width="7.85546875" style="659" customWidth="1"/>
    <col min="3333" max="3333" width="8.28515625" style="659" customWidth="1"/>
    <col min="3334" max="3335" width="7.42578125" style="659" customWidth="1"/>
    <col min="3336" max="3336" width="7.85546875" style="659" customWidth="1"/>
    <col min="3337" max="3337" width="7.28515625" style="659" customWidth="1"/>
    <col min="3338" max="3338" width="9.42578125" style="659" customWidth="1"/>
    <col min="3339" max="3339" width="10.5703125" style="659" customWidth="1"/>
    <col min="3340" max="3340" width="8.5703125" style="659" customWidth="1"/>
    <col min="3341" max="3341" width="9.7109375" style="659" customWidth="1"/>
    <col min="3342" max="3343" width="9" style="659" customWidth="1"/>
    <col min="3344" max="3344" width="10.85546875" style="659" bestFit="1" customWidth="1"/>
    <col min="3345" max="3585" width="8.85546875" style="659"/>
    <col min="3586" max="3586" width="27.85546875" style="659" customWidth="1"/>
    <col min="3587" max="3587" width="7.5703125" style="659" customWidth="1"/>
    <col min="3588" max="3588" width="7.85546875" style="659" customWidth="1"/>
    <col min="3589" max="3589" width="8.28515625" style="659" customWidth="1"/>
    <col min="3590" max="3591" width="7.42578125" style="659" customWidth="1"/>
    <col min="3592" max="3592" width="7.85546875" style="659" customWidth="1"/>
    <col min="3593" max="3593" width="7.28515625" style="659" customWidth="1"/>
    <col min="3594" max="3594" width="9.42578125" style="659" customWidth="1"/>
    <col min="3595" max="3595" width="10.5703125" style="659" customWidth="1"/>
    <col min="3596" max="3596" width="8.5703125" style="659" customWidth="1"/>
    <col min="3597" max="3597" width="9.7109375" style="659" customWidth="1"/>
    <col min="3598" max="3599" width="9" style="659" customWidth="1"/>
    <col min="3600" max="3600" width="10.85546875" style="659" bestFit="1" customWidth="1"/>
    <col min="3601" max="3841" width="8.85546875" style="659"/>
    <col min="3842" max="3842" width="27.85546875" style="659" customWidth="1"/>
    <col min="3843" max="3843" width="7.5703125" style="659" customWidth="1"/>
    <col min="3844" max="3844" width="7.85546875" style="659" customWidth="1"/>
    <col min="3845" max="3845" width="8.28515625" style="659" customWidth="1"/>
    <col min="3846" max="3847" width="7.42578125" style="659" customWidth="1"/>
    <col min="3848" max="3848" width="7.85546875" style="659" customWidth="1"/>
    <col min="3849" max="3849" width="7.28515625" style="659" customWidth="1"/>
    <col min="3850" max="3850" width="9.42578125" style="659" customWidth="1"/>
    <col min="3851" max="3851" width="10.5703125" style="659" customWidth="1"/>
    <col min="3852" max="3852" width="8.5703125" style="659" customWidth="1"/>
    <col min="3853" max="3853" width="9.7109375" style="659" customWidth="1"/>
    <col min="3854" max="3855" width="9" style="659" customWidth="1"/>
    <col min="3856" max="3856" width="10.85546875" style="659" bestFit="1" customWidth="1"/>
    <col min="3857" max="4097" width="8.85546875" style="659"/>
    <col min="4098" max="4098" width="27.85546875" style="659" customWidth="1"/>
    <col min="4099" max="4099" width="7.5703125" style="659" customWidth="1"/>
    <col min="4100" max="4100" width="7.85546875" style="659" customWidth="1"/>
    <col min="4101" max="4101" width="8.28515625" style="659" customWidth="1"/>
    <col min="4102" max="4103" width="7.42578125" style="659" customWidth="1"/>
    <col min="4104" max="4104" width="7.85546875" style="659" customWidth="1"/>
    <col min="4105" max="4105" width="7.28515625" style="659" customWidth="1"/>
    <col min="4106" max="4106" width="9.42578125" style="659" customWidth="1"/>
    <col min="4107" max="4107" width="10.5703125" style="659" customWidth="1"/>
    <col min="4108" max="4108" width="8.5703125" style="659" customWidth="1"/>
    <col min="4109" max="4109" width="9.7109375" style="659" customWidth="1"/>
    <col min="4110" max="4111" width="9" style="659" customWidth="1"/>
    <col min="4112" max="4112" width="10.85546875" style="659" bestFit="1" customWidth="1"/>
    <col min="4113" max="4353" width="8.85546875" style="659"/>
    <col min="4354" max="4354" width="27.85546875" style="659" customWidth="1"/>
    <col min="4355" max="4355" width="7.5703125" style="659" customWidth="1"/>
    <col min="4356" max="4356" width="7.85546875" style="659" customWidth="1"/>
    <col min="4357" max="4357" width="8.28515625" style="659" customWidth="1"/>
    <col min="4358" max="4359" width="7.42578125" style="659" customWidth="1"/>
    <col min="4360" max="4360" width="7.85546875" style="659" customWidth="1"/>
    <col min="4361" max="4361" width="7.28515625" style="659" customWidth="1"/>
    <col min="4362" max="4362" width="9.42578125" style="659" customWidth="1"/>
    <col min="4363" max="4363" width="10.5703125" style="659" customWidth="1"/>
    <col min="4364" max="4364" width="8.5703125" style="659" customWidth="1"/>
    <col min="4365" max="4365" width="9.7109375" style="659" customWidth="1"/>
    <col min="4366" max="4367" width="9" style="659" customWidth="1"/>
    <col min="4368" max="4368" width="10.85546875" style="659" bestFit="1" customWidth="1"/>
    <col min="4369" max="4609" width="8.85546875" style="659"/>
    <col min="4610" max="4610" width="27.85546875" style="659" customWidth="1"/>
    <col min="4611" max="4611" width="7.5703125" style="659" customWidth="1"/>
    <col min="4612" max="4612" width="7.85546875" style="659" customWidth="1"/>
    <col min="4613" max="4613" width="8.28515625" style="659" customWidth="1"/>
    <col min="4614" max="4615" width="7.42578125" style="659" customWidth="1"/>
    <col min="4616" max="4616" width="7.85546875" style="659" customWidth="1"/>
    <col min="4617" max="4617" width="7.28515625" style="659" customWidth="1"/>
    <col min="4618" max="4618" width="9.42578125" style="659" customWidth="1"/>
    <col min="4619" max="4619" width="10.5703125" style="659" customWidth="1"/>
    <col min="4620" max="4620" width="8.5703125" style="659" customWidth="1"/>
    <col min="4621" max="4621" width="9.7109375" style="659" customWidth="1"/>
    <col min="4622" max="4623" width="9" style="659" customWidth="1"/>
    <col min="4624" max="4624" width="10.85546875" style="659" bestFit="1" customWidth="1"/>
    <col min="4625" max="4865" width="8.85546875" style="659"/>
    <col min="4866" max="4866" width="27.85546875" style="659" customWidth="1"/>
    <col min="4867" max="4867" width="7.5703125" style="659" customWidth="1"/>
    <col min="4868" max="4868" width="7.85546875" style="659" customWidth="1"/>
    <col min="4869" max="4869" width="8.28515625" style="659" customWidth="1"/>
    <col min="4870" max="4871" width="7.42578125" style="659" customWidth="1"/>
    <col min="4872" max="4872" width="7.85546875" style="659" customWidth="1"/>
    <col min="4873" max="4873" width="7.28515625" style="659" customWidth="1"/>
    <col min="4874" max="4874" width="9.42578125" style="659" customWidth="1"/>
    <col min="4875" max="4875" width="10.5703125" style="659" customWidth="1"/>
    <col min="4876" max="4876" width="8.5703125" style="659" customWidth="1"/>
    <col min="4877" max="4877" width="9.7109375" style="659" customWidth="1"/>
    <col min="4878" max="4879" width="9" style="659" customWidth="1"/>
    <col min="4880" max="4880" width="10.85546875" style="659" bestFit="1" customWidth="1"/>
    <col min="4881" max="5121" width="8.85546875" style="659"/>
    <col min="5122" max="5122" width="27.85546875" style="659" customWidth="1"/>
    <col min="5123" max="5123" width="7.5703125" style="659" customWidth="1"/>
    <col min="5124" max="5124" width="7.85546875" style="659" customWidth="1"/>
    <col min="5125" max="5125" width="8.28515625" style="659" customWidth="1"/>
    <col min="5126" max="5127" width="7.42578125" style="659" customWidth="1"/>
    <col min="5128" max="5128" width="7.85546875" style="659" customWidth="1"/>
    <col min="5129" max="5129" width="7.28515625" style="659" customWidth="1"/>
    <col min="5130" max="5130" width="9.42578125" style="659" customWidth="1"/>
    <col min="5131" max="5131" width="10.5703125" style="659" customWidth="1"/>
    <col min="5132" max="5132" width="8.5703125" style="659" customWidth="1"/>
    <col min="5133" max="5133" width="9.7109375" style="659" customWidth="1"/>
    <col min="5134" max="5135" width="9" style="659" customWidth="1"/>
    <col min="5136" max="5136" width="10.85546875" style="659" bestFit="1" customWidth="1"/>
    <col min="5137" max="5377" width="8.85546875" style="659"/>
    <col min="5378" max="5378" width="27.85546875" style="659" customWidth="1"/>
    <col min="5379" max="5379" width="7.5703125" style="659" customWidth="1"/>
    <col min="5380" max="5380" width="7.85546875" style="659" customWidth="1"/>
    <col min="5381" max="5381" width="8.28515625" style="659" customWidth="1"/>
    <col min="5382" max="5383" width="7.42578125" style="659" customWidth="1"/>
    <col min="5384" max="5384" width="7.85546875" style="659" customWidth="1"/>
    <col min="5385" max="5385" width="7.28515625" style="659" customWidth="1"/>
    <col min="5386" max="5386" width="9.42578125" style="659" customWidth="1"/>
    <col min="5387" max="5387" width="10.5703125" style="659" customWidth="1"/>
    <col min="5388" max="5388" width="8.5703125" style="659" customWidth="1"/>
    <col min="5389" max="5389" width="9.7109375" style="659" customWidth="1"/>
    <col min="5390" max="5391" width="9" style="659" customWidth="1"/>
    <col min="5392" max="5392" width="10.85546875" style="659" bestFit="1" customWidth="1"/>
    <col min="5393" max="5633" width="8.85546875" style="659"/>
    <col min="5634" max="5634" width="27.85546875" style="659" customWidth="1"/>
    <col min="5635" max="5635" width="7.5703125" style="659" customWidth="1"/>
    <col min="5636" max="5636" width="7.85546875" style="659" customWidth="1"/>
    <col min="5637" max="5637" width="8.28515625" style="659" customWidth="1"/>
    <col min="5638" max="5639" width="7.42578125" style="659" customWidth="1"/>
    <col min="5640" max="5640" width="7.85546875" style="659" customWidth="1"/>
    <col min="5641" max="5641" width="7.28515625" style="659" customWidth="1"/>
    <col min="5642" max="5642" width="9.42578125" style="659" customWidth="1"/>
    <col min="5643" max="5643" width="10.5703125" style="659" customWidth="1"/>
    <col min="5644" max="5644" width="8.5703125" style="659" customWidth="1"/>
    <col min="5645" max="5645" width="9.7109375" style="659" customWidth="1"/>
    <col min="5646" max="5647" width="9" style="659" customWidth="1"/>
    <col min="5648" max="5648" width="10.85546875" style="659" bestFit="1" customWidth="1"/>
    <col min="5649" max="5889" width="8.85546875" style="659"/>
    <col min="5890" max="5890" width="27.85546875" style="659" customWidth="1"/>
    <col min="5891" max="5891" width="7.5703125" style="659" customWidth="1"/>
    <col min="5892" max="5892" width="7.85546875" style="659" customWidth="1"/>
    <col min="5893" max="5893" width="8.28515625" style="659" customWidth="1"/>
    <col min="5894" max="5895" width="7.42578125" style="659" customWidth="1"/>
    <col min="5896" max="5896" width="7.85546875" style="659" customWidth="1"/>
    <col min="5897" max="5897" width="7.28515625" style="659" customWidth="1"/>
    <col min="5898" max="5898" width="9.42578125" style="659" customWidth="1"/>
    <col min="5899" max="5899" width="10.5703125" style="659" customWidth="1"/>
    <col min="5900" max="5900" width="8.5703125" style="659" customWidth="1"/>
    <col min="5901" max="5901" width="9.7109375" style="659" customWidth="1"/>
    <col min="5902" max="5903" width="9" style="659" customWidth="1"/>
    <col min="5904" max="5904" width="10.85546875" style="659" bestFit="1" customWidth="1"/>
    <col min="5905" max="6145" width="8.85546875" style="659"/>
    <col min="6146" max="6146" width="27.85546875" style="659" customWidth="1"/>
    <col min="6147" max="6147" width="7.5703125" style="659" customWidth="1"/>
    <col min="6148" max="6148" width="7.85546875" style="659" customWidth="1"/>
    <col min="6149" max="6149" width="8.28515625" style="659" customWidth="1"/>
    <col min="6150" max="6151" width="7.42578125" style="659" customWidth="1"/>
    <col min="6152" max="6152" width="7.85546875" style="659" customWidth="1"/>
    <col min="6153" max="6153" width="7.28515625" style="659" customWidth="1"/>
    <col min="6154" max="6154" width="9.42578125" style="659" customWidth="1"/>
    <col min="6155" max="6155" width="10.5703125" style="659" customWidth="1"/>
    <col min="6156" max="6156" width="8.5703125" style="659" customWidth="1"/>
    <col min="6157" max="6157" width="9.7109375" style="659" customWidth="1"/>
    <col min="6158" max="6159" width="9" style="659" customWidth="1"/>
    <col min="6160" max="6160" width="10.85546875" style="659" bestFit="1" customWidth="1"/>
    <col min="6161" max="6401" width="8.85546875" style="659"/>
    <col min="6402" max="6402" width="27.85546875" style="659" customWidth="1"/>
    <col min="6403" max="6403" width="7.5703125" style="659" customWidth="1"/>
    <col min="6404" max="6404" width="7.85546875" style="659" customWidth="1"/>
    <col min="6405" max="6405" width="8.28515625" style="659" customWidth="1"/>
    <col min="6406" max="6407" width="7.42578125" style="659" customWidth="1"/>
    <col min="6408" max="6408" width="7.85546875" style="659" customWidth="1"/>
    <col min="6409" max="6409" width="7.28515625" style="659" customWidth="1"/>
    <col min="6410" max="6410" width="9.42578125" style="659" customWidth="1"/>
    <col min="6411" max="6411" width="10.5703125" style="659" customWidth="1"/>
    <col min="6412" max="6412" width="8.5703125" style="659" customWidth="1"/>
    <col min="6413" max="6413" width="9.7109375" style="659" customWidth="1"/>
    <col min="6414" max="6415" width="9" style="659" customWidth="1"/>
    <col min="6416" max="6416" width="10.85546875" style="659" bestFit="1" customWidth="1"/>
    <col min="6417" max="6657" width="8.85546875" style="659"/>
    <col min="6658" max="6658" width="27.85546875" style="659" customWidth="1"/>
    <col min="6659" max="6659" width="7.5703125" style="659" customWidth="1"/>
    <col min="6660" max="6660" width="7.85546875" style="659" customWidth="1"/>
    <col min="6661" max="6661" width="8.28515625" style="659" customWidth="1"/>
    <col min="6662" max="6663" width="7.42578125" style="659" customWidth="1"/>
    <col min="6664" max="6664" width="7.85546875" style="659" customWidth="1"/>
    <col min="6665" max="6665" width="7.28515625" style="659" customWidth="1"/>
    <col min="6666" max="6666" width="9.42578125" style="659" customWidth="1"/>
    <col min="6667" max="6667" width="10.5703125" style="659" customWidth="1"/>
    <col min="6668" max="6668" width="8.5703125" style="659" customWidth="1"/>
    <col min="6669" max="6669" width="9.7109375" style="659" customWidth="1"/>
    <col min="6670" max="6671" width="9" style="659" customWidth="1"/>
    <col min="6672" max="6672" width="10.85546875" style="659" bestFit="1" customWidth="1"/>
    <col min="6673" max="6913" width="8.85546875" style="659"/>
    <col min="6914" max="6914" width="27.85546875" style="659" customWidth="1"/>
    <col min="6915" max="6915" width="7.5703125" style="659" customWidth="1"/>
    <col min="6916" max="6916" width="7.85546875" style="659" customWidth="1"/>
    <col min="6917" max="6917" width="8.28515625" style="659" customWidth="1"/>
    <col min="6918" max="6919" width="7.42578125" style="659" customWidth="1"/>
    <col min="6920" max="6920" width="7.85546875" style="659" customWidth="1"/>
    <col min="6921" max="6921" width="7.28515625" style="659" customWidth="1"/>
    <col min="6922" max="6922" width="9.42578125" style="659" customWidth="1"/>
    <col min="6923" max="6923" width="10.5703125" style="659" customWidth="1"/>
    <col min="6924" max="6924" width="8.5703125" style="659" customWidth="1"/>
    <col min="6925" max="6925" width="9.7109375" style="659" customWidth="1"/>
    <col min="6926" max="6927" width="9" style="659" customWidth="1"/>
    <col min="6928" max="6928" width="10.85546875" style="659" bestFit="1" customWidth="1"/>
    <col min="6929" max="7169" width="8.85546875" style="659"/>
    <col min="7170" max="7170" width="27.85546875" style="659" customWidth="1"/>
    <col min="7171" max="7171" width="7.5703125" style="659" customWidth="1"/>
    <col min="7172" max="7172" width="7.85546875" style="659" customWidth="1"/>
    <col min="7173" max="7173" width="8.28515625" style="659" customWidth="1"/>
    <col min="7174" max="7175" width="7.42578125" style="659" customWidth="1"/>
    <col min="7176" max="7176" width="7.85546875" style="659" customWidth="1"/>
    <col min="7177" max="7177" width="7.28515625" style="659" customWidth="1"/>
    <col min="7178" max="7178" width="9.42578125" style="659" customWidth="1"/>
    <col min="7179" max="7179" width="10.5703125" style="659" customWidth="1"/>
    <col min="7180" max="7180" width="8.5703125" style="659" customWidth="1"/>
    <col min="7181" max="7181" width="9.7109375" style="659" customWidth="1"/>
    <col min="7182" max="7183" width="9" style="659" customWidth="1"/>
    <col min="7184" max="7184" width="10.85546875" style="659" bestFit="1" customWidth="1"/>
    <col min="7185" max="7425" width="8.85546875" style="659"/>
    <col min="7426" max="7426" width="27.85546875" style="659" customWidth="1"/>
    <col min="7427" max="7427" width="7.5703125" style="659" customWidth="1"/>
    <col min="7428" max="7428" width="7.85546875" style="659" customWidth="1"/>
    <col min="7429" max="7429" width="8.28515625" style="659" customWidth="1"/>
    <col min="7430" max="7431" width="7.42578125" style="659" customWidth="1"/>
    <col min="7432" max="7432" width="7.85546875" style="659" customWidth="1"/>
    <col min="7433" max="7433" width="7.28515625" style="659" customWidth="1"/>
    <col min="7434" max="7434" width="9.42578125" style="659" customWidth="1"/>
    <col min="7435" max="7435" width="10.5703125" style="659" customWidth="1"/>
    <col min="7436" max="7436" width="8.5703125" style="659" customWidth="1"/>
    <col min="7437" max="7437" width="9.7109375" style="659" customWidth="1"/>
    <col min="7438" max="7439" width="9" style="659" customWidth="1"/>
    <col min="7440" max="7440" width="10.85546875" style="659" bestFit="1" customWidth="1"/>
    <col min="7441" max="7681" width="8.85546875" style="659"/>
    <col min="7682" max="7682" width="27.85546875" style="659" customWidth="1"/>
    <col min="7683" max="7683" width="7.5703125" style="659" customWidth="1"/>
    <col min="7684" max="7684" width="7.85546875" style="659" customWidth="1"/>
    <col min="7685" max="7685" width="8.28515625" style="659" customWidth="1"/>
    <col min="7686" max="7687" width="7.42578125" style="659" customWidth="1"/>
    <col min="7688" max="7688" width="7.85546875" style="659" customWidth="1"/>
    <col min="7689" max="7689" width="7.28515625" style="659" customWidth="1"/>
    <col min="7690" max="7690" width="9.42578125" style="659" customWidth="1"/>
    <col min="7691" max="7691" width="10.5703125" style="659" customWidth="1"/>
    <col min="7692" max="7692" width="8.5703125" style="659" customWidth="1"/>
    <col min="7693" max="7693" width="9.7109375" style="659" customWidth="1"/>
    <col min="7694" max="7695" width="9" style="659" customWidth="1"/>
    <col min="7696" max="7696" width="10.85546875" style="659" bestFit="1" customWidth="1"/>
    <col min="7697" max="7937" width="8.85546875" style="659"/>
    <col min="7938" max="7938" width="27.85546875" style="659" customWidth="1"/>
    <col min="7939" max="7939" width="7.5703125" style="659" customWidth="1"/>
    <col min="7940" max="7940" width="7.85546875" style="659" customWidth="1"/>
    <col min="7941" max="7941" width="8.28515625" style="659" customWidth="1"/>
    <col min="7942" max="7943" width="7.42578125" style="659" customWidth="1"/>
    <col min="7944" max="7944" width="7.85546875" style="659" customWidth="1"/>
    <col min="7945" max="7945" width="7.28515625" style="659" customWidth="1"/>
    <col min="7946" max="7946" width="9.42578125" style="659" customWidth="1"/>
    <col min="7947" max="7947" width="10.5703125" style="659" customWidth="1"/>
    <col min="7948" max="7948" width="8.5703125" style="659" customWidth="1"/>
    <col min="7949" max="7949" width="9.7109375" style="659" customWidth="1"/>
    <col min="7950" max="7951" width="9" style="659" customWidth="1"/>
    <col min="7952" max="7952" width="10.85546875" style="659" bestFit="1" customWidth="1"/>
    <col min="7953" max="8193" width="8.85546875" style="659"/>
    <col min="8194" max="8194" width="27.85546875" style="659" customWidth="1"/>
    <col min="8195" max="8195" width="7.5703125" style="659" customWidth="1"/>
    <col min="8196" max="8196" width="7.85546875" style="659" customWidth="1"/>
    <col min="8197" max="8197" width="8.28515625" style="659" customWidth="1"/>
    <col min="8198" max="8199" width="7.42578125" style="659" customWidth="1"/>
    <col min="8200" max="8200" width="7.85546875" style="659" customWidth="1"/>
    <col min="8201" max="8201" width="7.28515625" style="659" customWidth="1"/>
    <col min="8202" max="8202" width="9.42578125" style="659" customWidth="1"/>
    <col min="8203" max="8203" width="10.5703125" style="659" customWidth="1"/>
    <col min="8204" max="8204" width="8.5703125" style="659" customWidth="1"/>
    <col min="8205" max="8205" width="9.7109375" style="659" customWidth="1"/>
    <col min="8206" max="8207" width="9" style="659" customWidth="1"/>
    <col min="8208" max="8208" width="10.85546875" style="659" bestFit="1" customWidth="1"/>
    <col min="8209" max="8449" width="8.85546875" style="659"/>
    <col min="8450" max="8450" width="27.85546875" style="659" customWidth="1"/>
    <col min="8451" max="8451" width="7.5703125" style="659" customWidth="1"/>
    <col min="8452" max="8452" width="7.85546875" style="659" customWidth="1"/>
    <col min="8453" max="8453" width="8.28515625" style="659" customWidth="1"/>
    <col min="8454" max="8455" width="7.42578125" style="659" customWidth="1"/>
    <col min="8456" max="8456" width="7.85546875" style="659" customWidth="1"/>
    <col min="8457" max="8457" width="7.28515625" style="659" customWidth="1"/>
    <col min="8458" max="8458" width="9.42578125" style="659" customWidth="1"/>
    <col min="8459" max="8459" width="10.5703125" style="659" customWidth="1"/>
    <col min="8460" max="8460" width="8.5703125" style="659" customWidth="1"/>
    <col min="8461" max="8461" width="9.7109375" style="659" customWidth="1"/>
    <col min="8462" max="8463" width="9" style="659" customWidth="1"/>
    <col min="8464" max="8464" width="10.85546875" style="659" bestFit="1" customWidth="1"/>
    <col min="8465" max="8705" width="8.85546875" style="659"/>
    <col min="8706" max="8706" width="27.85546875" style="659" customWidth="1"/>
    <col min="8707" max="8707" width="7.5703125" style="659" customWidth="1"/>
    <col min="8708" max="8708" width="7.85546875" style="659" customWidth="1"/>
    <col min="8709" max="8709" width="8.28515625" style="659" customWidth="1"/>
    <col min="8710" max="8711" width="7.42578125" style="659" customWidth="1"/>
    <col min="8712" max="8712" width="7.85546875" style="659" customWidth="1"/>
    <col min="8713" max="8713" width="7.28515625" style="659" customWidth="1"/>
    <col min="8714" max="8714" width="9.42578125" style="659" customWidth="1"/>
    <col min="8715" max="8715" width="10.5703125" style="659" customWidth="1"/>
    <col min="8716" max="8716" width="8.5703125" style="659" customWidth="1"/>
    <col min="8717" max="8717" width="9.7109375" style="659" customWidth="1"/>
    <col min="8718" max="8719" width="9" style="659" customWidth="1"/>
    <col min="8720" max="8720" width="10.85546875" style="659" bestFit="1" customWidth="1"/>
    <col min="8721" max="8961" width="8.85546875" style="659"/>
    <col min="8962" max="8962" width="27.85546875" style="659" customWidth="1"/>
    <col min="8963" max="8963" width="7.5703125" style="659" customWidth="1"/>
    <col min="8964" max="8964" width="7.85546875" style="659" customWidth="1"/>
    <col min="8965" max="8965" width="8.28515625" style="659" customWidth="1"/>
    <col min="8966" max="8967" width="7.42578125" style="659" customWidth="1"/>
    <col min="8968" max="8968" width="7.85546875" style="659" customWidth="1"/>
    <col min="8969" max="8969" width="7.28515625" style="659" customWidth="1"/>
    <col min="8970" max="8970" width="9.42578125" style="659" customWidth="1"/>
    <col min="8971" max="8971" width="10.5703125" style="659" customWidth="1"/>
    <col min="8972" max="8972" width="8.5703125" style="659" customWidth="1"/>
    <col min="8973" max="8973" width="9.7109375" style="659" customWidth="1"/>
    <col min="8974" max="8975" width="9" style="659" customWidth="1"/>
    <col min="8976" max="8976" width="10.85546875" style="659" bestFit="1" customWidth="1"/>
    <col min="8977" max="9217" width="8.85546875" style="659"/>
    <col min="9218" max="9218" width="27.85546875" style="659" customWidth="1"/>
    <col min="9219" max="9219" width="7.5703125" style="659" customWidth="1"/>
    <col min="9220" max="9220" width="7.85546875" style="659" customWidth="1"/>
    <col min="9221" max="9221" width="8.28515625" style="659" customWidth="1"/>
    <col min="9222" max="9223" width="7.42578125" style="659" customWidth="1"/>
    <col min="9224" max="9224" width="7.85546875" style="659" customWidth="1"/>
    <col min="9225" max="9225" width="7.28515625" style="659" customWidth="1"/>
    <col min="9226" max="9226" width="9.42578125" style="659" customWidth="1"/>
    <col min="9227" max="9227" width="10.5703125" style="659" customWidth="1"/>
    <col min="9228" max="9228" width="8.5703125" style="659" customWidth="1"/>
    <col min="9229" max="9229" width="9.7109375" style="659" customWidth="1"/>
    <col min="9230" max="9231" width="9" style="659" customWidth="1"/>
    <col min="9232" max="9232" width="10.85546875" style="659" bestFit="1" customWidth="1"/>
    <col min="9233" max="9473" width="8.85546875" style="659"/>
    <col min="9474" max="9474" width="27.85546875" style="659" customWidth="1"/>
    <col min="9475" max="9475" width="7.5703125" style="659" customWidth="1"/>
    <col min="9476" max="9476" width="7.85546875" style="659" customWidth="1"/>
    <col min="9477" max="9477" width="8.28515625" style="659" customWidth="1"/>
    <col min="9478" max="9479" width="7.42578125" style="659" customWidth="1"/>
    <col min="9480" max="9480" width="7.85546875" style="659" customWidth="1"/>
    <col min="9481" max="9481" width="7.28515625" style="659" customWidth="1"/>
    <col min="9482" max="9482" width="9.42578125" style="659" customWidth="1"/>
    <col min="9483" max="9483" width="10.5703125" style="659" customWidth="1"/>
    <col min="9484" max="9484" width="8.5703125" style="659" customWidth="1"/>
    <col min="9485" max="9485" width="9.7109375" style="659" customWidth="1"/>
    <col min="9486" max="9487" width="9" style="659" customWidth="1"/>
    <col min="9488" max="9488" width="10.85546875" style="659" bestFit="1" customWidth="1"/>
    <col min="9489" max="9729" width="8.85546875" style="659"/>
    <col min="9730" max="9730" width="27.85546875" style="659" customWidth="1"/>
    <col min="9731" max="9731" width="7.5703125" style="659" customWidth="1"/>
    <col min="9732" max="9732" width="7.85546875" style="659" customWidth="1"/>
    <col min="9733" max="9733" width="8.28515625" style="659" customWidth="1"/>
    <col min="9734" max="9735" width="7.42578125" style="659" customWidth="1"/>
    <col min="9736" max="9736" width="7.85546875" style="659" customWidth="1"/>
    <col min="9737" max="9737" width="7.28515625" style="659" customWidth="1"/>
    <col min="9738" max="9738" width="9.42578125" style="659" customWidth="1"/>
    <col min="9739" max="9739" width="10.5703125" style="659" customWidth="1"/>
    <col min="9740" max="9740" width="8.5703125" style="659" customWidth="1"/>
    <col min="9741" max="9741" width="9.7109375" style="659" customWidth="1"/>
    <col min="9742" max="9743" width="9" style="659" customWidth="1"/>
    <col min="9744" max="9744" width="10.85546875" style="659" bestFit="1" customWidth="1"/>
    <col min="9745" max="9985" width="8.85546875" style="659"/>
    <col min="9986" max="9986" width="27.85546875" style="659" customWidth="1"/>
    <col min="9987" max="9987" width="7.5703125" style="659" customWidth="1"/>
    <col min="9988" max="9988" width="7.85546875" style="659" customWidth="1"/>
    <col min="9989" max="9989" width="8.28515625" style="659" customWidth="1"/>
    <col min="9990" max="9991" width="7.42578125" style="659" customWidth="1"/>
    <col min="9992" max="9992" width="7.85546875" style="659" customWidth="1"/>
    <col min="9993" max="9993" width="7.28515625" style="659" customWidth="1"/>
    <col min="9994" max="9994" width="9.42578125" style="659" customWidth="1"/>
    <col min="9995" max="9995" width="10.5703125" style="659" customWidth="1"/>
    <col min="9996" max="9996" width="8.5703125" style="659" customWidth="1"/>
    <col min="9997" max="9997" width="9.7109375" style="659" customWidth="1"/>
    <col min="9998" max="9999" width="9" style="659" customWidth="1"/>
    <col min="10000" max="10000" width="10.85546875" style="659" bestFit="1" customWidth="1"/>
    <col min="10001" max="10241" width="8.85546875" style="659"/>
    <col min="10242" max="10242" width="27.85546875" style="659" customWidth="1"/>
    <col min="10243" max="10243" width="7.5703125" style="659" customWidth="1"/>
    <col min="10244" max="10244" width="7.85546875" style="659" customWidth="1"/>
    <col min="10245" max="10245" width="8.28515625" style="659" customWidth="1"/>
    <col min="10246" max="10247" width="7.42578125" style="659" customWidth="1"/>
    <col min="10248" max="10248" width="7.85546875" style="659" customWidth="1"/>
    <col min="10249" max="10249" width="7.28515625" style="659" customWidth="1"/>
    <col min="10250" max="10250" width="9.42578125" style="659" customWidth="1"/>
    <col min="10251" max="10251" width="10.5703125" style="659" customWidth="1"/>
    <col min="10252" max="10252" width="8.5703125" style="659" customWidth="1"/>
    <col min="10253" max="10253" width="9.7109375" style="659" customWidth="1"/>
    <col min="10254" max="10255" width="9" style="659" customWidth="1"/>
    <col min="10256" max="10256" width="10.85546875" style="659" bestFit="1" customWidth="1"/>
    <col min="10257" max="10497" width="8.85546875" style="659"/>
    <col min="10498" max="10498" width="27.85546875" style="659" customWidth="1"/>
    <col min="10499" max="10499" width="7.5703125" style="659" customWidth="1"/>
    <col min="10500" max="10500" width="7.85546875" style="659" customWidth="1"/>
    <col min="10501" max="10501" width="8.28515625" style="659" customWidth="1"/>
    <col min="10502" max="10503" width="7.42578125" style="659" customWidth="1"/>
    <col min="10504" max="10504" width="7.85546875" style="659" customWidth="1"/>
    <col min="10505" max="10505" width="7.28515625" style="659" customWidth="1"/>
    <col min="10506" max="10506" width="9.42578125" style="659" customWidth="1"/>
    <col min="10507" max="10507" width="10.5703125" style="659" customWidth="1"/>
    <col min="10508" max="10508" width="8.5703125" style="659" customWidth="1"/>
    <col min="10509" max="10509" width="9.7109375" style="659" customWidth="1"/>
    <col min="10510" max="10511" width="9" style="659" customWidth="1"/>
    <col min="10512" max="10512" width="10.85546875" style="659" bestFit="1" customWidth="1"/>
    <col min="10513" max="10753" width="8.85546875" style="659"/>
    <col min="10754" max="10754" width="27.85546875" style="659" customWidth="1"/>
    <col min="10755" max="10755" width="7.5703125" style="659" customWidth="1"/>
    <col min="10756" max="10756" width="7.85546875" style="659" customWidth="1"/>
    <col min="10757" max="10757" width="8.28515625" style="659" customWidth="1"/>
    <col min="10758" max="10759" width="7.42578125" style="659" customWidth="1"/>
    <col min="10760" max="10760" width="7.85546875" style="659" customWidth="1"/>
    <col min="10761" max="10761" width="7.28515625" style="659" customWidth="1"/>
    <col min="10762" max="10762" width="9.42578125" style="659" customWidth="1"/>
    <col min="10763" max="10763" width="10.5703125" style="659" customWidth="1"/>
    <col min="10764" max="10764" width="8.5703125" style="659" customWidth="1"/>
    <col min="10765" max="10765" width="9.7109375" style="659" customWidth="1"/>
    <col min="10766" max="10767" width="9" style="659" customWidth="1"/>
    <col min="10768" max="10768" width="10.85546875" style="659" bestFit="1" customWidth="1"/>
    <col min="10769" max="11009" width="8.85546875" style="659"/>
    <col min="11010" max="11010" width="27.85546875" style="659" customWidth="1"/>
    <col min="11011" max="11011" width="7.5703125" style="659" customWidth="1"/>
    <col min="11012" max="11012" width="7.85546875" style="659" customWidth="1"/>
    <col min="11013" max="11013" width="8.28515625" style="659" customWidth="1"/>
    <col min="11014" max="11015" width="7.42578125" style="659" customWidth="1"/>
    <col min="11016" max="11016" width="7.85546875" style="659" customWidth="1"/>
    <col min="11017" max="11017" width="7.28515625" style="659" customWidth="1"/>
    <col min="11018" max="11018" width="9.42578125" style="659" customWidth="1"/>
    <col min="11019" max="11019" width="10.5703125" style="659" customWidth="1"/>
    <col min="11020" max="11020" width="8.5703125" style="659" customWidth="1"/>
    <col min="11021" max="11021" width="9.7109375" style="659" customWidth="1"/>
    <col min="11022" max="11023" width="9" style="659" customWidth="1"/>
    <col min="11024" max="11024" width="10.85546875" style="659" bestFit="1" customWidth="1"/>
    <col min="11025" max="11265" width="8.85546875" style="659"/>
    <col min="11266" max="11266" width="27.85546875" style="659" customWidth="1"/>
    <col min="11267" max="11267" width="7.5703125" style="659" customWidth="1"/>
    <col min="11268" max="11268" width="7.85546875" style="659" customWidth="1"/>
    <col min="11269" max="11269" width="8.28515625" style="659" customWidth="1"/>
    <col min="11270" max="11271" width="7.42578125" style="659" customWidth="1"/>
    <col min="11272" max="11272" width="7.85546875" style="659" customWidth="1"/>
    <col min="11273" max="11273" width="7.28515625" style="659" customWidth="1"/>
    <col min="11274" max="11274" width="9.42578125" style="659" customWidth="1"/>
    <col min="11275" max="11275" width="10.5703125" style="659" customWidth="1"/>
    <col min="11276" max="11276" width="8.5703125" style="659" customWidth="1"/>
    <col min="11277" max="11277" width="9.7109375" style="659" customWidth="1"/>
    <col min="11278" max="11279" width="9" style="659" customWidth="1"/>
    <col min="11280" max="11280" width="10.85546875" style="659" bestFit="1" customWidth="1"/>
    <col min="11281" max="11521" width="8.85546875" style="659"/>
    <col min="11522" max="11522" width="27.85546875" style="659" customWidth="1"/>
    <col min="11523" max="11523" width="7.5703125" style="659" customWidth="1"/>
    <col min="11524" max="11524" width="7.85546875" style="659" customWidth="1"/>
    <col min="11525" max="11525" width="8.28515625" style="659" customWidth="1"/>
    <col min="11526" max="11527" width="7.42578125" style="659" customWidth="1"/>
    <col min="11528" max="11528" width="7.85546875" style="659" customWidth="1"/>
    <col min="11529" max="11529" width="7.28515625" style="659" customWidth="1"/>
    <col min="11530" max="11530" width="9.42578125" style="659" customWidth="1"/>
    <col min="11531" max="11531" width="10.5703125" style="659" customWidth="1"/>
    <col min="11532" max="11532" width="8.5703125" style="659" customWidth="1"/>
    <col min="11533" max="11533" width="9.7109375" style="659" customWidth="1"/>
    <col min="11534" max="11535" width="9" style="659" customWidth="1"/>
    <col min="11536" max="11536" width="10.85546875" style="659" bestFit="1" customWidth="1"/>
    <col min="11537" max="11777" width="8.85546875" style="659"/>
    <col min="11778" max="11778" width="27.85546875" style="659" customWidth="1"/>
    <col min="11779" max="11779" width="7.5703125" style="659" customWidth="1"/>
    <col min="11780" max="11780" width="7.85546875" style="659" customWidth="1"/>
    <col min="11781" max="11781" width="8.28515625" style="659" customWidth="1"/>
    <col min="11782" max="11783" width="7.42578125" style="659" customWidth="1"/>
    <col min="11784" max="11784" width="7.85546875" style="659" customWidth="1"/>
    <col min="11785" max="11785" width="7.28515625" style="659" customWidth="1"/>
    <col min="11786" max="11786" width="9.42578125" style="659" customWidth="1"/>
    <col min="11787" max="11787" width="10.5703125" style="659" customWidth="1"/>
    <col min="11788" max="11788" width="8.5703125" style="659" customWidth="1"/>
    <col min="11789" max="11789" width="9.7109375" style="659" customWidth="1"/>
    <col min="11790" max="11791" width="9" style="659" customWidth="1"/>
    <col min="11792" max="11792" width="10.85546875" style="659" bestFit="1" customWidth="1"/>
    <col min="11793" max="12033" width="8.85546875" style="659"/>
    <col min="12034" max="12034" width="27.85546875" style="659" customWidth="1"/>
    <col min="12035" max="12035" width="7.5703125" style="659" customWidth="1"/>
    <col min="12036" max="12036" width="7.85546875" style="659" customWidth="1"/>
    <col min="12037" max="12037" width="8.28515625" style="659" customWidth="1"/>
    <col min="12038" max="12039" width="7.42578125" style="659" customWidth="1"/>
    <col min="12040" max="12040" width="7.85546875" style="659" customWidth="1"/>
    <col min="12041" max="12041" width="7.28515625" style="659" customWidth="1"/>
    <col min="12042" max="12042" width="9.42578125" style="659" customWidth="1"/>
    <col min="12043" max="12043" width="10.5703125" style="659" customWidth="1"/>
    <col min="12044" max="12044" width="8.5703125" style="659" customWidth="1"/>
    <col min="12045" max="12045" width="9.7109375" style="659" customWidth="1"/>
    <col min="12046" max="12047" width="9" style="659" customWidth="1"/>
    <col min="12048" max="12048" width="10.85546875" style="659" bestFit="1" customWidth="1"/>
    <col min="12049" max="12289" width="8.85546875" style="659"/>
    <col min="12290" max="12290" width="27.85546875" style="659" customWidth="1"/>
    <col min="12291" max="12291" width="7.5703125" style="659" customWidth="1"/>
    <col min="12292" max="12292" width="7.85546875" style="659" customWidth="1"/>
    <col min="12293" max="12293" width="8.28515625" style="659" customWidth="1"/>
    <col min="12294" max="12295" width="7.42578125" style="659" customWidth="1"/>
    <col min="12296" max="12296" width="7.85546875" style="659" customWidth="1"/>
    <col min="12297" max="12297" width="7.28515625" style="659" customWidth="1"/>
    <col min="12298" max="12298" width="9.42578125" style="659" customWidth="1"/>
    <col min="12299" max="12299" width="10.5703125" style="659" customWidth="1"/>
    <col min="12300" max="12300" width="8.5703125" style="659" customWidth="1"/>
    <col min="12301" max="12301" width="9.7109375" style="659" customWidth="1"/>
    <col min="12302" max="12303" width="9" style="659" customWidth="1"/>
    <col min="12304" max="12304" width="10.85546875" style="659" bestFit="1" customWidth="1"/>
    <col min="12305" max="12545" width="8.85546875" style="659"/>
    <col min="12546" max="12546" width="27.85546875" style="659" customWidth="1"/>
    <col min="12547" max="12547" width="7.5703125" style="659" customWidth="1"/>
    <col min="12548" max="12548" width="7.85546875" style="659" customWidth="1"/>
    <col min="12549" max="12549" width="8.28515625" style="659" customWidth="1"/>
    <col min="12550" max="12551" width="7.42578125" style="659" customWidth="1"/>
    <col min="12552" max="12552" width="7.85546875" style="659" customWidth="1"/>
    <col min="12553" max="12553" width="7.28515625" style="659" customWidth="1"/>
    <col min="12554" max="12554" width="9.42578125" style="659" customWidth="1"/>
    <col min="12555" max="12555" width="10.5703125" style="659" customWidth="1"/>
    <col min="12556" max="12556" width="8.5703125" style="659" customWidth="1"/>
    <col min="12557" max="12557" width="9.7109375" style="659" customWidth="1"/>
    <col min="12558" max="12559" width="9" style="659" customWidth="1"/>
    <col min="12560" max="12560" width="10.85546875" style="659" bestFit="1" customWidth="1"/>
    <col min="12561" max="12801" width="8.85546875" style="659"/>
    <col min="12802" max="12802" width="27.85546875" style="659" customWidth="1"/>
    <col min="12803" max="12803" width="7.5703125" style="659" customWidth="1"/>
    <col min="12804" max="12804" width="7.85546875" style="659" customWidth="1"/>
    <col min="12805" max="12805" width="8.28515625" style="659" customWidth="1"/>
    <col min="12806" max="12807" width="7.42578125" style="659" customWidth="1"/>
    <col min="12808" max="12808" width="7.85546875" style="659" customWidth="1"/>
    <col min="12809" max="12809" width="7.28515625" style="659" customWidth="1"/>
    <col min="12810" max="12810" width="9.42578125" style="659" customWidth="1"/>
    <col min="12811" max="12811" width="10.5703125" style="659" customWidth="1"/>
    <col min="12812" max="12812" width="8.5703125" style="659" customWidth="1"/>
    <col min="12813" max="12813" width="9.7109375" style="659" customWidth="1"/>
    <col min="12814" max="12815" width="9" style="659" customWidth="1"/>
    <col min="12816" max="12816" width="10.85546875" style="659" bestFit="1" customWidth="1"/>
    <col min="12817" max="13057" width="8.85546875" style="659"/>
    <col min="13058" max="13058" width="27.85546875" style="659" customWidth="1"/>
    <col min="13059" max="13059" width="7.5703125" style="659" customWidth="1"/>
    <col min="13060" max="13060" width="7.85546875" style="659" customWidth="1"/>
    <col min="13061" max="13061" width="8.28515625" style="659" customWidth="1"/>
    <col min="13062" max="13063" width="7.42578125" style="659" customWidth="1"/>
    <col min="13064" max="13064" width="7.85546875" style="659" customWidth="1"/>
    <col min="13065" max="13065" width="7.28515625" style="659" customWidth="1"/>
    <col min="13066" max="13066" width="9.42578125" style="659" customWidth="1"/>
    <col min="13067" max="13067" width="10.5703125" style="659" customWidth="1"/>
    <col min="13068" max="13068" width="8.5703125" style="659" customWidth="1"/>
    <col min="13069" max="13069" width="9.7109375" style="659" customWidth="1"/>
    <col min="13070" max="13071" width="9" style="659" customWidth="1"/>
    <col min="13072" max="13072" width="10.85546875" style="659" bestFit="1" customWidth="1"/>
    <col min="13073" max="13313" width="8.85546875" style="659"/>
    <col min="13314" max="13314" width="27.85546875" style="659" customWidth="1"/>
    <col min="13315" max="13315" width="7.5703125" style="659" customWidth="1"/>
    <col min="13316" max="13316" width="7.85546875" style="659" customWidth="1"/>
    <col min="13317" max="13317" width="8.28515625" style="659" customWidth="1"/>
    <col min="13318" max="13319" width="7.42578125" style="659" customWidth="1"/>
    <col min="13320" max="13320" width="7.85546875" style="659" customWidth="1"/>
    <col min="13321" max="13321" width="7.28515625" style="659" customWidth="1"/>
    <col min="13322" max="13322" width="9.42578125" style="659" customWidth="1"/>
    <col min="13323" max="13323" width="10.5703125" style="659" customWidth="1"/>
    <col min="13324" max="13324" width="8.5703125" style="659" customWidth="1"/>
    <col min="13325" max="13325" width="9.7109375" style="659" customWidth="1"/>
    <col min="13326" max="13327" width="9" style="659" customWidth="1"/>
    <col min="13328" max="13328" width="10.85546875" style="659" bestFit="1" customWidth="1"/>
    <col min="13329" max="13569" width="8.85546875" style="659"/>
    <col min="13570" max="13570" width="27.85546875" style="659" customWidth="1"/>
    <col min="13571" max="13571" width="7.5703125" style="659" customWidth="1"/>
    <col min="13572" max="13572" width="7.85546875" style="659" customWidth="1"/>
    <col min="13573" max="13573" width="8.28515625" style="659" customWidth="1"/>
    <col min="13574" max="13575" width="7.42578125" style="659" customWidth="1"/>
    <col min="13576" max="13576" width="7.85546875" style="659" customWidth="1"/>
    <col min="13577" max="13577" width="7.28515625" style="659" customWidth="1"/>
    <col min="13578" max="13578" width="9.42578125" style="659" customWidth="1"/>
    <col min="13579" max="13579" width="10.5703125" style="659" customWidth="1"/>
    <col min="13580" max="13580" width="8.5703125" style="659" customWidth="1"/>
    <col min="13581" max="13581" width="9.7109375" style="659" customWidth="1"/>
    <col min="13582" max="13583" width="9" style="659" customWidth="1"/>
    <col min="13584" max="13584" width="10.85546875" style="659" bestFit="1" customWidth="1"/>
    <col min="13585" max="13825" width="8.85546875" style="659"/>
    <col min="13826" max="13826" width="27.85546875" style="659" customWidth="1"/>
    <col min="13827" max="13827" width="7.5703125" style="659" customWidth="1"/>
    <col min="13828" max="13828" width="7.85546875" style="659" customWidth="1"/>
    <col min="13829" max="13829" width="8.28515625" style="659" customWidth="1"/>
    <col min="13830" max="13831" width="7.42578125" style="659" customWidth="1"/>
    <col min="13832" max="13832" width="7.85546875" style="659" customWidth="1"/>
    <col min="13833" max="13833" width="7.28515625" style="659" customWidth="1"/>
    <col min="13834" max="13834" width="9.42578125" style="659" customWidth="1"/>
    <col min="13835" max="13835" width="10.5703125" style="659" customWidth="1"/>
    <col min="13836" max="13836" width="8.5703125" style="659" customWidth="1"/>
    <col min="13837" max="13837" width="9.7109375" style="659" customWidth="1"/>
    <col min="13838" max="13839" width="9" style="659" customWidth="1"/>
    <col min="13840" max="13840" width="10.85546875" style="659" bestFit="1" customWidth="1"/>
    <col min="13841" max="14081" width="8.85546875" style="659"/>
    <col min="14082" max="14082" width="27.85546875" style="659" customWidth="1"/>
    <col min="14083" max="14083" width="7.5703125" style="659" customWidth="1"/>
    <col min="14084" max="14084" width="7.85546875" style="659" customWidth="1"/>
    <col min="14085" max="14085" width="8.28515625" style="659" customWidth="1"/>
    <col min="14086" max="14087" width="7.42578125" style="659" customWidth="1"/>
    <col min="14088" max="14088" width="7.85546875" style="659" customWidth="1"/>
    <col min="14089" max="14089" width="7.28515625" style="659" customWidth="1"/>
    <col min="14090" max="14090" width="9.42578125" style="659" customWidth="1"/>
    <col min="14091" max="14091" width="10.5703125" style="659" customWidth="1"/>
    <col min="14092" max="14092" width="8.5703125" style="659" customWidth="1"/>
    <col min="14093" max="14093" width="9.7109375" style="659" customWidth="1"/>
    <col min="14094" max="14095" width="9" style="659" customWidth="1"/>
    <col min="14096" max="14096" width="10.85546875" style="659" bestFit="1" customWidth="1"/>
    <col min="14097" max="14337" width="8.85546875" style="659"/>
    <col min="14338" max="14338" width="27.85546875" style="659" customWidth="1"/>
    <col min="14339" max="14339" width="7.5703125" style="659" customWidth="1"/>
    <col min="14340" max="14340" width="7.85546875" style="659" customWidth="1"/>
    <col min="14341" max="14341" width="8.28515625" style="659" customWidth="1"/>
    <col min="14342" max="14343" width="7.42578125" style="659" customWidth="1"/>
    <col min="14344" max="14344" width="7.85546875" style="659" customWidth="1"/>
    <col min="14345" max="14345" width="7.28515625" style="659" customWidth="1"/>
    <col min="14346" max="14346" width="9.42578125" style="659" customWidth="1"/>
    <col min="14347" max="14347" width="10.5703125" style="659" customWidth="1"/>
    <col min="14348" max="14348" width="8.5703125" style="659" customWidth="1"/>
    <col min="14349" max="14349" width="9.7109375" style="659" customWidth="1"/>
    <col min="14350" max="14351" width="9" style="659" customWidth="1"/>
    <col min="14352" max="14352" width="10.85546875" style="659" bestFit="1" customWidth="1"/>
    <col min="14353" max="14593" width="8.85546875" style="659"/>
    <col min="14594" max="14594" width="27.85546875" style="659" customWidth="1"/>
    <col min="14595" max="14595" width="7.5703125" style="659" customWidth="1"/>
    <col min="14596" max="14596" width="7.85546875" style="659" customWidth="1"/>
    <col min="14597" max="14597" width="8.28515625" style="659" customWidth="1"/>
    <col min="14598" max="14599" width="7.42578125" style="659" customWidth="1"/>
    <col min="14600" max="14600" width="7.85546875" style="659" customWidth="1"/>
    <col min="14601" max="14601" width="7.28515625" style="659" customWidth="1"/>
    <col min="14602" max="14602" width="9.42578125" style="659" customWidth="1"/>
    <col min="14603" max="14603" width="10.5703125" style="659" customWidth="1"/>
    <col min="14604" max="14604" width="8.5703125" style="659" customWidth="1"/>
    <col min="14605" max="14605" width="9.7109375" style="659" customWidth="1"/>
    <col min="14606" max="14607" width="9" style="659" customWidth="1"/>
    <col min="14608" max="14608" width="10.85546875" style="659" bestFit="1" customWidth="1"/>
    <col min="14609" max="14849" width="8.85546875" style="659"/>
    <col min="14850" max="14850" width="27.85546875" style="659" customWidth="1"/>
    <col min="14851" max="14851" width="7.5703125" style="659" customWidth="1"/>
    <col min="14852" max="14852" width="7.85546875" style="659" customWidth="1"/>
    <col min="14853" max="14853" width="8.28515625" style="659" customWidth="1"/>
    <col min="14854" max="14855" width="7.42578125" style="659" customWidth="1"/>
    <col min="14856" max="14856" width="7.85546875" style="659" customWidth="1"/>
    <col min="14857" max="14857" width="7.28515625" style="659" customWidth="1"/>
    <col min="14858" max="14858" width="9.42578125" style="659" customWidth="1"/>
    <col min="14859" max="14859" width="10.5703125" style="659" customWidth="1"/>
    <col min="14860" max="14860" width="8.5703125" style="659" customWidth="1"/>
    <col min="14861" max="14861" width="9.7109375" style="659" customWidth="1"/>
    <col min="14862" max="14863" width="9" style="659" customWidth="1"/>
    <col min="14864" max="14864" width="10.85546875" style="659" bestFit="1" customWidth="1"/>
    <col min="14865" max="15105" width="8.85546875" style="659"/>
    <col min="15106" max="15106" width="27.85546875" style="659" customWidth="1"/>
    <col min="15107" max="15107" width="7.5703125" style="659" customWidth="1"/>
    <col min="15108" max="15108" width="7.85546875" style="659" customWidth="1"/>
    <col min="15109" max="15109" width="8.28515625" style="659" customWidth="1"/>
    <col min="15110" max="15111" width="7.42578125" style="659" customWidth="1"/>
    <col min="15112" max="15112" width="7.85546875" style="659" customWidth="1"/>
    <col min="15113" max="15113" width="7.28515625" style="659" customWidth="1"/>
    <col min="15114" max="15114" width="9.42578125" style="659" customWidth="1"/>
    <col min="15115" max="15115" width="10.5703125" style="659" customWidth="1"/>
    <col min="15116" max="15116" width="8.5703125" style="659" customWidth="1"/>
    <col min="15117" max="15117" width="9.7109375" style="659" customWidth="1"/>
    <col min="15118" max="15119" width="9" style="659" customWidth="1"/>
    <col min="15120" max="15120" width="10.85546875" style="659" bestFit="1" customWidth="1"/>
    <col min="15121" max="15361" width="8.85546875" style="659"/>
    <col min="15362" max="15362" width="27.85546875" style="659" customWidth="1"/>
    <col min="15363" max="15363" width="7.5703125" style="659" customWidth="1"/>
    <col min="15364" max="15364" width="7.85546875" style="659" customWidth="1"/>
    <col min="15365" max="15365" width="8.28515625" style="659" customWidth="1"/>
    <col min="15366" max="15367" width="7.42578125" style="659" customWidth="1"/>
    <col min="15368" max="15368" width="7.85546875" style="659" customWidth="1"/>
    <col min="15369" max="15369" width="7.28515625" style="659" customWidth="1"/>
    <col min="15370" max="15370" width="9.42578125" style="659" customWidth="1"/>
    <col min="15371" max="15371" width="10.5703125" style="659" customWidth="1"/>
    <col min="15372" max="15372" width="8.5703125" style="659" customWidth="1"/>
    <col min="15373" max="15373" width="9.7109375" style="659" customWidth="1"/>
    <col min="15374" max="15375" width="9" style="659" customWidth="1"/>
    <col min="15376" max="15376" width="10.85546875" style="659" bestFit="1" customWidth="1"/>
    <col min="15377" max="15617" width="8.85546875" style="659"/>
    <col min="15618" max="15618" width="27.85546875" style="659" customWidth="1"/>
    <col min="15619" max="15619" width="7.5703125" style="659" customWidth="1"/>
    <col min="15620" max="15620" width="7.85546875" style="659" customWidth="1"/>
    <col min="15621" max="15621" width="8.28515625" style="659" customWidth="1"/>
    <col min="15622" max="15623" width="7.42578125" style="659" customWidth="1"/>
    <col min="15624" max="15624" width="7.85546875" style="659" customWidth="1"/>
    <col min="15625" max="15625" width="7.28515625" style="659" customWidth="1"/>
    <col min="15626" max="15626" width="9.42578125" style="659" customWidth="1"/>
    <col min="15627" max="15627" width="10.5703125" style="659" customWidth="1"/>
    <col min="15628" max="15628" width="8.5703125" style="659" customWidth="1"/>
    <col min="15629" max="15629" width="9.7109375" style="659" customWidth="1"/>
    <col min="15630" max="15631" width="9" style="659" customWidth="1"/>
    <col min="15632" max="15632" width="10.85546875" style="659" bestFit="1" customWidth="1"/>
    <col min="15633" max="15873" width="8.85546875" style="659"/>
    <col min="15874" max="15874" width="27.85546875" style="659" customWidth="1"/>
    <col min="15875" max="15875" width="7.5703125" style="659" customWidth="1"/>
    <col min="15876" max="15876" width="7.85546875" style="659" customWidth="1"/>
    <col min="15877" max="15877" width="8.28515625" style="659" customWidth="1"/>
    <col min="15878" max="15879" width="7.42578125" style="659" customWidth="1"/>
    <col min="15880" max="15880" width="7.85546875" style="659" customWidth="1"/>
    <col min="15881" max="15881" width="7.28515625" style="659" customWidth="1"/>
    <col min="15882" max="15882" width="9.42578125" style="659" customWidth="1"/>
    <col min="15883" max="15883" width="10.5703125" style="659" customWidth="1"/>
    <col min="15884" max="15884" width="8.5703125" style="659" customWidth="1"/>
    <col min="15885" max="15885" width="9.7109375" style="659" customWidth="1"/>
    <col min="15886" max="15887" width="9" style="659" customWidth="1"/>
    <col min="15888" max="15888" width="10.85546875" style="659" bestFit="1" customWidth="1"/>
    <col min="15889" max="16129" width="8.85546875" style="659"/>
    <col min="16130" max="16130" width="27.85546875" style="659" customWidth="1"/>
    <col min="16131" max="16131" width="7.5703125" style="659" customWidth="1"/>
    <col min="16132" max="16132" width="7.85546875" style="659" customWidth="1"/>
    <col min="16133" max="16133" width="8.28515625" style="659" customWidth="1"/>
    <col min="16134" max="16135" width="7.42578125" style="659" customWidth="1"/>
    <col min="16136" max="16136" width="7.85546875" style="659" customWidth="1"/>
    <col min="16137" max="16137" width="7.28515625" style="659" customWidth="1"/>
    <col min="16138" max="16138" width="9.42578125" style="659" customWidth="1"/>
    <col min="16139" max="16139" width="10.5703125" style="659" customWidth="1"/>
    <col min="16140" max="16140" width="8.5703125" style="659" customWidth="1"/>
    <col min="16141" max="16141" width="9.7109375" style="659" customWidth="1"/>
    <col min="16142" max="16143" width="9" style="659" customWidth="1"/>
    <col min="16144" max="16144" width="10.85546875" style="659" bestFit="1" customWidth="1"/>
    <col min="16145" max="16384" width="8.85546875" style="659"/>
  </cols>
  <sheetData>
    <row r="1" spans="1:16" ht="13.5" x14ac:dyDescent="0.25">
      <c r="A1" s="399" t="s">
        <v>330</v>
      </c>
      <c r="B1" s="330"/>
    </row>
    <row r="2" spans="1:16" ht="13.5" x14ac:dyDescent="0.25">
      <c r="B2" s="330"/>
    </row>
    <row r="3" spans="1:16" s="331" customFormat="1" ht="41.25" customHeight="1" x14ac:dyDescent="0.3">
      <c r="B3" s="849" t="s">
        <v>326</v>
      </c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332"/>
    </row>
    <row r="4" spans="1:16" s="333" customFormat="1" ht="24" customHeight="1" thickBot="1" x14ac:dyDescent="0.25">
      <c r="B4" s="334"/>
      <c r="O4" s="335"/>
      <c r="P4" s="336"/>
    </row>
    <row r="5" spans="1:16" s="342" customFormat="1" x14ac:dyDescent="0.2">
      <c r="A5" s="337"/>
      <c r="B5" s="338"/>
      <c r="C5" s="339" t="s">
        <v>277</v>
      </c>
      <c r="D5" s="339" t="s">
        <v>278</v>
      </c>
      <c r="E5" s="339" t="s">
        <v>279</v>
      </c>
      <c r="F5" s="339" t="s">
        <v>280</v>
      </c>
      <c r="G5" s="339" t="s">
        <v>281</v>
      </c>
      <c r="H5" s="339" t="s">
        <v>282</v>
      </c>
      <c r="I5" s="339" t="s">
        <v>283</v>
      </c>
      <c r="J5" s="339" t="s">
        <v>284</v>
      </c>
      <c r="K5" s="339" t="s">
        <v>285</v>
      </c>
      <c r="L5" s="339" t="s">
        <v>286</v>
      </c>
      <c r="M5" s="339" t="s">
        <v>287</v>
      </c>
      <c r="N5" s="339" t="s">
        <v>288</v>
      </c>
      <c r="O5" s="340" t="s">
        <v>200</v>
      </c>
      <c r="P5" s="341"/>
    </row>
    <row r="6" spans="1:16" s="333" customFormat="1" ht="25.5" x14ac:dyDescent="0.2">
      <c r="A6" s="343" t="s">
        <v>153</v>
      </c>
      <c r="B6" s="344" t="s">
        <v>289</v>
      </c>
      <c r="C6" s="345">
        <f t="shared" ref="C6:N12" si="0">C33+C61+C89+C116</f>
        <v>14549097</v>
      </c>
      <c r="D6" s="345">
        <f t="shared" si="0"/>
        <v>14846297</v>
      </c>
      <c r="E6" s="345">
        <f t="shared" si="0"/>
        <v>14549097</v>
      </c>
      <c r="F6" s="345">
        <f t="shared" si="0"/>
        <v>16062120</v>
      </c>
      <c r="G6" s="345">
        <f t="shared" si="0"/>
        <v>14749097</v>
      </c>
      <c r="H6" s="345">
        <f t="shared" si="0"/>
        <v>15149097</v>
      </c>
      <c r="I6" s="345">
        <f t="shared" si="0"/>
        <v>14749097</v>
      </c>
      <c r="J6" s="345">
        <f t="shared" si="0"/>
        <v>14749097</v>
      </c>
      <c r="K6" s="345">
        <f t="shared" si="0"/>
        <v>14749097</v>
      </c>
      <c r="L6" s="345">
        <f t="shared" si="0"/>
        <v>14749097</v>
      </c>
      <c r="M6" s="345">
        <f t="shared" si="0"/>
        <v>14549097</v>
      </c>
      <c r="N6" s="345">
        <f t="shared" si="0"/>
        <v>14549099</v>
      </c>
      <c r="O6" s="346">
        <f>SUM(C6:N6)</f>
        <v>177999389</v>
      </c>
      <c r="P6" s="336"/>
    </row>
    <row r="7" spans="1:16" s="333" customFormat="1" x14ac:dyDescent="0.2">
      <c r="A7" s="343" t="s">
        <v>154</v>
      </c>
      <c r="B7" s="344" t="s">
        <v>18</v>
      </c>
      <c r="C7" s="345">
        <f t="shared" si="0"/>
        <v>290000</v>
      </c>
      <c r="D7" s="345">
        <f t="shared" si="0"/>
        <v>290000</v>
      </c>
      <c r="E7" s="345">
        <f t="shared" si="0"/>
        <v>38710000</v>
      </c>
      <c r="F7" s="345">
        <f t="shared" si="0"/>
        <v>0</v>
      </c>
      <c r="G7" s="345">
        <f t="shared" si="0"/>
        <v>0</v>
      </c>
      <c r="H7" s="345">
        <f t="shared" si="0"/>
        <v>0</v>
      </c>
      <c r="I7" s="345">
        <f t="shared" si="0"/>
        <v>0</v>
      </c>
      <c r="J7" s="345">
        <f t="shared" si="0"/>
        <v>0</v>
      </c>
      <c r="K7" s="345">
        <f t="shared" si="0"/>
        <v>38710000</v>
      </c>
      <c r="L7" s="345">
        <f t="shared" si="0"/>
        <v>0</v>
      </c>
      <c r="M7" s="345">
        <f t="shared" si="0"/>
        <v>0</v>
      </c>
      <c r="N7" s="345">
        <f t="shared" si="0"/>
        <v>0</v>
      </c>
      <c r="O7" s="346">
        <f t="shared" ref="O7:O14" si="1">SUM(C7:N7)</f>
        <v>78000000</v>
      </c>
      <c r="P7" s="336"/>
    </row>
    <row r="8" spans="1:16" s="333" customFormat="1" ht="15" customHeight="1" x14ac:dyDescent="0.2">
      <c r="A8" s="343" t="s">
        <v>155</v>
      </c>
      <c r="B8" s="344" t="s">
        <v>19</v>
      </c>
      <c r="C8" s="345">
        <f t="shared" si="0"/>
        <v>1491368</v>
      </c>
      <c r="D8" s="345">
        <f t="shared" si="0"/>
        <v>1491368</v>
      </c>
      <c r="E8" s="345">
        <f t="shared" si="0"/>
        <v>1491368</v>
      </c>
      <c r="F8" s="345">
        <f t="shared" si="0"/>
        <v>1491368</v>
      </c>
      <c r="G8" s="345">
        <f t="shared" si="0"/>
        <v>1761371</v>
      </c>
      <c r="H8" s="345">
        <f t="shared" si="0"/>
        <v>1491368</v>
      </c>
      <c r="I8" s="345">
        <f t="shared" si="0"/>
        <v>1136593</v>
      </c>
      <c r="J8" s="345">
        <f t="shared" si="0"/>
        <v>3860824</v>
      </c>
      <c r="K8" s="345">
        <f t="shared" si="0"/>
        <v>1491368</v>
      </c>
      <c r="L8" s="345">
        <f t="shared" si="0"/>
        <v>1491368</v>
      </c>
      <c r="M8" s="345">
        <f t="shared" si="0"/>
        <v>1492368</v>
      </c>
      <c r="N8" s="345">
        <f t="shared" si="0"/>
        <v>1492368</v>
      </c>
      <c r="O8" s="346">
        <f t="shared" si="1"/>
        <v>20183100</v>
      </c>
      <c r="P8" s="336"/>
    </row>
    <row r="9" spans="1:16" s="333" customFormat="1" ht="25.5" x14ac:dyDescent="0.2">
      <c r="A9" s="343" t="s">
        <v>156</v>
      </c>
      <c r="B9" s="344" t="s">
        <v>290</v>
      </c>
      <c r="C9" s="345">
        <f t="shared" si="0"/>
        <v>0</v>
      </c>
      <c r="D9" s="345">
        <f t="shared" si="0"/>
        <v>0</v>
      </c>
      <c r="E9" s="345">
        <f t="shared" si="0"/>
        <v>0</v>
      </c>
      <c r="F9" s="345">
        <f t="shared" si="0"/>
        <v>0</v>
      </c>
      <c r="G9" s="345">
        <f t="shared" si="0"/>
        <v>0</v>
      </c>
      <c r="H9" s="345">
        <f t="shared" si="0"/>
        <v>0</v>
      </c>
      <c r="I9" s="345">
        <f t="shared" si="0"/>
        <v>0</v>
      </c>
      <c r="J9" s="345">
        <f t="shared" si="0"/>
        <v>0</v>
      </c>
      <c r="K9" s="345">
        <f t="shared" si="0"/>
        <v>0</v>
      </c>
      <c r="L9" s="345">
        <f t="shared" si="0"/>
        <v>0</v>
      </c>
      <c r="M9" s="345">
        <f t="shared" si="0"/>
        <v>0</v>
      </c>
      <c r="N9" s="345">
        <f t="shared" si="0"/>
        <v>0</v>
      </c>
      <c r="O9" s="346">
        <f t="shared" si="1"/>
        <v>0</v>
      </c>
      <c r="P9" s="336"/>
    </row>
    <row r="10" spans="1:16" s="333" customFormat="1" ht="25.5" x14ac:dyDescent="0.2">
      <c r="A10" s="343" t="s">
        <v>184</v>
      </c>
      <c r="B10" s="344" t="s">
        <v>291</v>
      </c>
      <c r="C10" s="345">
        <f t="shared" si="0"/>
        <v>0</v>
      </c>
      <c r="D10" s="345">
        <f t="shared" si="0"/>
        <v>11671794</v>
      </c>
      <c r="E10" s="345">
        <f t="shared" si="0"/>
        <v>0</v>
      </c>
      <c r="F10" s="345">
        <f t="shared" si="0"/>
        <v>0</v>
      </c>
      <c r="G10" s="345">
        <f t="shared" si="0"/>
        <v>0</v>
      </c>
      <c r="H10" s="345">
        <f t="shared" si="0"/>
        <v>0</v>
      </c>
      <c r="I10" s="345">
        <f t="shared" si="0"/>
        <v>0</v>
      </c>
      <c r="J10" s="345">
        <f t="shared" si="0"/>
        <v>0</v>
      </c>
      <c r="K10" s="345">
        <f t="shared" si="0"/>
        <v>0</v>
      </c>
      <c r="L10" s="345">
        <f t="shared" si="0"/>
        <v>0</v>
      </c>
      <c r="M10" s="345">
        <f t="shared" si="0"/>
        <v>0</v>
      </c>
      <c r="N10" s="345">
        <f t="shared" si="0"/>
        <v>0</v>
      </c>
      <c r="O10" s="346">
        <f t="shared" si="1"/>
        <v>11671794</v>
      </c>
      <c r="P10" s="336"/>
    </row>
    <row r="11" spans="1:16" s="333" customFormat="1" x14ac:dyDescent="0.2">
      <c r="A11" s="343" t="s">
        <v>186</v>
      </c>
      <c r="B11" s="344" t="s">
        <v>24</v>
      </c>
      <c r="C11" s="345">
        <f t="shared" si="0"/>
        <v>0</v>
      </c>
      <c r="D11" s="345">
        <f t="shared" si="0"/>
        <v>0</v>
      </c>
      <c r="E11" s="345">
        <f t="shared" si="0"/>
        <v>0</v>
      </c>
      <c r="F11" s="345">
        <f t="shared" si="0"/>
        <v>0</v>
      </c>
      <c r="G11" s="345">
        <f t="shared" si="0"/>
        <v>0</v>
      </c>
      <c r="H11" s="345">
        <f t="shared" si="0"/>
        <v>0</v>
      </c>
      <c r="I11" s="345">
        <f t="shared" si="0"/>
        <v>0</v>
      </c>
      <c r="J11" s="345">
        <f t="shared" si="0"/>
        <v>0</v>
      </c>
      <c r="K11" s="345">
        <f t="shared" si="0"/>
        <v>0</v>
      </c>
      <c r="L11" s="345">
        <f t="shared" si="0"/>
        <v>0</v>
      </c>
      <c r="M11" s="345">
        <f t="shared" si="0"/>
        <v>0</v>
      </c>
      <c r="N11" s="345">
        <f t="shared" si="0"/>
        <v>0</v>
      </c>
      <c r="O11" s="346">
        <f t="shared" si="1"/>
        <v>0</v>
      </c>
      <c r="P11" s="336"/>
    </row>
    <row r="12" spans="1:16" s="333" customFormat="1" ht="25.5" x14ac:dyDescent="0.2">
      <c r="A12" s="343" t="s">
        <v>292</v>
      </c>
      <c r="B12" s="344" t="s">
        <v>293</v>
      </c>
      <c r="C12" s="345">
        <f>C39+C67+C95+C122</f>
        <v>0</v>
      </c>
      <c r="D12" s="345">
        <f t="shared" si="0"/>
        <v>0</v>
      </c>
      <c r="E12" s="345">
        <f t="shared" si="0"/>
        <v>0</v>
      </c>
      <c r="F12" s="345">
        <f t="shared" si="0"/>
        <v>0</v>
      </c>
      <c r="G12" s="345">
        <f t="shared" si="0"/>
        <v>0</v>
      </c>
      <c r="H12" s="345">
        <f t="shared" si="0"/>
        <v>0</v>
      </c>
      <c r="I12" s="345">
        <f t="shared" si="0"/>
        <v>0</v>
      </c>
      <c r="J12" s="345">
        <f t="shared" si="0"/>
        <v>0</v>
      </c>
      <c r="K12" s="345">
        <f t="shared" si="0"/>
        <v>0</v>
      </c>
      <c r="L12" s="345">
        <f t="shared" si="0"/>
        <v>0</v>
      </c>
      <c r="M12" s="345">
        <f t="shared" si="0"/>
        <v>0</v>
      </c>
      <c r="N12" s="345">
        <f t="shared" si="0"/>
        <v>0</v>
      </c>
      <c r="O12" s="346">
        <f t="shared" si="1"/>
        <v>0</v>
      </c>
      <c r="P12" s="336"/>
    </row>
    <row r="13" spans="1:16" s="333" customFormat="1" ht="25.5" x14ac:dyDescent="0.2">
      <c r="A13" s="343" t="s">
        <v>294</v>
      </c>
      <c r="B13" s="347" t="s">
        <v>295</v>
      </c>
      <c r="C13" s="348">
        <f>C6+C7+C8+C9+C10+C11+C12</f>
        <v>16330465</v>
      </c>
      <c r="D13" s="348">
        <f t="shared" ref="D13:N13" si="2">D6+D7+D8+D9+D10+D11+D12</f>
        <v>28299459</v>
      </c>
      <c r="E13" s="348">
        <f t="shared" si="2"/>
        <v>54750465</v>
      </c>
      <c r="F13" s="348">
        <f t="shared" si="2"/>
        <v>17553488</v>
      </c>
      <c r="G13" s="348">
        <f t="shared" si="2"/>
        <v>16510468</v>
      </c>
      <c r="H13" s="348">
        <f t="shared" si="2"/>
        <v>16640465</v>
      </c>
      <c r="I13" s="348">
        <f t="shared" si="2"/>
        <v>15885690</v>
      </c>
      <c r="J13" s="348">
        <f t="shared" si="2"/>
        <v>18609921</v>
      </c>
      <c r="K13" s="348">
        <f t="shared" si="2"/>
        <v>54950465</v>
      </c>
      <c r="L13" s="348">
        <f t="shared" si="2"/>
        <v>16240465</v>
      </c>
      <c r="M13" s="348">
        <f t="shared" si="2"/>
        <v>16041465</v>
      </c>
      <c r="N13" s="348">
        <f t="shared" si="2"/>
        <v>16041467</v>
      </c>
      <c r="O13" s="346">
        <f t="shared" si="1"/>
        <v>287854283</v>
      </c>
      <c r="P13" s="336"/>
    </row>
    <row r="14" spans="1:16" s="333" customFormat="1" ht="51" x14ac:dyDescent="0.2">
      <c r="A14" s="343" t="s">
        <v>296</v>
      </c>
      <c r="B14" s="344" t="s">
        <v>297</v>
      </c>
      <c r="C14" s="345">
        <f>C41+C69+C97+C124</f>
        <v>6308647</v>
      </c>
      <c r="D14" s="345">
        <f t="shared" ref="D14:N14" si="3">D41+D69+D97+D124</f>
        <v>6230604</v>
      </c>
      <c r="E14" s="345">
        <f t="shared" si="3"/>
        <v>6432893</v>
      </c>
      <c r="F14" s="345">
        <f t="shared" si="3"/>
        <v>6316758</v>
      </c>
      <c r="G14" s="345">
        <f t="shared" si="3"/>
        <v>551572129</v>
      </c>
      <c r="H14" s="345">
        <f t="shared" si="3"/>
        <v>5766755</v>
      </c>
      <c r="I14" s="345">
        <f t="shared" si="3"/>
        <v>6023471</v>
      </c>
      <c r="J14" s="345">
        <f t="shared" si="3"/>
        <v>5952723</v>
      </c>
      <c r="K14" s="345">
        <f t="shared" si="3"/>
        <v>6403878</v>
      </c>
      <c r="L14" s="345">
        <f t="shared" si="3"/>
        <v>5987943</v>
      </c>
      <c r="M14" s="345">
        <f t="shared" si="3"/>
        <v>6186944</v>
      </c>
      <c r="N14" s="345">
        <f t="shared" si="3"/>
        <v>6237238</v>
      </c>
      <c r="O14" s="346">
        <f t="shared" si="1"/>
        <v>619419983</v>
      </c>
      <c r="P14" s="336"/>
    </row>
    <row r="15" spans="1:16" s="333" customFormat="1" ht="28.5" customHeight="1" thickBot="1" x14ac:dyDescent="0.25">
      <c r="A15" s="343" t="s">
        <v>298</v>
      </c>
      <c r="B15" s="349" t="s">
        <v>299</v>
      </c>
      <c r="C15" s="350">
        <f>C13+C14</f>
        <v>22639112</v>
      </c>
      <c r="D15" s="350">
        <f>D13+D14</f>
        <v>34530063</v>
      </c>
      <c r="E15" s="350">
        <f t="shared" ref="E15:O15" si="4">E13+E14</f>
        <v>61183358</v>
      </c>
      <c r="F15" s="350">
        <f t="shared" si="4"/>
        <v>23870246</v>
      </c>
      <c r="G15" s="350">
        <f t="shared" si="4"/>
        <v>568082597</v>
      </c>
      <c r="H15" s="350">
        <f t="shared" si="4"/>
        <v>22407220</v>
      </c>
      <c r="I15" s="350">
        <f t="shared" si="4"/>
        <v>21909161</v>
      </c>
      <c r="J15" s="350">
        <f t="shared" si="4"/>
        <v>24562644</v>
      </c>
      <c r="K15" s="350">
        <f t="shared" si="4"/>
        <v>61354343</v>
      </c>
      <c r="L15" s="350">
        <f t="shared" si="4"/>
        <v>22228408</v>
      </c>
      <c r="M15" s="350">
        <f t="shared" si="4"/>
        <v>22228409</v>
      </c>
      <c r="N15" s="350">
        <f t="shared" si="4"/>
        <v>22278705</v>
      </c>
      <c r="O15" s="350">
        <f t="shared" si="4"/>
        <v>907274266</v>
      </c>
      <c r="P15" s="336"/>
    </row>
    <row r="16" spans="1:16" s="333" customFormat="1" ht="13.5" thickBot="1" x14ac:dyDescent="0.25">
      <c r="A16" s="351"/>
      <c r="B16" s="352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4"/>
      <c r="P16" s="336"/>
    </row>
    <row r="17" spans="1:17" s="335" customFormat="1" x14ac:dyDescent="0.2">
      <c r="A17" s="355" t="s">
        <v>300</v>
      </c>
      <c r="B17" s="356" t="s">
        <v>35</v>
      </c>
      <c r="C17" s="345">
        <f t="shared" ref="C17:N24" si="5">C45+C73+C101+C128</f>
        <v>7136268</v>
      </c>
      <c r="D17" s="345">
        <f t="shared" si="5"/>
        <v>7140679</v>
      </c>
      <c r="E17" s="345">
        <f t="shared" si="5"/>
        <v>7003653</v>
      </c>
      <c r="F17" s="345">
        <f t="shared" si="5"/>
        <v>7543419</v>
      </c>
      <c r="G17" s="345">
        <f t="shared" si="5"/>
        <v>6915566</v>
      </c>
      <c r="H17" s="345">
        <f t="shared" si="5"/>
        <v>6915565</v>
      </c>
      <c r="I17" s="345">
        <f t="shared" si="5"/>
        <v>6806368</v>
      </c>
      <c r="J17" s="345">
        <f t="shared" si="5"/>
        <v>6735620</v>
      </c>
      <c r="K17" s="345">
        <f t="shared" si="5"/>
        <v>6770830</v>
      </c>
      <c r="L17" s="345">
        <f t="shared" si="5"/>
        <v>6770830</v>
      </c>
      <c r="M17" s="345">
        <f t="shared" si="5"/>
        <v>6770830</v>
      </c>
      <c r="N17" s="345">
        <f t="shared" si="5"/>
        <v>6771122</v>
      </c>
      <c r="O17" s="357">
        <f t="shared" ref="O17:O24" si="6">SUM(C17:N17)</f>
        <v>83280750</v>
      </c>
      <c r="P17" s="358"/>
    </row>
    <row r="18" spans="1:17" s="335" customFormat="1" x14ac:dyDescent="0.2">
      <c r="A18" s="343" t="s">
        <v>301</v>
      </c>
      <c r="B18" s="344" t="s">
        <v>302</v>
      </c>
      <c r="C18" s="345">
        <f t="shared" si="5"/>
        <v>1428353</v>
      </c>
      <c r="D18" s="345">
        <f t="shared" si="5"/>
        <v>1402180</v>
      </c>
      <c r="E18" s="345">
        <f t="shared" si="5"/>
        <v>1430295</v>
      </c>
      <c r="F18" s="345">
        <f t="shared" si="5"/>
        <v>1526101</v>
      </c>
      <c r="G18" s="345">
        <f t="shared" si="5"/>
        <v>1416237</v>
      </c>
      <c r="H18" s="345">
        <f t="shared" si="5"/>
        <v>1416235</v>
      </c>
      <c r="I18" s="345">
        <f t="shared" si="5"/>
        <v>1382148</v>
      </c>
      <c r="J18" s="345">
        <f t="shared" si="5"/>
        <v>1382148</v>
      </c>
      <c r="K18" s="345">
        <f t="shared" si="5"/>
        <v>1387037</v>
      </c>
      <c r="L18" s="345">
        <f t="shared" si="5"/>
        <v>1382158</v>
      </c>
      <c r="M18" s="345">
        <f t="shared" si="5"/>
        <v>1382159</v>
      </c>
      <c r="N18" s="345">
        <f t="shared" si="5"/>
        <v>1382161</v>
      </c>
      <c r="O18" s="346">
        <f t="shared" si="6"/>
        <v>16917212</v>
      </c>
      <c r="P18" s="358"/>
    </row>
    <row r="19" spans="1:17" s="335" customFormat="1" x14ac:dyDescent="0.2">
      <c r="A19" s="343" t="s">
        <v>303</v>
      </c>
      <c r="B19" s="344" t="s">
        <v>304</v>
      </c>
      <c r="C19" s="345">
        <f t="shared" si="5"/>
        <v>7114749</v>
      </c>
      <c r="D19" s="345">
        <f t="shared" si="5"/>
        <v>7114779</v>
      </c>
      <c r="E19" s="345">
        <f t="shared" si="5"/>
        <v>7098779</v>
      </c>
      <c r="F19" s="345">
        <f t="shared" si="5"/>
        <v>7207879</v>
      </c>
      <c r="G19" s="345">
        <f t="shared" si="5"/>
        <v>7164789</v>
      </c>
      <c r="H19" s="345">
        <f t="shared" si="5"/>
        <v>9164791</v>
      </c>
      <c r="I19" s="345">
        <f t="shared" si="5"/>
        <v>14157651</v>
      </c>
      <c r="J19" s="345">
        <f t="shared" si="5"/>
        <v>12292331</v>
      </c>
      <c r="K19" s="345">
        <f t="shared" si="5"/>
        <v>12703387</v>
      </c>
      <c r="L19" s="345">
        <f t="shared" si="5"/>
        <v>22164791</v>
      </c>
      <c r="M19" s="345">
        <f t="shared" si="5"/>
        <v>23857451</v>
      </c>
      <c r="N19" s="345">
        <f t="shared" si="5"/>
        <v>7169789</v>
      </c>
      <c r="O19" s="346">
        <f t="shared" si="6"/>
        <v>137211166</v>
      </c>
      <c r="P19" s="358"/>
      <c r="Q19" s="358"/>
    </row>
    <row r="20" spans="1:17" s="335" customFormat="1" x14ac:dyDescent="0.2">
      <c r="A20" s="343" t="s">
        <v>305</v>
      </c>
      <c r="B20" s="344" t="s">
        <v>306</v>
      </c>
      <c r="C20" s="345">
        <f t="shared" si="5"/>
        <v>988250</v>
      </c>
      <c r="D20" s="345">
        <f t="shared" si="5"/>
        <v>988250</v>
      </c>
      <c r="E20" s="345">
        <f t="shared" si="5"/>
        <v>988250</v>
      </c>
      <c r="F20" s="345">
        <f t="shared" si="5"/>
        <v>988250</v>
      </c>
      <c r="G20" s="345">
        <f t="shared" si="5"/>
        <v>988250</v>
      </c>
      <c r="H20" s="345">
        <f t="shared" si="5"/>
        <v>988250</v>
      </c>
      <c r="I20" s="345">
        <f t="shared" si="5"/>
        <v>988250</v>
      </c>
      <c r="J20" s="345">
        <f t="shared" si="5"/>
        <v>988250</v>
      </c>
      <c r="K20" s="345">
        <f t="shared" si="5"/>
        <v>988250</v>
      </c>
      <c r="L20" s="345">
        <f t="shared" si="5"/>
        <v>988250</v>
      </c>
      <c r="M20" s="345">
        <f t="shared" si="5"/>
        <v>988250</v>
      </c>
      <c r="N20" s="345">
        <f t="shared" si="5"/>
        <v>988250</v>
      </c>
      <c r="O20" s="346">
        <f t="shared" si="6"/>
        <v>11859000</v>
      </c>
      <c r="P20" s="358"/>
    </row>
    <row r="21" spans="1:17" s="335" customFormat="1" ht="25.5" x14ac:dyDescent="0.2">
      <c r="A21" s="343" t="s">
        <v>307</v>
      </c>
      <c r="B21" s="344" t="s">
        <v>308</v>
      </c>
      <c r="C21" s="345">
        <f t="shared" si="5"/>
        <v>8537932</v>
      </c>
      <c r="D21" s="345">
        <f t="shared" si="5"/>
        <v>7540000</v>
      </c>
      <c r="E21" s="345">
        <f t="shared" si="5"/>
        <v>7540000</v>
      </c>
      <c r="F21" s="345">
        <f t="shared" si="5"/>
        <v>7540000</v>
      </c>
      <c r="G21" s="345">
        <f t="shared" si="5"/>
        <v>7540000</v>
      </c>
      <c r="H21" s="345">
        <f t="shared" si="5"/>
        <v>7540000</v>
      </c>
      <c r="I21" s="345">
        <f t="shared" si="5"/>
        <v>7540000</v>
      </c>
      <c r="J21" s="345">
        <f t="shared" si="5"/>
        <v>7540000</v>
      </c>
      <c r="K21" s="345">
        <f t="shared" si="5"/>
        <v>7540000</v>
      </c>
      <c r="L21" s="345">
        <f t="shared" si="5"/>
        <v>61835000</v>
      </c>
      <c r="M21" s="345">
        <f t="shared" si="5"/>
        <v>61835000</v>
      </c>
      <c r="N21" s="345">
        <f t="shared" si="5"/>
        <v>61835739</v>
      </c>
      <c r="O21" s="346">
        <f t="shared" si="6"/>
        <v>254363671</v>
      </c>
      <c r="P21" s="358"/>
    </row>
    <row r="22" spans="1:17" s="333" customFormat="1" x14ac:dyDescent="0.2">
      <c r="A22" s="343" t="s">
        <v>309</v>
      </c>
      <c r="B22" s="344" t="s">
        <v>3</v>
      </c>
      <c r="C22" s="345">
        <f t="shared" si="5"/>
        <v>0</v>
      </c>
      <c r="D22" s="345">
        <f t="shared" si="5"/>
        <v>13200000</v>
      </c>
      <c r="E22" s="345">
        <f t="shared" si="5"/>
        <v>280000</v>
      </c>
      <c r="F22" s="345">
        <f t="shared" si="5"/>
        <v>0</v>
      </c>
      <c r="G22" s="345">
        <f t="shared" si="5"/>
        <v>1688336</v>
      </c>
      <c r="H22" s="345">
        <f t="shared" si="5"/>
        <v>0</v>
      </c>
      <c r="I22" s="345">
        <f t="shared" si="5"/>
        <v>0</v>
      </c>
      <c r="J22" s="345">
        <f t="shared" si="5"/>
        <v>0</v>
      </c>
      <c r="K22" s="345">
        <f t="shared" si="5"/>
        <v>2500000</v>
      </c>
      <c r="L22" s="345">
        <f t="shared" si="5"/>
        <v>0</v>
      </c>
      <c r="M22" s="345">
        <f t="shared" si="5"/>
        <v>0</v>
      </c>
      <c r="N22" s="345">
        <f t="shared" si="5"/>
        <v>50000</v>
      </c>
      <c r="O22" s="346">
        <f t="shared" si="6"/>
        <v>17718336</v>
      </c>
      <c r="P22" s="336"/>
    </row>
    <row r="23" spans="1:17" s="335" customFormat="1" x14ac:dyDescent="0.2">
      <c r="A23" s="343" t="s">
        <v>310</v>
      </c>
      <c r="B23" s="344" t="s">
        <v>4</v>
      </c>
      <c r="C23" s="345">
        <f t="shared" si="5"/>
        <v>0</v>
      </c>
      <c r="D23" s="345">
        <f t="shared" si="5"/>
        <v>0</v>
      </c>
      <c r="E23" s="345">
        <f t="shared" si="5"/>
        <v>0</v>
      </c>
      <c r="F23" s="345">
        <f t="shared" si="5"/>
        <v>0</v>
      </c>
      <c r="G23" s="345">
        <f t="shared" si="5"/>
        <v>0</v>
      </c>
      <c r="H23" s="345">
        <f t="shared" si="5"/>
        <v>26199482</v>
      </c>
      <c r="I23" s="345">
        <f t="shared" si="5"/>
        <v>40343256</v>
      </c>
      <c r="J23" s="345">
        <f t="shared" si="5"/>
        <v>0</v>
      </c>
      <c r="K23" s="345">
        <f t="shared" si="5"/>
        <v>32341412</v>
      </c>
      <c r="L23" s="345">
        <f t="shared" si="5"/>
        <v>70537860</v>
      </c>
      <c r="M23" s="345">
        <f t="shared" si="5"/>
        <v>70537860</v>
      </c>
      <c r="N23" s="345">
        <f t="shared" si="5"/>
        <v>70537863</v>
      </c>
      <c r="O23" s="346">
        <f t="shared" si="6"/>
        <v>310497733</v>
      </c>
      <c r="P23" s="358"/>
    </row>
    <row r="24" spans="1:17" s="333" customFormat="1" ht="25.5" x14ac:dyDescent="0.2">
      <c r="A24" s="343" t="s">
        <v>311</v>
      </c>
      <c r="B24" s="344" t="s">
        <v>312</v>
      </c>
      <c r="C24" s="345">
        <f t="shared" si="5"/>
        <v>0</v>
      </c>
      <c r="D24" s="345">
        <f t="shared" si="5"/>
        <v>0</v>
      </c>
      <c r="E24" s="345">
        <f t="shared" si="5"/>
        <v>0</v>
      </c>
      <c r="F24" s="345">
        <f t="shared" si="5"/>
        <v>0</v>
      </c>
      <c r="G24" s="345">
        <f t="shared" si="5"/>
        <v>1200000</v>
      </c>
      <c r="H24" s="345">
        <f t="shared" si="5"/>
        <v>480000</v>
      </c>
      <c r="I24" s="345">
        <f t="shared" si="5"/>
        <v>0</v>
      </c>
      <c r="J24" s="345">
        <f t="shared" si="5"/>
        <v>0</v>
      </c>
      <c r="K24" s="345">
        <f t="shared" si="5"/>
        <v>0</v>
      </c>
      <c r="L24" s="345">
        <f t="shared" si="5"/>
        <v>0</v>
      </c>
      <c r="M24" s="345">
        <f t="shared" si="5"/>
        <v>0</v>
      </c>
      <c r="N24" s="345">
        <f t="shared" si="5"/>
        <v>0</v>
      </c>
      <c r="O24" s="346">
        <f t="shared" si="6"/>
        <v>1680000</v>
      </c>
      <c r="P24" s="336"/>
    </row>
    <row r="25" spans="1:17" s="333" customFormat="1" ht="25.5" x14ac:dyDescent="0.2">
      <c r="A25" s="343" t="s">
        <v>313</v>
      </c>
      <c r="B25" s="347" t="s">
        <v>314</v>
      </c>
      <c r="C25" s="348">
        <f>C17+C18+C19+C20+C21+C22+C23+C24</f>
        <v>25205552</v>
      </c>
      <c r="D25" s="348">
        <f t="shared" ref="D25:O25" si="7">D17+D18+D19+D20+D21+D22+D23+D24</f>
        <v>37385888</v>
      </c>
      <c r="E25" s="348">
        <f t="shared" si="7"/>
        <v>24340977</v>
      </c>
      <c r="F25" s="348">
        <f t="shared" si="7"/>
        <v>24805649</v>
      </c>
      <c r="G25" s="348">
        <f t="shared" si="7"/>
        <v>26913178</v>
      </c>
      <c r="H25" s="348">
        <f t="shared" si="7"/>
        <v>52704323</v>
      </c>
      <c r="I25" s="348">
        <f t="shared" si="7"/>
        <v>71217673</v>
      </c>
      <c r="J25" s="348">
        <f t="shared" si="7"/>
        <v>28938349</v>
      </c>
      <c r="K25" s="348">
        <f t="shared" si="7"/>
        <v>64230916</v>
      </c>
      <c r="L25" s="348">
        <f t="shared" si="7"/>
        <v>163678889</v>
      </c>
      <c r="M25" s="348">
        <f t="shared" si="7"/>
        <v>165371550</v>
      </c>
      <c r="N25" s="348">
        <f t="shared" si="7"/>
        <v>148734924</v>
      </c>
      <c r="O25" s="346">
        <f t="shared" si="7"/>
        <v>833527868</v>
      </c>
      <c r="P25" s="336"/>
    </row>
    <row r="26" spans="1:17" s="333" customFormat="1" ht="24.75" customHeight="1" x14ac:dyDescent="0.2">
      <c r="A26" s="343" t="s">
        <v>315</v>
      </c>
      <c r="B26" s="344" t="s">
        <v>316</v>
      </c>
      <c r="C26" s="345">
        <f>C54+C82+C110+C137</f>
        <v>6260433</v>
      </c>
      <c r="D26" s="345">
        <f t="shared" ref="D26:M26" si="8">D54+D82+D110+D137</f>
        <v>6230604</v>
      </c>
      <c r="E26" s="345">
        <f t="shared" si="8"/>
        <v>6432893</v>
      </c>
      <c r="F26" s="345">
        <f t="shared" si="8"/>
        <v>6316758</v>
      </c>
      <c r="G26" s="345">
        <f t="shared" si="8"/>
        <v>5946758</v>
      </c>
      <c r="H26" s="345">
        <f t="shared" si="8"/>
        <v>5766755</v>
      </c>
      <c r="I26" s="345">
        <f t="shared" si="8"/>
        <v>6023471</v>
      </c>
      <c r="J26" s="345">
        <f t="shared" si="8"/>
        <v>5952723</v>
      </c>
      <c r="K26" s="345">
        <f t="shared" si="8"/>
        <v>6403878</v>
      </c>
      <c r="L26" s="345">
        <f t="shared" si="8"/>
        <v>5987943</v>
      </c>
      <c r="M26" s="345">
        <f t="shared" si="8"/>
        <v>6186944</v>
      </c>
      <c r="N26" s="345">
        <f>N54+N82+N110+N137</f>
        <v>6237238</v>
      </c>
      <c r="O26" s="346">
        <f>SUM(C26:N26)</f>
        <v>73746398</v>
      </c>
      <c r="P26" s="336"/>
    </row>
    <row r="27" spans="1:17" s="333" customFormat="1" ht="26.25" thickBot="1" x14ac:dyDescent="0.25">
      <c r="A27" s="359" t="s">
        <v>317</v>
      </c>
      <c r="B27" s="349" t="s">
        <v>318</v>
      </c>
      <c r="C27" s="350">
        <f>C25+C26</f>
        <v>31465985</v>
      </c>
      <c r="D27" s="350">
        <f t="shared" ref="D27:O27" si="9">D25+D26</f>
        <v>43616492</v>
      </c>
      <c r="E27" s="350">
        <f t="shared" si="9"/>
        <v>30773870</v>
      </c>
      <c r="F27" s="350">
        <f t="shared" si="9"/>
        <v>31122407</v>
      </c>
      <c r="G27" s="350">
        <f t="shared" si="9"/>
        <v>32859936</v>
      </c>
      <c r="H27" s="350">
        <f t="shared" si="9"/>
        <v>58471078</v>
      </c>
      <c r="I27" s="350">
        <f t="shared" si="9"/>
        <v>77241144</v>
      </c>
      <c r="J27" s="350">
        <f t="shared" si="9"/>
        <v>34891072</v>
      </c>
      <c r="K27" s="350">
        <f t="shared" si="9"/>
        <v>70634794</v>
      </c>
      <c r="L27" s="350">
        <f t="shared" si="9"/>
        <v>169666832</v>
      </c>
      <c r="M27" s="350">
        <f t="shared" si="9"/>
        <v>171558494</v>
      </c>
      <c r="N27" s="350">
        <f t="shared" si="9"/>
        <v>154972162</v>
      </c>
      <c r="O27" s="360">
        <f t="shared" si="9"/>
        <v>907274266</v>
      </c>
      <c r="P27" s="336"/>
    </row>
    <row r="30" spans="1:17" s="331" customFormat="1" ht="33" customHeight="1" x14ac:dyDescent="0.3">
      <c r="B30" s="850" t="s">
        <v>328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32"/>
    </row>
    <row r="31" spans="1:17" s="331" customFormat="1" ht="19.5" thickBot="1" x14ac:dyDescent="0.35"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32"/>
    </row>
    <row r="32" spans="1:17" s="342" customFormat="1" ht="27" x14ac:dyDescent="0.25">
      <c r="A32" s="337"/>
      <c r="B32" s="362" t="s">
        <v>319</v>
      </c>
      <c r="C32" s="339" t="s">
        <v>277</v>
      </c>
      <c r="D32" s="339" t="s">
        <v>278</v>
      </c>
      <c r="E32" s="339" t="s">
        <v>279</v>
      </c>
      <c r="F32" s="339" t="s">
        <v>280</v>
      </c>
      <c r="G32" s="339" t="s">
        <v>281</v>
      </c>
      <c r="H32" s="339" t="s">
        <v>282</v>
      </c>
      <c r="I32" s="339" t="s">
        <v>283</v>
      </c>
      <c r="J32" s="339" t="s">
        <v>284</v>
      </c>
      <c r="K32" s="339" t="s">
        <v>285</v>
      </c>
      <c r="L32" s="339" t="s">
        <v>286</v>
      </c>
      <c r="M32" s="339" t="s">
        <v>287</v>
      </c>
      <c r="N32" s="339" t="s">
        <v>288</v>
      </c>
      <c r="O32" s="340" t="s">
        <v>200</v>
      </c>
      <c r="P32" s="341"/>
    </row>
    <row r="33" spans="1:17" s="333" customFormat="1" ht="25.5" x14ac:dyDescent="0.2">
      <c r="A33" s="343" t="s">
        <v>153</v>
      </c>
      <c r="B33" s="344" t="s">
        <v>289</v>
      </c>
      <c r="C33" s="345">
        <v>14549097</v>
      </c>
      <c r="D33" s="345">
        <f>14549097+297200</f>
        <v>14846297</v>
      </c>
      <c r="E33" s="345">
        <v>14549097</v>
      </c>
      <c r="F33" s="345">
        <f>14549097+391160+291056</f>
        <v>15231313</v>
      </c>
      <c r="G33" s="345">
        <v>14549097</v>
      </c>
      <c r="H33" s="345">
        <v>14549097</v>
      </c>
      <c r="I33" s="345">
        <v>14549097</v>
      </c>
      <c r="J33" s="345">
        <v>14549097</v>
      </c>
      <c r="K33" s="345">
        <v>14549097</v>
      </c>
      <c r="L33" s="345">
        <v>14549097</v>
      </c>
      <c r="M33" s="345">
        <v>14549097</v>
      </c>
      <c r="N33" s="345">
        <v>14549099</v>
      </c>
      <c r="O33" s="346">
        <f t="shared" ref="O33:O41" si="10">SUM(C33:N33)</f>
        <v>175568582</v>
      </c>
      <c r="P33" s="336"/>
    </row>
    <row r="34" spans="1:17" s="333" customFormat="1" x14ac:dyDescent="0.2">
      <c r="A34" s="343" t="s">
        <v>154</v>
      </c>
      <c r="B34" s="344" t="s">
        <v>18</v>
      </c>
      <c r="C34" s="363">
        <f>150000+140000</f>
        <v>290000</v>
      </c>
      <c r="D34" s="363">
        <v>290000</v>
      </c>
      <c r="E34" s="345">
        <v>38710000</v>
      </c>
      <c r="F34" s="345"/>
      <c r="G34" s="345"/>
      <c r="H34" s="345"/>
      <c r="I34" s="345"/>
      <c r="J34" s="345"/>
      <c r="K34" s="345">
        <v>38710000</v>
      </c>
      <c r="L34" s="345"/>
      <c r="M34" s="345"/>
      <c r="N34" s="345"/>
      <c r="O34" s="346">
        <f t="shared" si="10"/>
        <v>78000000</v>
      </c>
      <c r="P34" s="336"/>
    </row>
    <row r="35" spans="1:17" s="333" customFormat="1" x14ac:dyDescent="0.2">
      <c r="A35" s="343" t="s">
        <v>155</v>
      </c>
      <c r="B35" s="344" t="s">
        <v>19</v>
      </c>
      <c r="C35" s="345">
        <v>1462368</v>
      </c>
      <c r="D35" s="345">
        <v>1462368</v>
      </c>
      <c r="E35" s="345">
        <v>1462368</v>
      </c>
      <c r="F35" s="345">
        <v>1462368</v>
      </c>
      <c r="G35" s="345">
        <f>1462368+3</f>
        <v>1462371</v>
      </c>
      <c r="H35" s="345">
        <v>1462368</v>
      </c>
      <c r="I35" s="345">
        <f>100000+1007593</f>
        <v>1107593</v>
      </c>
      <c r="J35" s="345">
        <f>100000+3731824</f>
        <v>3831824</v>
      </c>
      <c r="K35" s="345">
        <v>1462368</v>
      </c>
      <c r="L35" s="345">
        <v>1462368</v>
      </c>
      <c r="M35" s="345">
        <v>1462368</v>
      </c>
      <c r="N35" s="345">
        <v>1462368</v>
      </c>
      <c r="O35" s="346">
        <f t="shared" si="10"/>
        <v>19563100</v>
      </c>
      <c r="P35" s="336"/>
    </row>
    <row r="36" spans="1:17" s="333" customFormat="1" ht="25.5" x14ac:dyDescent="0.2">
      <c r="A36" s="343" t="s">
        <v>156</v>
      </c>
      <c r="B36" s="344" t="s">
        <v>290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46">
        <f t="shared" si="10"/>
        <v>0</v>
      </c>
      <c r="P36" s="336"/>
    </row>
    <row r="37" spans="1:17" s="333" customFormat="1" ht="25.5" x14ac:dyDescent="0.2">
      <c r="A37" s="343" t="s">
        <v>184</v>
      </c>
      <c r="B37" s="344" t="s">
        <v>291</v>
      </c>
      <c r="C37" s="364"/>
      <c r="D37" s="364">
        <v>11671794</v>
      </c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46">
        <f t="shared" si="10"/>
        <v>11671794</v>
      </c>
      <c r="P37" s="336"/>
    </row>
    <row r="38" spans="1:17" s="333" customFormat="1" x14ac:dyDescent="0.2">
      <c r="A38" s="343" t="s">
        <v>186</v>
      </c>
      <c r="B38" s="344" t="s">
        <v>24</v>
      </c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6">
        <f t="shared" si="10"/>
        <v>0</v>
      </c>
      <c r="P38" s="336"/>
    </row>
    <row r="39" spans="1:17" s="333" customFormat="1" ht="25.5" x14ac:dyDescent="0.2">
      <c r="A39" s="343" t="s">
        <v>292</v>
      </c>
      <c r="B39" s="344" t="s">
        <v>293</v>
      </c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6">
        <f t="shared" si="10"/>
        <v>0</v>
      </c>
      <c r="P39" s="336"/>
    </row>
    <row r="40" spans="1:17" s="333" customFormat="1" ht="25.5" x14ac:dyDescent="0.2">
      <c r="A40" s="343" t="s">
        <v>294</v>
      </c>
      <c r="B40" s="347" t="s">
        <v>295</v>
      </c>
      <c r="C40" s="348">
        <f t="shared" ref="C40:N40" si="11">C33+C34+C35+C36+C37+C38+C39</f>
        <v>16301465</v>
      </c>
      <c r="D40" s="348">
        <f t="shared" si="11"/>
        <v>28270459</v>
      </c>
      <c r="E40" s="348">
        <f t="shared" si="11"/>
        <v>54721465</v>
      </c>
      <c r="F40" s="348">
        <f t="shared" si="11"/>
        <v>16693681</v>
      </c>
      <c r="G40" s="348">
        <f t="shared" si="11"/>
        <v>16011468</v>
      </c>
      <c r="H40" s="348">
        <f t="shared" si="11"/>
        <v>16011465</v>
      </c>
      <c r="I40" s="348">
        <f t="shared" si="11"/>
        <v>15656690</v>
      </c>
      <c r="J40" s="348">
        <f t="shared" si="11"/>
        <v>18380921</v>
      </c>
      <c r="K40" s="348">
        <f t="shared" si="11"/>
        <v>54721465</v>
      </c>
      <c r="L40" s="348">
        <f t="shared" si="11"/>
        <v>16011465</v>
      </c>
      <c r="M40" s="348">
        <f t="shared" si="11"/>
        <v>16011465</v>
      </c>
      <c r="N40" s="348">
        <f t="shared" si="11"/>
        <v>16011467</v>
      </c>
      <c r="O40" s="346">
        <f t="shared" si="10"/>
        <v>284803476</v>
      </c>
      <c r="P40" s="336"/>
    </row>
    <row r="41" spans="1:17" s="333" customFormat="1" ht="24" customHeight="1" x14ac:dyDescent="0.2">
      <c r="A41" s="343" t="s">
        <v>296</v>
      </c>
      <c r="B41" s="344" t="s">
        <v>320</v>
      </c>
      <c r="C41" s="345"/>
      <c r="D41" s="345"/>
      <c r="E41" s="345"/>
      <c r="F41" s="345"/>
      <c r="G41" s="345">
        <v>545625371</v>
      </c>
      <c r="H41" s="345"/>
      <c r="I41" s="345"/>
      <c r="J41" s="345"/>
      <c r="K41" s="345"/>
      <c r="L41" s="345"/>
      <c r="M41" s="345"/>
      <c r="N41" s="345"/>
      <c r="O41" s="346">
        <f t="shared" si="10"/>
        <v>545625371</v>
      </c>
      <c r="P41" s="336"/>
    </row>
    <row r="42" spans="1:17" s="333" customFormat="1" ht="26.25" thickBot="1" x14ac:dyDescent="0.25">
      <c r="A42" s="359" t="s">
        <v>298</v>
      </c>
      <c r="B42" s="349" t="s">
        <v>299</v>
      </c>
      <c r="C42" s="350">
        <f t="shared" ref="C42:O42" si="12">C40+C41</f>
        <v>16301465</v>
      </c>
      <c r="D42" s="350">
        <f t="shared" si="12"/>
        <v>28270459</v>
      </c>
      <c r="E42" s="350">
        <f t="shared" si="12"/>
        <v>54721465</v>
      </c>
      <c r="F42" s="350">
        <f t="shared" si="12"/>
        <v>16693681</v>
      </c>
      <c r="G42" s="350">
        <f t="shared" si="12"/>
        <v>561636839</v>
      </c>
      <c r="H42" s="350">
        <f t="shared" si="12"/>
        <v>16011465</v>
      </c>
      <c r="I42" s="350">
        <f t="shared" si="12"/>
        <v>15656690</v>
      </c>
      <c r="J42" s="350">
        <f t="shared" si="12"/>
        <v>18380921</v>
      </c>
      <c r="K42" s="350">
        <f t="shared" si="12"/>
        <v>54721465</v>
      </c>
      <c r="L42" s="350">
        <f t="shared" si="12"/>
        <v>16011465</v>
      </c>
      <c r="M42" s="350">
        <f t="shared" si="12"/>
        <v>16011465</v>
      </c>
      <c r="N42" s="350">
        <f t="shared" si="12"/>
        <v>16011467</v>
      </c>
      <c r="O42" s="360">
        <f t="shared" si="12"/>
        <v>830428847</v>
      </c>
      <c r="P42" s="336"/>
    </row>
    <row r="43" spans="1:17" s="333" customFormat="1" ht="19.5" customHeight="1" thickBot="1" x14ac:dyDescent="0.25">
      <c r="A43" s="351"/>
      <c r="B43" s="352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4"/>
      <c r="P43" s="336"/>
    </row>
    <row r="44" spans="1:17" s="342" customFormat="1" ht="27" x14ac:dyDescent="0.25">
      <c r="A44" s="337"/>
      <c r="B44" s="362" t="s">
        <v>321</v>
      </c>
      <c r="C44" s="365" t="s">
        <v>277</v>
      </c>
      <c r="D44" s="365" t="s">
        <v>278</v>
      </c>
      <c r="E44" s="365" t="s">
        <v>279</v>
      </c>
      <c r="F44" s="365" t="s">
        <v>280</v>
      </c>
      <c r="G44" s="365" t="s">
        <v>281</v>
      </c>
      <c r="H44" s="365" t="s">
        <v>282</v>
      </c>
      <c r="I44" s="365" t="s">
        <v>283</v>
      </c>
      <c r="J44" s="365" t="s">
        <v>284</v>
      </c>
      <c r="K44" s="365" t="s">
        <v>285</v>
      </c>
      <c r="L44" s="365" t="s">
        <v>286</v>
      </c>
      <c r="M44" s="365" t="s">
        <v>287</v>
      </c>
      <c r="N44" s="365" t="s">
        <v>288</v>
      </c>
      <c r="O44" s="340" t="s">
        <v>200</v>
      </c>
      <c r="P44" s="341"/>
    </row>
    <row r="45" spans="1:17" s="370" customFormat="1" ht="19.5" customHeight="1" x14ac:dyDescent="0.2">
      <c r="A45" s="660" t="s">
        <v>300</v>
      </c>
      <c r="B45" s="344" t="s">
        <v>35</v>
      </c>
      <c r="C45" s="367">
        <f>2685590+231007</f>
        <v>2916597</v>
      </c>
      <c r="D45" s="367">
        <f>2685590+297200</f>
        <v>2982790</v>
      </c>
      <c r="E45" s="367">
        <v>2685590</v>
      </c>
      <c r="F45" s="367">
        <v>2685590</v>
      </c>
      <c r="G45" s="367">
        <v>2685590</v>
      </c>
      <c r="H45" s="367">
        <v>2685590</v>
      </c>
      <c r="I45" s="367">
        <v>2685590</v>
      </c>
      <c r="J45" s="367">
        <v>2685590</v>
      </c>
      <c r="K45" s="367">
        <v>2685590</v>
      </c>
      <c r="L45" s="367">
        <v>2685590</v>
      </c>
      <c r="M45" s="367">
        <v>2685590</v>
      </c>
      <c r="N45" s="367">
        <v>2685590</v>
      </c>
      <c r="O45" s="368">
        <f t="shared" ref="O45:O52" si="13">SUM(C45:N45)</f>
        <v>32755287</v>
      </c>
      <c r="P45" s="369"/>
    </row>
    <row r="46" spans="1:17" s="370" customFormat="1" ht="19.5" customHeight="1" x14ac:dyDescent="0.2">
      <c r="A46" s="660" t="s">
        <v>301</v>
      </c>
      <c r="B46" s="344" t="s">
        <v>302</v>
      </c>
      <c r="C46" s="367">
        <v>583882</v>
      </c>
      <c r="D46" s="367">
        <v>574000</v>
      </c>
      <c r="E46" s="367">
        <v>574000</v>
      </c>
      <c r="F46" s="367">
        <v>574000</v>
      </c>
      <c r="G46" s="367">
        <v>574000</v>
      </c>
      <c r="H46" s="367">
        <v>574000</v>
      </c>
      <c r="I46" s="367">
        <v>574000</v>
      </c>
      <c r="J46" s="367">
        <v>574000</v>
      </c>
      <c r="K46" s="367">
        <v>574000</v>
      </c>
      <c r="L46" s="367">
        <v>574000</v>
      </c>
      <c r="M46" s="367">
        <v>574000</v>
      </c>
      <c r="N46" s="367">
        <v>574000</v>
      </c>
      <c r="O46" s="368">
        <f t="shared" si="13"/>
        <v>6897882</v>
      </c>
      <c r="P46" s="369"/>
    </row>
    <row r="47" spans="1:17" s="370" customFormat="1" ht="19.5" customHeight="1" x14ac:dyDescent="0.2">
      <c r="A47" s="660" t="s">
        <v>303</v>
      </c>
      <c r="B47" s="344" t="s">
        <v>304</v>
      </c>
      <c r="C47" s="367">
        <f>5149244+692000</f>
        <v>5841244</v>
      </c>
      <c r="D47" s="367">
        <f>5149244+692000</f>
        <v>5841244</v>
      </c>
      <c r="E47" s="367">
        <f>5149244+692000</f>
        <v>5841244</v>
      </c>
      <c r="F47" s="367">
        <f>5149244+692000</f>
        <v>5841244</v>
      </c>
      <c r="G47" s="367">
        <f>5149244+692000</f>
        <v>5841244</v>
      </c>
      <c r="H47" s="367">
        <f>5149246+2000000+692000</f>
        <v>7841246</v>
      </c>
      <c r="I47" s="367">
        <f>5149246+6992860+692000</f>
        <v>12834106</v>
      </c>
      <c r="J47" s="367">
        <f>5149246+5127540+692000</f>
        <v>10968786</v>
      </c>
      <c r="K47" s="367">
        <f>5149246+5127540+692000</f>
        <v>10968786</v>
      </c>
      <c r="L47" s="367">
        <f>5149246+15000000+692000</f>
        <v>20841246</v>
      </c>
      <c r="M47" s="367">
        <f>5149246+16692660+692000</f>
        <v>22533906</v>
      </c>
      <c r="N47" s="367">
        <f>5149246+696998</f>
        <v>5846244</v>
      </c>
      <c r="O47" s="368">
        <f t="shared" si="13"/>
        <v>121040540</v>
      </c>
      <c r="P47" s="369"/>
      <c r="Q47" s="369"/>
    </row>
    <row r="48" spans="1:17" s="370" customFormat="1" ht="30" customHeight="1" x14ac:dyDescent="0.2">
      <c r="A48" s="660" t="s">
        <v>305</v>
      </c>
      <c r="B48" s="344" t="s">
        <v>306</v>
      </c>
      <c r="C48" s="344">
        <v>988250</v>
      </c>
      <c r="D48" s="344">
        <v>988250</v>
      </c>
      <c r="E48" s="344">
        <v>988250</v>
      </c>
      <c r="F48" s="344">
        <v>988250</v>
      </c>
      <c r="G48" s="344">
        <v>988250</v>
      </c>
      <c r="H48" s="344">
        <v>988250</v>
      </c>
      <c r="I48" s="344">
        <v>988250</v>
      </c>
      <c r="J48" s="344">
        <v>988250</v>
      </c>
      <c r="K48" s="344">
        <v>988250</v>
      </c>
      <c r="L48" s="344">
        <v>988250</v>
      </c>
      <c r="M48" s="344">
        <v>988250</v>
      </c>
      <c r="N48" s="344">
        <v>988250</v>
      </c>
      <c r="O48" s="368">
        <f t="shared" si="13"/>
        <v>11859000</v>
      </c>
      <c r="P48" s="369"/>
    </row>
    <row r="49" spans="1:17" s="370" customFormat="1" ht="24.6" customHeight="1" x14ac:dyDescent="0.2">
      <c r="A49" s="660" t="s">
        <v>307</v>
      </c>
      <c r="B49" s="344" t="s">
        <v>308</v>
      </c>
      <c r="C49" s="367">
        <f>1000000+7540000-2068</f>
        <v>8537932</v>
      </c>
      <c r="D49" s="367">
        <v>7540000</v>
      </c>
      <c r="E49" s="367">
        <v>7540000</v>
      </c>
      <c r="F49" s="367">
        <v>7540000</v>
      </c>
      <c r="G49" s="367">
        <f>7540000</f>
        <v>7540000</v>
      </c>
      <c r="H49" s="367">
        <v>7540000</v>
      </c>
      <c r="I49" s="367">
        <v>7540000</v>
      </c>
      <c r="J49" s="367">
        <v>7540000</v>
      </c>
      <c r="K49" s="367">
        <f>7540000</f>
        <v>7540000</v>
      </c>
      <c r="L49" s="367">
        <f>7540000+54295000</f>
        <v>61835000</v>
      </c>
      <c r="M49" s="367">
        <f>7540000+54295000</f>
        <v>61835000</v>
      </c>
      <c r="N49" s="367">
        <f>7540000+54295000+739</f>
        <v>61835739</v>
      </c>
      <c r="O49" s="368">
        <f>SUM(C49:N49)</f>
        <v>254363671</v>
      </c>
      <c r="P49" s="369"/>
      <c r="Q49" s="268"/>
    </row>
    <row r="50" spans="1:17" s="334" customFormat="1" ht="19.5" customHeight="1" x14ac:dyDescent="0.2">
      <c r="A50" s="660" t="s">
        <v>309</v>
      </c>
      <c r="B50" s="344" t="s">
        <v>3</v>
      </c>
      <c r="C50" s="367"/>
      <c r="D50" s="367">
        <f>200000+13000000</f>
        <v>13200000</v>
      </c>
      <c r="E50" s="367">
        <v>250000</v>
      </c>
      <c r="F50" s="367"/>
      <c r="G50" s="367">
        <f>730000+908336</f>
        <v>1638336</v>
      </c>
      <c r="H50" s="367"/>
      <c r="I50" s="367"/>
      <c r="J50" s="367"/>
      <c r="K50" s="367">
        <v>2500000</v>
      </c>
      <c r="L50" s="367"/>
      <c r="M50" s="367"/>
      <c r="N50" s="367"/>
      <c r="O50" s="368">
        <f t="shared" si="13"/>
        <v>17588336</v>
      </c>
      <c r="P50" s="371"/>
      <c r="Q50" s="234"/>
    </row>
    <row r="51" spans="1:17" s="370" customFormat="1" ht="19.5" customHeight="1" x14ac:dyDescent="0.2">
      <c r="A51" s="660" t="s">
        <v>310</v>
      </c>
      <c r="B51" s="344" t="s">
        <v>4</v>
      </c>
      <c r="C51" s="367"/>
      <c r="D51" s="367"/>
      <c r="E51" s="367"/>
      <c r="F51" s="367"/>
      <c r="G51" s="367"/>
      <c r="H51" s="367">
        <v>26199482</v>
      </c>
      <c r="I51" s="367">
        <v>40343256</v>
      </c>
      <c r="J51" s="367"/>
      <c r="K51" s="367">
        <f>18990889+13350523</f>
        <v>32341412</v>
      </c>
      <c r="L51" s="367">
        <v>70537860</v>
      </c>
      <c r="M51" s="367">
        <v>70537860</v>
      </c>
      <c r="N51" s="367">
        <f>70537860+3</f>
        <v>70537863</v>
      </c>
      <c r="O51" s="368">
        <f t="shared" si="13"/>
        <v>310497733</v>
      </c>
      <c r="P51" s="369"/>
      <c r="Q51" s="234"/>
    </row>
    <row r="52" spans="1:17" s="334" customFormat="1" ht="25.5" x14ac:dyDescent="0.2">
      <c r="A52" s="660" t="s">
        <v>311</v>
      </c>
      <c r="B52" s="344" t="s">
        <v>312</v>
      </c>
      <c r="C52" s="344"/>
      <c r="D52" s="344"/>
      <c r="E52" s="344"/>
      <c r="F52" s="344"/>
      <c r="G52" s="344">
        <v>1200000</v>
      </c>
      <c r="H52" s="344">
        <v>480000</v>
      </c>
      <c r="I52" s="344"/>
      <c r="J52" s="344"/>
      <c r="K52" s="344"/>
      <c r="L52" s="344"/>
      <c r="M52" s="344"/>
      <c r="N52" s="344"/>
      <c r="O52" s="368">
        <f t="shared" si="13"/>
        <v>1680000</v>
      </c>
      <c r="P52" s="371"/>
      <c r="Q52" s="234"/>
    </row>
    <row r="53" spans="1:17" s="334" customFormat="1" ht="25.5" x14ac:dyDescent="0.2">
      <c r="A53" s="660" t="s">
        <v>313</v>
      </c>
      <c r="B53" s="347" t="s">
        <v>314</v>
      </c>
      <c r="C53" s="372">
        <f t="shared" ref="C53:N53" si="14">C45+C46+C47+C48+C49+C50+C51+C52</f>
        <v>18867905</v>
      </c>
      <c r="D53" s="372">
        <f t="shared" si="14"/>
        <v>31126284</v>
      </c>
      <c r="E53" s="372">
        <f t="shared" si="14"/>
        <v>17879084</v>
      </c>
      <c r="F53" s="372">
        <f t="shared" si="14"/>
        <v>17629084</v>
      </c>
      <c r="G53" s="372">
        <f t="shared" si="14"/>
        <v>20467420</v>
      </c>
      <c r="H53" s="372">
        <f t="shared" si="14"/>
        <v>46308568</v>
      </c>
      <c r="I53" s="372">
        <f t="shared" si="14"/>
        <v>64965202</v>
      </c>
      <c r="J53" s="372">
        <f t="shared" si="14"/>
        <v>22756626</v>
      </c>
      <c r="K53" s="372">
        <f t="shared" si="14"/>
        <v>57598038</v>
      </c>
      <c r="L53" s="372">
        <f t="shared" si="14"/>
        <v>157461946</v>
      </c>
      <c r="M53" s="372">
        <f t="shared" si="14"/>
        <v>159154606</v>
      </c>
      <c r="N53" s="372">
        <f t="shared" si="14"/>
        <v>142467686</v>
      </c>
      <c r="O53" s="368">
        <f>O45+O46+O47+O48+O49+O50+O51+O52</f>
        <v>756682449</v>
      </c>
      <c r="P53" s="371"/>
    </row>
    <row r="54" spans="1:17" s="334" customFormat="1" ht="19.5" customHeight="1" x14ac:dyDescent="0.2">
      <c r="A54" s="660" t="s">
        <v>315</v>
      </c>
      <c r="B54" s="344" t="s">
        <v>322</v>
      </c>
      <c r="C54" s="367">
        <f>C69+C97+C124+5579092-5627306</f>
        <v>6260433</v>
      </c>
      <c r="D54" s="367">
        <f t="shared" ref="D54:N54" si="15">D69+D97+D124</f>
        <v>6230604</v>
      </c>
      <c r="E54" s="367">
        <f t="shared" si="15"/>
        <v>6432893</v>
      </c>
      <c r="F54" s="367">
        <f t="shared" si="15"/>
        <v>6316758</v>
      </c>
      <c r="G54" s="367">
        <f t="shared" si="15"/>
        <v>5946758</v>
      </c>
      <c r="H54" s="367">
        <f t="shared" si="15"/>
        <v>5766755</v>
      </c>
      <c r="I54" s="367">
        <f t="shared" si="15"/>
        <v>6023471</v>
      </c>
      <c r="J54" s="367">
        <f t="shared" si="15"/>
        <v>5952723</v>
      </c>
      <c r="K54" s="367">
        <f t="shared" si="15"/>
        <v>6403878</v>
      </c>
      <c r="L54" s="367">
        <f t="shared" si="15"/>
        <v>5987943</v>
      </c>
      <c r="M54" s="367">
        <f t="shared" si="15"/>
        <v>6186944</v>
      </c>
      <c r="N54" s="367">
        <f t="shared" si="15"/>
        <v>6237238</v>
      </c>
      <c r="O54" s="367">
        <f>SUM(C54:N54)</f>
        <v>73746398</v>
      </c>
      <c r="P54" s="371"/>
    </row>
    <row r="55" spans="1:17" s="334" customFormat="1" ht="19.5" customHeight="1" thickBot="1" x14ac:dyDescent="0.25">
      <c r="A55" s="661" t="s">
        <v>317</v>
      </c>
      <c r="B55" s="349" t="s">
        <v>318</v>
      </c>
      <c r="C55" s="374">
        <f t="shared" ref="C55:O55" si="16">C53+C54</f>
        <v>25128338</v>
      </c>
      <c r="D55" s="374">
        <f t="shared" si="16"/>
        <v>37356888</v>
      </c>
      <c r="E55" s="374">
        <f t="shared" si="16"/>
        <v>24311977</v>
      </c>
      <c r="F55" s="374">
        <f t="shared" si="16"/>
        <v>23945842</v>
      </c>
      <c r="G55" s="374">
        <f t="shared" si="16"/>
        <v>26414178</v>
      </c>
      <c r="H55" s="374">
        <f t="shared" si="16"/>
        <v>52075323</v>
      </c>
      <c r="I55" s="374">
        <f t="shared" si="16"/>
        <v>70988673</v>
      </c>
      <c r="J55" s="374">
        <f t="shared" si="16"/>
        <v>28709349</v>
      </c>
      <c r="K55" s="374">
        <f t="shared" si="16"/>
        <v>64001916</v>
      </c>
      <c r="L55" s="374">
        <f t="shared" si="16"/>
        <v>163449889</v>
      </c>
      <c r="M55" s="374">
        <f t="shared" si="16"/>
        <v>165341550</v>
      </c>
      <c r="N55" s="374">
        <f t="shared" si="16"/>
        <v>148704924</v>
      </c>
      <c r="O55" s="375">
        <f t="shared" si="16"/>
        <v>830428847</v>
      </c>
      <c r="P55" s="371"/>
    </row>
    <row r="58" spans="1:17" s="331" customFormat="1" ht="33" customHeight="1" x14ac:dyDescent="0.3">
      <c r="B58" s="850" t="s">
        <v>324</v>
      </c>
      <c r="C58" s="850"/>
      <c r="D58" s="850"/>
      <c r="E58" s="850"/>
      <c r="F58" s="850"/>
      <c r="G58" s="850"/>
      <c r="H58" s="850"/>
      <c r="I58" s="850"/>
      <c r="J58" s="850"/>
      <c r="K58" s="850"/>
      <c r="L58" s="850"/>
      <c r="M58" s="850"/>
      <c r="N58" s="850"/>
      <c r="O58" s="850"/>
      <c r="P58" s="332"/>
    </row>
    <row r="59" spans="1:17" s="333" customFormat="1" ht="9" customHeight="1" thickBot="1" x14ac:dyDescent="0.25">
      <c r="B59" s="334"/>
      <c r="O59" s="335"/>
      <c r="P59" s="336"/>
    </row>
    <row r="60" spans="1:17" s="342" customFormat="1" ht="27" x14ac:dyDescent="0.25">
      <c r="A60" s="337"/>
      <c r="B60" s="362" t="s">
        <v>319</v>
      </c>
      <c r="C60" s="339" t="s">
        <v>277</v>
      </c>
      <c r="D60" s="339" t="s">
        <v>278</v>
      </c>
      <c r="E60" s="339" t="s">
        <v>279</v>
      </c>
      <c r="F60" s="339" t="s">
        <v>280</v>
      </c>
      <c r="G60" s="339" t="s">
        <v>281</v>
      </c>
      <c r="H60" s="339" t="s">
        <v>282</v>
      </c>
      <c r="I60" s="339" t="s">
        <v>283</v>
      </c>
      <c r="J60" s="339" t="s">
        <v>284</v>
      </c>
      <c r="K60" s="339" t="s">
        <v>285</v>
      </c>
      <c r="L60" s="339" t="s">
        <v>286</v>
      </c>
      <c r="M60" s="339" t="s">
        <v>287</v>
      </c>
      <c r="N60" s="339" t="s">
        <v>288</v>
      </c>
      <c r="O60" s="340" t="s">
        <v>200</v>
      </c>
      <c r="P60" s="341"/>
    </row>
    <row r="61" spans="1:17" s="333" customFormat="1" ht="25.5" x14ac:dyDescent="0.2">
      <c r="A61" s="343" t="s">
        <v>153</v>
      </c>
      <c r="B61" s="344" t="s">
        <v>289</v>
      </c>
      <c r="C61" s="345"/>
      <c r="D61" s="345"/>
      <c r="E61" s="345"/>
      <c r="F61" s="345">
        <v>830807</v>
      </c>
      <c r="G61" s="345">
        <v>200000</v>
      </c>
      <c r="H61" s="345">
        <v>200000</v>
      </c>
      <c r="I61" s="345">
        <v>200000</v>
      </c>
      <c r="J61" s="345">
        <v>200000</v>
      </c>
      <c r="K61" s="345">
        <v>200000</v>
      </c>
      <c r="L61" s="345">
        <v>200000</v>
      </c>
      <c r="M61" s="345"/>
      <c r="N61" s="345"/>
      <c r="O61" s="346">
        <f t="shared" ref="O61:O69" si="17">SUM(C61:N61)</f>
        <v>2030807</v>
      </c>
      <c r="P61" s="336"/>
    </row>
    <row r="62" spans="1:17" s="333" customFormat="1" x14ac:dyDescent="0.2">
      <c r="A62" s="343" t="s">
        <v>154</v>
      </c>
      <c r="B62" s="344" t="s">
        <v>18</v>
      </c>
      <c r="C62" s="363"/>
      <c r="D62" s="363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6">
        <f t="shared" si="17"/>
        <v>0</v>
      </c>
      <c r="P62" s="336"/>
    </row>
    <row r="63" spans="1:17" s="333" customFormat="1" x14ac:dyDescent="0.2">
      <c r="A63" s="343" t="s">
        <v>155</v>
      </c>
      <c r="B63" s="344" t="s">
        <v>19</v>
      </c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6">
        <f t="shared" si="17"/>
        <v>0</v>
      </c>
      <c r="P63" s="336"/>
    </row>
    <row r="64" spans="1:17" s="333" customFormat="1" ht="25.5" x14ac:dyDescent="0.2">
      <c r="A64" s="343" t="s">
        <v>156</v>
      </c>
      <c r="B64" s="344" t="s">
        <v>290</v>
      </c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46">
        <f t="shared" si="17"/>
        <v>0</v>
      </c>
      <c r="P64" s="336"/>
    </row>
    <row r="65" spans="1:17" s="333" customFormat="1" ht="25.5" x14ac:dyDescent="0.2">
      <c r="A65" s="343" t="s">
        <v>184</v>
      </c>
      <c r="B65" s="344" t="s">
        <v>291</v>
      </c>
      <c r="C65" s="36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46">
        <f t="shared" si="17"/>
        <v>0</v>
      </c>
      <c r="P65" s="336"/>
    </row>
    <row r="66" spans="1:17" s="333" customFormat="1" x14ac:dyDescent="0.2">
      <c r="A66" s="343" t="s">
        <v>186</v>
      </c>
      <c r="B66" s="344" t="s">
        <v>24</v>
      </c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6">
        <f t="shared" si="17"/>
        <v>0</v>
      </c>
      <c r="P66" s="336"/>
    </row>
    <row r="67" spans="1:17" s="333" customFormat="1" ht="25.5" x14ac:dyDescent="0.2">
      <c r="A67" s="343" t="s">
        <v>292</v>
      </c>
      <c r="B67" s="344" t="s">
        <v>293</v>
      </c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6">
        <f t="shared" si="17"/>
        <v>0</v>
      </c>
      <c r="P67" s="336"/>
    </row>
    <row r="68" spans="1:17" s="333" customFormat="1" ht="25.5" x14ac:dyDescent="0.2">
      <c r="A68" s="343" t="s">
        <v>294</v>
      </c>
      <c r="B68" s="347" t="s">
        <v>295</v>
      </c>
      <c r="C68" s="348">
        <f t="shared" ref="C68:N68" si="18">C61+C62+C63+C64+C65+C66+C67</f>
        <v>0</v>
      </c>
      <c r="D68" s="348">
        <f t="shared" si="18"/>
        <v>0</v>
      </c>
      <c r="E68" s="348">
        <f t="shared" si="18"/>
        <v>0</v>
      </c>
      <c r="F68" s="348">
        <f t="shared" si="18"/>
        <v>830807</v>
      </c>
      <c r="G68" s="348">
        <f t="shared" si="18"/>
        <v>200000</v>
      </c>
      <c r="H68" s="348">
        <f t="shared" si="18"/>
        <v>200000</v>
      </c>
      <c r="I68" s="348">
        <f t="shared" si="18"/>
        <v>200000</v>
      </c>
      <c r="J68" s="348">
        <f t="shared" si="18"/>
        <v>200000</v>
      </c>
      <c r="K68" s="348">
        <f t="shared" si="18"/>
        <v>200000</v>
      </c>
      <c r="L68" s="348">
        <f t="shared" si="18"/>
        <v>200000</v>
      </c>
      <c r="M68" s="348">
        <f t="shared" si="18"/>
        <v>0</v>
      </c>
      <c r="N68" s="348">
        <f t="shared" si="18"/>
        <v>0</v>
      </c>
      <c r="O68" s="346">
        <f t="shared" si="17"/>
        <v>2030807</v>
      </c>
      <c r="P68" s="336"/>
    </row>
    <row r="69" spans="1:17" s="333" customFormat="1" ht="24" customHeight="1" x14ac:dyDescent="0.2">
      <c r="A69" s="343" t="s">
        <v>296</v>
      </c>
      <c r="B69" s="344" t="s">
        <v>320</v>
      </c>
      <c r="C69" s="367">
        <f>C83-C68</f>
        <v>3524529</v>
      </c>
      <c r="D69" s="367">
        <f t="shared" ref="D69:N69" si="19">D83-D68</f>
        <v>3524529</v>
      </c>
      <c r="E69" s="367">
        <f t="shared" si="19"/>
        <v>3554529</v>
      </c>
      <c r="F69" s="367">
        <f>F83-F68</f>
        <v>3524529</v>
      </c>
      <c r="G69" s="367">
        <f t="shared" si="19"/>
        <v>3374529</v>
      </c>
      <c r="H69" s="367">
        <f t="shared" si="19"/>
        <v>3324529</v>
      </c>
      <c r="I69" s="367">
        <f t="shared" si="19"/>
        <v>3324529</v>
      </c>
      <c r="J69" s="367">
        <f t="shared" si="19"/>
        <v>3324529</v>
      </c>
      <c r="K69" s="367">
        <f t="shared" si="19"/>
        <v>3324539</v>
      </c>
      <c r="L69" s="367">
        <f t="shared" si="19"/>
        <v>3324539</v>
      </c>
      <c r="M69" s="367">
        <f t="shared" si="19"/>
        <v>3524540</v>
      </c>
      <c r="N69" s="367">
        <f t="shared" si="19"/>
        <v>3574540</v>
      </c>
      <c r="O69" s="346">
        <f t="shared" si="17"/>
        <v>41224390</v>
      </c>
      <c r="P69" s="336"/>
    </row>
    <row r="70" spans="1:17" s="333" customFormat="1" ht="26.25" thickBot="1" x14ac:dyDescent="0.25">
      <c r="A70" s="359" t="s">
        <v>298</v>
      </c>
      <c r="B70" s="349" t="s">
        <v>299</v>
      </c>
      <c r="C70" s="350">
        <f t="shared" ref="C70:O70" si="20">C68+C69</f>
        <v>3524529</v>
      </c>
      <c r="D70" s="350">
        <f t="shared" si="20"/>
        <v>3524529</v>
      </c>
      <c r="E70" s="350">
        <f t="shared" si="20"/>
        <v>3554529</v>
      </c>
      <c r="F70" s="350">
        <f t="shared" si="20"/>
        <v>4355336</v>
      </c>
      <c r="G70" s="350">
        <f t="shared" si="20"/>
        <v>3574529</v>
      </c>
      <c r="H70" s="350">
        <f t="shared" si="20"/>
        <v>3524529</v>
      </c>
      <c r="I70" s="350">
        <f t="shared" si="20"/>
        <v>3524529</v>
      </c>
      <c r="J70" s="350">
        <f t="shared" si="20"/>
        <v>3524529</v>
      </c>
      <c r="K70" s="350">
        <f t="shared" si="20"/>
        <v>3524539</v>
      </c>
      <c r="L70" s="350">
        <f t="shared" si="20"/>
        <v>3524539</v>
      </c>
      <c r="M70" s="350">
        <f t="shared" si="20"/>
        <v>3524540</v>
      </c>
      <c r="N70" s="350">
        <f t="shared" si="20"/>
        <v>3574540</v>
      </c>
      <c r="O70" s="360">
        <f t="shared" si="20"/>
        <v>43255197</v>
      </c>
      <c r="P70" s="336"/>
    </row>
    <row r="71" spans="1:17" s="333" customFormat="1" ht="19.5" customHeight="1" thickBot="1" x14ac:dyDescent="0.25">
      <c r="A71" s="351"/>
      <c r="B71" s="352"/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4"/>
      <c r="P71" s="336"/>
    </row>
    <row r="72" spans="1:17" s="342" customFormat="1" ht="27" x14ac:dyDescent="0.25">
      <c r="A72" s="337"/>
      <c r="B72" s="362" t="s">
        <v>321</v>
      </c>
      <c r="C72" s="365" t="s">
        <v>277</v>
      </c>
      <c r="D72" s="365" t="s">
        <v>278</v>
      </c>
      <c r="E72" s="365" t="s">
        <v>279</v>
      </c>
      <c r="F72" s="365" t="s">
        <v>280</v>
      </c>
      <c r="G72" s="365" t="s">
        <v>281</v>
      </c>
      <c r="H72" s="365" t="s">
        <v>282</v>
      </c>
      <c r="I72" s="365" t="s">
        <v>283</v>
      </c>
      <c r="J72" s="365" t="s">
        <v>284</v>
      </c>
      <c r="K72" s="365" t="s">
        <v>285</v>
      </c>
      <c r="L72" s="365" t="s">
        <v>286</v>
      </c>
      <c r="M72" s="365" t="s">
        <v>287</v>
      </c>
      <c r="N72" s="365" t="s">
        <v>288</v>
      </c>
      <c r="O72" s="340" t="s">
        <v>200</v>
      </c>
      <c r="P72" s="341"/>
    </row>
    <row r="73" spans="1:17" s="370" customFormat="1" ht="19.5" customHeight="1" x14ac:dyDescent="0.2">
      <c r="A73" s="366" t="s">
        <v>300</v>
      </c>
      <c r="B73" s="344" t="s">
        <v>35</v>
      </c>
      <c r="C73" s="367">
        <v>2465830</v>
      </c>
      <c r="D73" s="367">
        <v>2465830</v>
      </c>
      <c r="E73" s="367">
        <v>2465830</v>
      </c>
      <c r="F73" s="367">
        <f>2465830+627853</f>
        <v>3093683</v>
      </c>
      <c r="G73" s="367">
        <v>2465830</v>
      </c>
      <c r="H73" s="367">
        <v>2465830</v>
      </c>
      <c r="I73" s="367">
        <v>2465830</v>
      </c>
      <c r="J73" s="367">
        <v>2465830</v>
      </c>
      <c r="K73" s="367">
        <v>2465840</v>
      </c>
      <c r="L73" s="367">
        <v>2465840</v>
      </c>
      <c r="M73" s="367">
        <v>2465840</v>
      </c>
      <c r="N73" s="367">
        <v>2465840</v>
      </c>
      <c r="O73" s="368">
        <f t="shared" ref="O73:O80" si="21">SUM(C73:N73)</f>
        <v>30217853</v>
      </c>
      <c r="P73" s="369"/>
    </row>
    <row r="74" spans="1:17" s="370" customFormat="1" ht="19.5" customHeight="1" x14ac:dyDescent="0.2">
      <c r="A74" s="366" t="s">
        <v>301</v>
      </c>
      <c r="B74" s="344" t="s">
        <v>302</v>
      </c>
      <c r="C74" s="367">
        <v>495274</v>
      </c>
      <c r="D74" s="367">
        <v>495274</v>
      </c>
      <c r="E74" s="367">
        <v>495274</v>
      </c>
      <c r="F74" s="367">
        <f>495274+109864</f>
        <v>605138</v>
      </c>
      <c r="G74" s="367">
        <v>495274</v>
      </c>
      <c r="H74" s="367">
        <v>495274</v>
      </c>
      <c r="I74" s="367">
        <v>495274</v>
      </c>
      <c r="J74" s="367">
        <v>495274</v>
      </c>
      <c r="K74" s="367">
        <v>495274</v>
      </c>
      <c r="L74" s="367">
        <v>495274</v>
      </c>
      <c r="M74" s="367">
        <v>495275</v>
      </c>
      <c r="N74" s="367">
        <v>495275</v>
      </c>
      <c r="O74" s="368">
        <f t="shared" si="21"/>
        <v>6053154</v>
      </c>
      <c r="P74" s="369"/>
    </row>
    <row r="75" spans="1:17" s="370" customFormat="1" ht="19.5" customHeight="1" x14ac:dyDescent="0.2">
      <c r="A75" s="366" t="s">
        <v>303</v>
      </c>
      <c r="B75" s="344" t="s">
        <v>304</v>
      </c>
      <c r="C75" s="367">
        <v>563425</v>
      </c>
      <c r="D75" s="367">
        <v>563425</v>
      </c>
      <c r="E75" s="367">
        <v>563425</v>
      </c>
      <c r="F75" s="367">
        <f>563425+93090</f>
        <v>656515</v>
      </c>
      <c r="G75" s="367">
        <v>563425</v>
      </c>
      <c r="H75" s="367">
        <v>563425</v>
      </c>
      <c r="I75" s="367">
        <v>563425</v>
      </c>
      <c r="J75" s="367">
        <v>563425</v>
      </c>
      <c r="K75" s="367">
        <v>563425</v>
      </c>
      <c r="L75" s="367">
        <v>563425</v>
      </c>
      <c r="M75" s="367">
        <v>563425</v>
      </c>
      <c r="N75" s="367">
        <v>563425</v>
      </c>
      <c r="O75" s="368">
        <f t="shared" si="21"/>
        <v>6854190</v>
      </c>
      <c r="P75" s="369"/>
      <c r="Q75" s="369"/>
    </row>
    <row r="76" spans="1:17" s="370" customFormat="1" ht="19.5" customHeight="1" x14ac:dyDescent="0.2">
      <c r="A76" s="366" t="s">
        <v>305</v>
      </c>
      <c r="B76" s="344" t="s">
        <v>306</v>
      </c>
      <c r="C76" s="344"/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68">
        <f t="shared" si="21"/>
        <v>0</v>
      </c>
      <c r="P76" s="369"/>
    </row>
    <row r="77" spans="1:17" s="370" customFormat="1" ht="25.5" x14ac:dyDescent="0.2">
      <c r="A77" s="366" t="s">
        <v>307</v>
      </c>
      <c r="B77" s="344" t="s">
        <v>308</v>
      </c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8">
        <f t="shared" si="21"/>
        <v>0</v>
      </c>
      <c r="P77" s="369"/>
    </row>
    <row r="78" spans="1:17" s="334" customFormat="1" ht="19.5" customHeight="1" x14ac:dyDescent="0.2">
      <c r="A78" s="366" t="s">
        <v>309</v>
      </c>
      <c r="B78" s="344" t="s">
        <v>3</v>
      </c>
      <c r="C78" s="367"/>
      <c r="D78" s="367"/>
      <c r="E78" s="367">
        <v>30000</v>
      </c>
      <c r="F78" s="367"/>
      <c r="G78" s="367">
        <v>50000</v>
      </c>
      <c r="H78" s="367"/>
      <c r="I78" s="367"/>
      <c r="J78" s="367"/>
      <c r="K78" s="367"/>
      <c r="L78" s="367"/>
      <c r="M78" s="367"/>
      <c r="N78" s="367">
        <v>50000</v>
      </c>
      <c r="O78" s="368">
        <f t="shared" si="21"/>
        <v>130000</v>
      </c>
      <c r="P78" s="371"/>
    </row>
    <row r="79" spans="1:17" s="370" customFormat="1" ht="19.5" customHeight="1" x14ac:dyDescent="0.2">
      <c r="A79" s="366" t="s">
        <v>310</v>
      </c>
      <c r="B79" s="344" t="s">
        <v>4</v>
      </c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8">
        <f t="shared" si="21"/>
        <v>0</v>
      </c>
      <c r="P79" s="369"/>
    </row>
    <row r="80" spans="1:17" s="334" customFormat="1" ht="25.5" x14ac:dyDescent="0.2">
      <c r="A80" s="366" t="s">
        <v>311</v>
      </c>
      <c r="B80" s="344" t="s">
        <v>312</v>
      </c>
      <c r="C80" s="344"/>
      <c r="D80" s="344"/>
      <c r="E80" s="344"/>
      <c r="F80" s="344"/>
      <c r="G80" s="344"/>
      <c r="H80" s="344"/>
      <c r="I80" s="344"/>
      <c r="J80" s="344"/>
      <c r="K80" s="344"/>
      <c r="L80" s="344"/>
      <c r="M80" s="344"/>
      <c r="N80" s="344"/>
      <c r="O80" s="368">
        <f t="shared" si="21"/>
        <v>0</v>
      </c>
      <c r="P80" s="371"/>
    </row>
    <row r="81" spans="1:16" s="334" customFormat="1" ht="25.5" x14ac:dyDescent="0.2">
      <c r="A81" s="366" t="s">
        <v>313</v>
      </c>
      <c r="B81" s="347" t="s">
        <v>314</v>
      </c>
      <c r="C81" s="372">
        <f t="shared" ref="C81:O81" si="22">C73+C74+C75+C76+C77+C78+C79+C80</f>
        <v>3524529</v>
      </c>
      <c r="D81" s="372">
        <f t="shared" si="22"/>
        <v>3524529</v>
      </c>
      <c r="E81" s="372">
        <f t="shared" si="22"/>
        <v>3554529</v>
      </c>
      <c r="F81" s="372">
        <f t="shared" si="22"/>
        <v>4355336</v>
      </c>
      <c r="G81" s="372">
        <f t="shared" si="22"/>
        <v>3574529</v>
      </c>
      <c r="H81" s="372">
        <f t="shared" si="22"/>
        <v>3524529</v>
      </c>
      <c r="I81" s="372">
        <f t="shared" si="22"/>
        <v>3524529</v>
      </c>
      <c r="J81" s="372">
        <f t="shared" si="22"/>
        <v>3524529</v>
      </c>
      <c r="K81" s="372">
        <f t="shared" si="22"/>
        <v>3524539</v>
      </c>
      <c r="L81" s="372">
        <f t="shared" si="22"/>
        <v>3524539</v>
      </c>
      <c r="M81" s="372">
        <f t="shared" si="22"/>
        <v>3524540</v>
      </c>
      <c r="N81" s="372">
        <f t="shared" si="22"/>
        <v>3574540</v>
      </c>
      <c r="O81" s="368">
        <f t="shared" si="22"/>
        <v>43255197</v>
      </c>
      <c r="P81" s="371"/>
    </row>
    <row r="82" spans="1:16" s="334" customFormat="1" ht="19.5" customHeight="1" x14ac:dyDescent="0.2">
      <c r="A82" s="366" t="s">
        <v>315</v>
      </c>
      <c r="B82" s="344" t="s">
        <v>322</v>
      </c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8">
        <f>SUM(C82:N82)</f>
        <v>0</v>
      </c>
      <c r="P82" s="371"/>
    </row>
    <row r="83" spans="1:16" s="334" customFormat="1" ht="19.5" customHeight="1" thickBot="1" x14ac:dyDescent="0.25">
      <c r="A83" s="373" t="s">
        <v>317</v>
      </c>
      <c r="B83" s="349" t="s">
        <v>318</v>
      </c>
      <c r="C83" s="374">
        <f t="shared" ref="C83:O83" si="23">C81+C82</f>
        <v>3524529</v>
      </c>
      <c r="D83" s="374">
        <f t="shared" si="23"/>
        <v>3524529</v>
      </c>
      <c r="E83" s="374">
        <f t="shared" si="23"/>
        <v>3554529</v>
      </c>
      <c r="F83" s="374">
        <f t="shared" si="23"/>
        <v>4355336</v>
      </c>
      <c r="G83" s="374">
        <f t="shared" si="23"/>
        <v>3574529</v>
      </c>
      <c r="H83" s="374">
        <f t="shared" si="23"/>
        <v>3524529</v>
      </c>
      <c r="I83" s="374">
        <f t="shared" si="23"/>
        <v>3524529</v>
      </c>
      <c r="J83" s="374">
        <f t="shared" si="23"/>
        <v>3524529</v>
      </c>
      <c r="K83" s="374">
        <f t="shared" si="23"/>
        <v>3524539</v>
      </c>
      <c r="L83" s="374">
        <f t="shared" si="23"/>
        <v>3524539</v>
      </c>
      <c r="M83" s="374">
        <f t="shared" si="23"/>
        <v>3524540</v>
      </c>
      <c r="N83" s="374">
        <f t="shared" si="23"/>
        <v>3574540</v>
      </c>
      <c r="O83" s="375">
        <f t="shared" si="23"/>
        <v>43255197</v>
      </c>
      <c r="P83" s="371"/>
    </row>
    <row r="86" spans="1:16" s="331" customFormat="1" ht="33" customHeight="1" x14ac:dyDescent="0.3">
      <c r="B86" s="850" t="s">
        <v>325</v>
      </c>
      <c r="C86" s="850"/>
      <c r="D86" s="850"/>
      <c r="E86" s="850"/>
      <c r="F86" s="850"/>
      <c r="G86" s="850"/>
      <c r="H86" s="850"/>
      <c r="I86" s="850"/>
      <c r="J86" s="850"/>
      <c r="K86" s="850"/>
      <c r="L86" s="850"/>
      <c r="M86" s="850"/>
      <c r="N86" s="850"/>
      <c r="O86" s="850"/>
      <c r="P86" s="332"/>
    </row>
    <row r="87" spans="1:16" s="333" customFormat="1" ht="9" customHeight="1" thickBot="1" x14ac:dyDescent="0.25">
      <c r="B87" s="334"/>
      <c r="O87" s="335"/>
      <c r="P87" s="336"/>
    </row>
    <row r="88" spans="1:16" s="342" customFormat="1" ht="27" x14ac:dyDescent="0.25">
      <c r="A88" s="337"/>
      <c r="B88" s="362" t="s">
        <v>319</v>
      </c>
      <c r="C88" s="339" t="s">
        <v>277</v>
      </c>
      <c r="D88" s="339" t="s">
        <v>278</v>
      </c>
      <c r="E88" s="339" t="s">
        <v>279</v>
      </c>
      <c r="F88" s="339" t="s">
        <v>280</v>
      </c>
      <c r="G88" s="339" t="s">
        <v>281</v>
      </c>
      <c r="H88" s="339" t="s">
        <v>282</v>
      </c>
      <c r="I88" s="339" t="s">
        <v>283</v>
      </c>
      <c r="J88" s="339" t="s">
        <v>284</v>
      </c>
      <c r="K88" s="339" t="s">
        <v>285</v>
      </c>
      <c r="L88" s="339" t="s">
        <v>286</v>
      </c>
      <c r="M88" s="339" t="s">
        <v>287</v>
      </c>
      <c r="N88" s="339" t="s">
        <v>288</v>
      </c>
      <c r="O88" s="340" t="s">
        <v>200</v>
      </c>
      <c r="P88" s="341"/>
    </row>
    <row r="89" spans="1:16" s="333" customFormat="1" ht="25.5" x14ac:dyDescent="0.2">
      <c r="A89" s="343" t="s">
        <v>153</v>
      </c>
      <c r="B89" s="344" t="s">
        <v>289</v>
      </c>
      <c r="C89" s="345"/>
      <c r="D89" s="345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6">
        <f t="shared" ref="O89:O97" si="24">SUM(C89:N89)</f>
        <v>0</v>
      </c>
      <c r="P89" s="336"/>
    </row>
    <row r="90" spans="1:16" s="333" customFormat="1" x14ac:dyDescent="0.2">
      <c r="A90" s="343" t="s">
        <v>154</v>
      </c>
      <c r="B90" s="344" t="s">
        <v>18</v>
      </c>
      <c r="C90" s="363"/>
      <c r="D90" s="363"/>
      <c r="E90" s="345"/>
      <c r="F90" s="345"/>
      <c r="G90" s="345"/>
      <c r="H90" s="345"/>
      <c r="I90" s="345"/>
      <c r="J90" s="345"/>
      <c r="K90" s="345"/>
      <c r="L90" s="345"/>
      <c r="M90" s="345"/>
      <c r="N90" s="345"/>
      <c r="O90" s="346">
        <f t="shared" si="24"/>
        <v>0</v>
      </c>
      <c r="P90" s="336"/>
    </row>
    <row r="91" spans="1:16" s="333" customFormat="1" x14ac:dyDescent="0.2">
      <c r="A91" s="343" t="s">
        <v>155</v>
      </c>
      <c r="B91" s="344" t="s">
        <v>19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6">
        <f t="shared" si="24"/>
        <v>0</v>
      </c>
      <c r="P91" s="336"/>
    </row>
    <row r="92" spans="1:16" s="333" customFormat="1" ht="25.5" x14ac:dyDescent="0.2">
      <c r="A92" s="343" t="s">
        <v>156</v>
      </c>
      <c r="B92" s="344" t="s">
        <v>290</v>
      </c>
      <c r="C92" s="364"/>
      <c r="D92" s="364"/>
      <c r="E92" s="364"/>
      <c r="F92" s="364"/>
      <c r="G92" s="364"/>
      <c r="H92" s="364"/>
      <c r="I92" s="364"/>
      <c r="J92" s="364"/>
      <c r="K92" s="364"/>
      <c r="L92" s="364"/>
      <c r="M92" s="364"/>
      <c r="N92" s="364"/>
      <c r="O92" s="346">
        <f t="shared" si="24"/>
        <v>0</v>
      </c>
      <c r="P92" s="336"/>
    </row>
    <row r="93" spans="1:16" s="333" customFormat="1" ht="25.5" x14ac:dyDescent="0.2">
      <c r="A93" s="343" t="s">
        <v>184</v>
      </c>
      <c r="B93" s="344" t="s">
        <v>291</v>
      </c>
      <c r="C93" s="364"/>
      <c r="D93" s="364"/>
      <c r="E93" s="364"/>
      <c r="F93" s="364"/>
      <c r="G93" s="364"/>
      <c r="H93" s="364"/>
      <c r="I93" s="364"/>
      <c r="J93" s="364"/>
      <c r="K93" s="364"/>
      <c r="L93" s="364"/>
      <c r="M93" s="364"/>
      <c r="N93" s="364"/>
      <c r="O93" s="346">
        <f t="shared" si="24"/>
        <v>0</v>
      </c>
      <c r="P93" s="336"/>
    </row>
    <row r="94" spans="1:16" s="333" customFormat="1" x14ac:dyDescent="0.2">
      <c r="A94" s="343" t="s">
        <v>186</v>
      </c>
      <c r="B94" s="344" t="s">
        <v>24</v>
      </c>
      <c r="C94" s="345"/>
      <c r="D94" s="345"/>
      <c r="E94" s="345"/>
      <c r="F94" s="345"/>
      <c r="G94" s="345"/>
      <c r="H94" s="345"/>
      <c r="I94" s="345"/>
      <c r="J94" s="345"/>
      <c r="K94" s="345"/>
      <c r="L94" s="345"/>
      <c r="M94" s="345"/>
      <c r="N94" s="345"/>
      <c r="O94" s="346">
        <f t="shared" si="24"/>
        <v>0</v>
      </c>
      <c r="P94" s="336"/>
    </row>
    <row r="95" spans="1:16" s="333" customFormat="1" ht="25.5" x14ac:dyDescent="0.2">
      <c r="A95" s="343" t="s">
        <v>292</v>
      </c>
      <c r="B95" s="344" t="s">
        <v>293</v>
      </c>
      <c r="C95" s="345"/>
      <c r="D95" s="345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6">
        <f t="shared" si="24"/>
        <v>0</v>
      </c>
      <c r="P95" s="336"/>
    </row>
    <row r="96" spans="1:16" s="333" customFormat="1" ht="25.5" x14ac:dyDescent="0.2">
      <c r="A96" s="343" t="s">
        <v>294</v>
      </c>
      <c r="B96" s="347" t="s">
        <v>295</v>
      </c>
      <c r="C96" s="348">
        <f t="shared" ref="C96:N96" si="25">C89+C90+C91+C92+C93+C94+C95</f>
        <v>0</v>
      </c>
      <c r="D96" s="348">
        <f t="shared" si="25"/>
        <v>0</v>
      </c>
      <c r="E96" s="348">
        <f t="shared" si="25"/>
        <v>0</v>
      </c>
      <c r="F96" s="348">
        <f t="shared" si="25"/>
        <v>0</v>
      </c>
      <c r="G96" s="348">
        <f t="shared" si="25"/>
        <v>0</v>
      </c>
      <c r="H96" s="348">
        <f t="shared" si="25"/>
        <v>0</v>
      </c>
      <c r="I96" s="348">
        <f t="shared" si="25"/>
        <v>0</v>
      </c>
      <c r="J96" s="348">
        <f t="shared" si="25"/>
        <v>0</v>
      </c>
      <c r="K96" s="348">
        <f t="shared" si="25"/>
        <v>0</v>
      </c>
      <c r="L96" s="348">
        <f t="shared" si="25"/>
        <v>0</v>
      </c>
      <c r="M96" s="348">
        <f t="shared" si="25"/>
        <v>0</v>
      </c>
      <c r="N96" s="348">
        <f t="shared" si="25"/>
        <v>0</v>
      </c>
      <c r="O96" s="346">
        <f t="shared" si="24"/>
        <v>0</v>
      </c>
      <c r="P96" s="336"/>
    </row>
    <row r="97" spans="1:17" s="333" customFormat="1" ht="24" customHeight="1" x14ac:dyDescent="0.2">
      <c r="A97" s="343" t="s">
        <v>296</v>
      </c>
      <c r="B97" s="344" t="s">
        <v>320</v>
      </c>
      <c r="C97" s="367">
        <f>C111-C96</f>
        <v>1174981</v>
      </c>
      <c r="D97" s="367">
        <f t="shared" ref="D97:N97" si="26">D111-D96</f>
        <v>1096045</v>
      </c>
      <c r="E97" s="367">
        <f t="shared" si="26"/>
        <v>1268333</v>
      </c>
      <c r="F97" s="367">
        <f t="shared" si="26"/>
        <v>1182199</v>
      </c>
      <c r="G97" s="367">
        <f t="shared" si="26"/>
        <v>1182199</v>
      </c>
      <c r="H97" s="367">
        <f t="shared" si="26"/>
        <v>1182197</v>
      </c>
      <c r="I97" s="367">
        <f t="shared" si="26"/>
        <v>1066110</v>
      </c>
      <c r="J97" s="367">
        <f t="shared" si="26"/>
        <v>1066110</v>
      </c>
      <c r="K97" s="367">
        <f t="shared" si="26"/>
        <v>1066120</v>
      </c>
      <c r="L97" s="367">
        <f t="shared" si="26"/>
        <v>1066120</v>
      </c>
      <c r="M97" s="367">
        <f t="shared" si="26"/>
        <v>1066120</v>
      </c>
      <c r="N97" s="367">
        <f t="shared" si="26"/>
        <v>1066312</v>
      </c>
      <c r="O97" s="346">
        <f t="shared" si="24"/>
        <v>13482846</v>
      </c>
      <c r="P97" s="336"/>
    </row>
    <row r="98" spans="1:17" s="333" customFormat="1" ht="26.25" thickBot="1" x14ac:dyDescent="0.25">
      <c r="A98" s="359" t="s">
        <v>298</v>
      </c>
      <c r="B98" s="349" t="s">
        <v>299</v>
      </c>
      <c r="C98" s="350">
        <f t="shared" ref="C98:O98" si="27">C96+C97</f>
        <v>1174981</v>
      </c>
      <c r="D98" s="350">
        <f t="shared" si="27"/>
        <v>1096045</v>
      </c>
      <c r="E98" s="350">
        <f t="shared" si="27"/>
        <v>1268333</v>
      </c>
      <c r="F98" s="350">
        <f t="shared" si="27"/>
        <v>1182199</v>
      </c>
      <c r="G98" s="350">
        <f t="shared" si="27"/>
        <v>1182199</v>
      </c>
      <c r="H98" s="350">
        <f t="shared" si="27"/>
        <v>1182197</v>
      </c>
      <c r="I98" s="350">
        <f t="shared" si="27"/>
        <v>1066110</v>
      </c>
      <c r="J98" s="350">
        <f t="shared" si="27"/>
        <v>1066110</v>
      </c>
      <c r="K98" s="350">
        <f t="shared" si="27"/>
        <v>1066120</v>
      </c>
      <c r="L98" s="350">
        <f t="shared" si="27"/>
        <v>1066120</v>
      </c>
      <c r="M98" s="350">
        <f t="shared" si="27"/>
        <v>1066120</v>
      </c>
      <c r="N98" s="350">
        <f t="shared" si="27"/>
        <v>1066312</v>
      </c>
      <c r="O98" s="360">
        <f t="shared" si="27"/>
        <v>13482846</v>
      </c>
      <c r="P98" s="336"/>
    </row>
    <row r="99" spans="1:17" s="333" customFormat="1" ht="19.5" customHeight="1" thickBot="1" x14ac:dyDescent="0.25">
      <c r="A99" s="351"/>
      <c r="B99" s="352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4"/>
      <c r="P99" s="336"/>
    </row>
    <row r="100" spans="1:17" s="342" customFormat="1" ht="27" x14ac:dyDescent="0.25">
      <c r="A100" s="337"/>
      <c r="B100" s="362" t="s">
        <v>321</v>
      </c>
      <c r="C100" s="365" t="s">
        <v>277</v>
      </c>
      <c r="D100" s="365" t="s">
        <v>278</v>
      </c>
      <c r="E100" s="365" t="s">
        <v>279</v>
      </c>
      <c r="F100" s="365" t="s">
        <v>280</v>
      </c>
      <c r="G100" s="365" t="s">
        <v>281</v>
      </c>
      <c r="H100" s="365" t="s">
        <v>282</v>
      </c>
      <c r="I100" s="365" t="s">
        <v>283</v>
      </c>
      <c r="J100" s="365" t="s">
        <v>284</v>
      </c>
      <c r="K100" s="365" t="s">
        <v>285</v>
      </c>
      <c r="L100" s="365" t="s">
        <v>286</v>
      </c>
      <c r="M100" s="365" t="s">
        <v>287</v>
      </c>
      <c r="N100" s="365" t="s">
        <v>288</v>
      </c>
      <c r="O100" s="340" t="s">
        <v>200</v>
      </c>
      <c r="P100" s="341"/>
    </row>
    <row r="101" spans="1:17" s="370" customFormat="1" ht="19.5" customHeight="1" x14ac:dyDescent="0.2">
      <c r="A101" s="366" t="s">
        <v>300</v>
      </c>
      <c r="B101" s="344" t="s">
        <v>35</v>
      </c>
      <c r="C101" s="367">
        <f>764600+89246</f>
        <v>853846</v>
      </c>
      <c r="D101" s="367">
        <f>764600+25059</f>
        <v>789659</v>
      </c>
      <c r="E101" s="367">
        <f>764600+16000+169233</f>
        <v>949833</v>
      </c>
      <c r="F101" s="367">
        <f>764600+97146</f>
        <v>861746</v>
      </c>
      <c r="G101" s="367">
        <f>764600+97146</f>
        <v>861746</v>
      </c>
      <c r="H101" s="367">
        <f>764600+97145</f>
        <v>861745</v>
      </c>
      <c r="I101" s="367">
        <v>764600</v>
      </c>
      <c r="J101" s="367">
        <v>764600</v>
      </c>
      <c r="K101" s="367">
        <v>764600</v>
      </c>
      <c r="L101" s="367">
        <v>764600</v>
      </c>
      <c r="M101" s="367">
        <v>764600</v>
      </c>
      <c r="N101" s="367">
        <f>764600+192</f>
        <v>764792</v>
      </c>
      <c r="O101" s="368">
        <f t="shared" ref="O101:O108" si="28">SUM(C101:N101)</f>
        <v>9766367</v>
      </c>
      <c r="P101" s="369"/>
    </row>
    <row r="102" spans="1:17" s="370" customFormat="1" ht="19.5" customHeight="1" x14ac:dyDescent="0.2">
      <c r="A102" s="366" t="s">
        <v>301</v>
      </c>
      <c r="B102" s="344" t="s">
        <v>302</v>
      </c>
      <c r="C102" s="367">
        <f>148990+19635</f>
        <v>168625</v>
      </c>
      <c r="D102" s="367">
        <f>148990+4886</f>
        <v>153876</v>
      </c>
      <c r="E102" s="367">
        <f>148990+33000</f>
        <v>181990</v>
      </c>
      <c r="F102" s="367">
        <f>148990+18943</f>
        <v>167933</v>
      </c>
      <c r="G102" s="367">
        <f>148990+18943</f>
        <v>167933</v>
      </c>
      <c r="H102" s="367">
        <f>148990+18942</f>
        <v>167932</v>
      </c>
      <c r="I102" s="367">
        <v>148990</v>
      </c>
      <c r="J102" s="367">
        <v>148990</v>
      </c>
      <c r="K102" s="367">
        <v>149000</v>
      </c>
      <c r="L102" s="367">
        <v>149000</v>
      </c>
      <c r="M102" s="367">
        <v>149000</v>
      </c>
      <c r="N102" s="367">
        <v>149000</v>
      </c>
      <c r="O102" s="368">
        <f t="shared" si="28"/>
        <v>1902269</v>
      </c>
      <c r="P102" s="369"/>
    </row>
    <row r="103" spans="1:17" s="370" customFormat="1" ht="19.5" customHeight="1" x14ac:dyDescent="0.2">
      <c r="A103" s="366" t="s">
        <v>303</v>
      </c>
      <c r="B103" s="344" t="s">
        <v>304</v>
      </c>
      <c r="C103" s="367">
        <v>152510</v>
      </c>
      <c r="D103" s="367">
        <v>152510</v>
      </c>
      <c r="E103" s="367">
        <f>152510-16000</f>
        <v>136510</v>
      </c>
      <c r="F103" s="367">
        <v>152520</v>
      </c>
      <c r="G103" s="367">
        <v>152520</v>
      </c>
      <c r="H103" s="367">
        <v>152520</v>
      </c>
      <c r="I103" s="367">
        <v>152520</v>
      </c>
      <c r="J103" s="367">
        <v>152520</v>
      </c>
      <c r="K103" s="367">
        <v>152520</v>
      </c>
      <c r="L103" s="367">
        <v>152520</v>
      </c>
      <c r="M103" s="367">
        <v>152520</v>
      </c>
      <c r="N103" s="367">
        <v>152520</v>
      </c>
      <c r="O103" s="368">
        <f t="shared" si="28"/>
        <v>1814210</v>
      </c>
      <c r="P103" s="369"/>
      <c r="Q103" s="369"/>
    </row>
    <row r="104" spans="1:17" s="370" customFormat="1" ht="19.5" customHeight="1" x14ac:dyDescent="0.2">
      <c r="A104" s="366" t="s">
        <v>305</v>
      </c>
      <c r="B104" s="344" t="s">
        <v>306</v>
      </c>
      <c r="C104" s="344"/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68">
        <f t="shared" si="28"/>
        <v>0</v>
      </c>
      <c r="P104" s="369"/>
    </row>
    <row r="105" spans="1:17" s="370" customFormat="1" ht="19.5" customHeight="1" x14ac:dyDescent="0.2">
      <c r="A105" s="366" t="s">
        <v>307</v>
      </c>
      <c r="B105" s="344" t="s">
        <v>308</v>
      </c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67"/>
      <c r="O105" s="368">
        <f t="shared" si="28"/>
        <v>0</v>
      </c>
      <c r="P105" s="369"/>
    </row>
    <row r="106" spans="1:17" s="334" customFormat="1" ht="19.5" customHeight="1" x14ac:dyDescent="0.2">
      <c r="A106" s="366" t="s">
        <v>309</v>
      </c>
      <c r="B106" s="344" t="s">
        <v>3</v>
      </c>
      <c r="C106" s="367"/>
      <c r="D106" s="367"/>
      <c r="E106" s="367"/>
      <c r="F106" s="367"/>
      <c r="G106" s="367"/>
      <c r="H106" s="367"/>
      <c r="I106" s="367"/>
      <c r="J106" s="367"/>
      <c r="K106" s="367"/>
      <c r="L106" s="367"/>
      <c r="M106" s="367"/>
      <c r="N106" s="367"/>
      <c r="O106" s="368">
        <f t="shared" si="28"/>
        <v>0</v>
      </c>
      <c r="P106" s="371"/>
    </row>
    <row r="107" spans="1:17" s="370" customFormat="1" ht="19.5" customHeight="1" x14ac:dyDescent="0.2">
      <c r="A107" s="366" t="s">
        <v>310</v>
      </c>
      <c r="B107" s="344" t="s">
        <v>4</v>
      </c>
      <c r="C107" s="367"/>
      <c r="D107" s="367"/>
      <c r="E107" s="367"/>
      <c r="F107" s="367"/>
      <c r="G107" s="367"/>
      <c r="H107" s="367"/>
      <c r="I107" s="367"/>
      <c r="J107" s="367"/>
      <c r="K107" s="367"/>
      <c r="L107" s="367"/>
      <c r="M107" s="367"/>
      <c r="N107" s="367"/>
      <c r="O107" s="368">
        <f t="shared" si="28"/>
        <v>0</v>
      </c>
      <c r="P107" s="369"/>
    </row>
    <row r="108" spans="1:17" s="334" customFormat="1" ht="25.5" x14ac:dyDescent="0.2">
      <c r="A108" s="366" t="s">
        <v>311</v>
      </c>
      <c r="B108" s="344" t="s">
        <v>312</v>
      </c>
      <c r="C108" s="344"/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68">
        <f t="shared" si="28"/>
        <v>0</v>
      </c>
      <c r="P108" s="371"/>
    </row>
    <row r="109" spans="1:17" s="334" customFormat="1" ht="25.5" x14ac:dyDescent="0.2">
      <c r="A109" s="366" t="s">
        <v>313</v>
      </c>
      <c r="B109" s="347" t="s">
        <v>314</v>
      </c>
      <c r="C109" s="372">
        <f t="shared" ref="C109:O109" si="29">C101+C102+C103+C104+C105+C106+C107+C108</f>
        <v>1174981</v>
      </c>
      <c r="D109" s="372">
        <f t="shared" si="29"/>
        <v>1096045</v>
      </c>
      <c r="E109" s="372">
        <f t="shared" si="29"/>
        <v>1268333</v>
      </c>
      <c r="F109" s="372">
        <f t="shared" si="29"/>
        <v>1182199</v>
      </c>
      <c r="G109" s="372">
        <f t="shared" si="29"/>
        <v>1182199</v>
      </c>
      <c r="H109" s="372">
        <f t="shared" si="29"/>
        <v>1182197</v>
      </c>
      <c r="I109" s="372">
        <f t="shared" si="29"/>
        <v>1066110</v>
      </c>
      <c r="J109" s="372">
        <f t="shared" si="29"/>
        <v>1066110</v>
      </c>
      <c r="K109" s="372">
        <f t="shared" si="29"/>
        <v>1066120</v>
      </c>
      <c r="L109" s="372">
        <f t="shared" si="29"/>
        <v>1066120</v>
      </c>
      <c r="M109" s="372">
        <f t="shared" si="29"/>
        <v>1066120</v>
      </c>
      <c r="N109" s="372">
        <f t="shared" si="29"/>
        <v>1066312</v>
      </c>
      <c r="O109" s="368">
        <f t="shared" si="29"/>
        <v>13482846</v>
      </c>
      <c r="P109" s="371"/>
    </row>
    <row r="110" spans="1:17" s="334" customFormat="1" ht="19.5" customHeight="1" x14ac:dyDescent="0.2">
      <c r="A110" s="366" t="s">
        <v>315</v>
      </c>
      <c r="B110" s="344" t="s">
        <v>322</v>
      </c>
      <c r="C110" s="367"/>
      <c r="D110" s="367"/>
      <c r="E110" s="367"/>
      <c r="F110" s="367"/>
      <c r="G110" s="367"/>
      <c r="H110" s="367"/>
      <c r="I110" s="367"/>
      <c r="J110" s="367"/>
      <c r="K110" s="367"/>
      <c r="L110" s="367"/>
      <c r="M110" s="367"/>
      <c r="N110" s="367"/>
      <c r="O110" s="368">
        <f>SUM(C110:N110)</f>
        <v>0</v>
      </c>
      <c r="P110" s="371"/>
    </row>
    <row r="111" spans="1:17" s="334" customFormat="1" ht="19.5" customHeight="1" thickBot="1" x14ac:dyDescent="0.25">
      <c r="A111" s="373" t="s">
        <v>317</v>
      </c>
      <c r="B111" s="349" t="s">
        <v>318</v>
      </c>
      <c r="C111" s="374">
        <f t="shared" ref="C111:O111" si="30">C109+C110</f>
        <v>1174981</v>
      </c>
      <c r="D111" s="374">
        <f t="shared" si="30"/>
        <v>1096045</v>
      </c>
      <c r="E111" s="374">
        <f t="shared" si="30"/>
        <v>1268333</v>
      </c>
      <c r="F111" s="374">
        <f t="shared" si="30"/>
        <v>1182199</v>
      </c>
      <c r="G111" s="374">
        <f t="shared" si="30"/>
        <v>1182199</v>
      </c>
      <c r="H111" s="374">
        <f t="shared" si="30"/>
        <v>1182197</v>
      </c>
      <c r="I111" s="374">
        <f t="shared" si="30"/>
        <v>1066110</v>
      </c>
      <c r="J111" s="374">
        <f t="shared" si="30"/>
        <v>1066110</v>
      </c>
      <c r="K111" s="374">
        <f t="shared" si="30"/>
        <v>1066120</v>
      </c>
      <c r="L111" s="374">
        <f t="shared" si="30"/>
        <v>1066120</v>
      </c>
      <c r="M111" s="374">
        <f t="shared" si="30"/>
        <v>1066120</v>
      </c>
      <c r="N111" s="374">
        <f t="shared" si="30"/>
        <v>1066312</v>
      </c>
      <c r="O111" s="375">
        <f t="shared" si="30"/>
        <v>13482846</v>
      </c>
      <c r="P111" s="371"/>
    </row>
    <row r="112" spans="1:17" s="662" customFormat="1" x14ac:dyDescent="0.2"/>
    <row r="113" spans="1:16" s="376" customFormat="1" ht="30" customHeight="1" x14ac:dyDescent="0.3">
      <c r="B113" s="849" t="s">
        <v>327</v>
      </c>
      <c r="C113" s="849"/>
      <c r="D113" s="849"/>
      <c r="E113" s="849"/>
      <c r="F113" s="849"/>
      <c r="G113" s="849"/>
      <c r="H113" s="849"/>
      <c r="I113" s="849"/>
      <c r="J113" s="849"/>
      <c r="K113" s="849"/>
      <c r="L113" s="849"/>
      <c r="M113" s="849"/>
      <c r="N113" s="849"/>
      <c r="O113" s="849"/>
      <c r="P113" s="377"/>
    </row>
    <row r="114" spans="1:16" s="334" customFormat="1" ht="9" customHeight="1" thickBot="1" x14ac:dyDescent="0.25">
      <c r="O114" s="370"/>
      <c r="P114" s="371"/>
    </row>
    <row r="115" spans="1:16" s="342" customFormat="1" ht="27" x14ac:dyDescent="0.25">
      <c r="A115" s="337"/>
      <c r="B115" s="362" t="s">
        <v>319</v>
      </c>
      <c r="C115" s="339" t="s">
        <v>277</v>
      </c>
      <c r="D115" s="339" t="s">
        <v>278</v>
      </c>
      <c r="E115" s="339" t="s">
        <v>279</v>
      </c>
      <c r="F115" s="339" t="s">
        <v>280</v>
      </c>
      <c r="G115" s="339" t="s">
        <v>281</v>
      </c>
      <c r="H115" s="339" t="s">
        <v>282</v>
      </c>
      <c r="I115" s="339" t="s">
        <v>283</v>
      </c>
      <c r="J115" s="339" t="s">
        <v>284</v>
      </c>
      <c r="K115" s="339" t="s">
        <v>285</v>
      </c>
      <c r="L115" s="339" t="s">
        <v>286</v>
      </c>
      <c r="M115" s="339" t="s">
        <v>287</v>
      </c>
      <c r="N115" s="339" t="s">
        <v>288</v>
      </c>
      <c r="O115" s="340" t="s">
        <v>200</v>
      </c>
      <c r="P115" s="341"/>
    </row>
    <row r="116" spans="1:16" s="334" customFormat="1" ht="25.5" x14ac:dyDescent="0.2">
      <c r="A116" s="366" t="s">
        <v>153</v>
      </c>
      <c r="B116" s="344" t="s">
        <v>289</v>
      </c>
      <c r="C116" s="367"/>
      <c r="D116" s="367"/>
      <c r="E116" s="367"/>
      <c r="F116" s="367"/>
      <c r="G116" s="367"/>
      <c r="H116" s="367">
        <v>400000</v>
      </c>
      <c r="I116" s="367"/>
      <c r="J116" s="367"/>
      <c r="K116" s="367"/>
      <c r="L116" s="367"/>
      <c r="M116" s="367"/>
      <c r="N116" s="367"/>
      <c r="O116" s="368">
        <f t="shared" ref="O116:O124" si="31">SUM(C116:N116)</f>
        <v>400000</v>
      </c>
      <c r="P116" s="371"/>
    </row>
    <row r="117" spans="1:16" s="334" customFormat="1" x14ac:dyDescent="0.2">
      <c r="A117" s="366" t="s">
        <v>154</v>
      </c>
      <c r="B117" s="344" t="s">
        <v>18</v>
      </c>
      <c r="C117" s="378"/>
      <c r="D117" s="378"/>
      <c r="E117" s="367"/>
      <c r="F117" s="367"/>
      <c r="G117" s="367"/>
      <c r="H117" s="367"/>
      <c r="I117" s="367"/>
      <c r="J117" s="367"/>
      <c r="K117" s="367"/>
      <c r="L117" s="367"/>
      <c r="M117" s="367"/>
      <c r="N117" s="367"/>
      <c r="O117" s="368">
        <f t="shared" si="31"/>
        <v>0</v>
      </c>
      <c r="P117" s="371"/>
    </row>
    <row r="118" spans="1:16" s="334" customFormat="1" x14ac:dyDescent="0.2">
      <c r="A118" s="366" t="s">
        <v>155</v>
      </c>
      <c r="B118" s="344" t="s">
        <v>19</v>
      </c>
      <c r="C118" s="367">
        <v>29000</v>
      </c>
      <c r="D118" s="367">
        <v>29000</v>
      </c>
      <c r="E118" s="367">
        <v>29000</v>
      </c>
      <c r="F118" s="367">
        <v>29000</v>
      </c>
      <c r="G118" s="367">
        <f>29000+270000</f>
        <v>299000</v>
      </c>
      <c r="H118" s="367">
        <v>29000</v>
      </c>
      <c r="I118" s="367">
        <v>29000</v>
      </c>
      <c r="J118" s="367">
        <v>29000</v>
      </c>
      <c r="K118" s="367">
        <v>29000</v>
      </c>
      <c r="L118" s="367">
        <v>29000</v>
      </c>
      <c r="M118" s="367">
        <v>30000</v>
      </c>
      <c r="N118" s="367">
        <v>30000</v>
      </c>
      <c r="O118" s="368">
        <f t="shared" si="31"/>
        <v>620000</v>
      </c>
      <c r="P118" s="371"/>
    </row>
    <row r="119" spans="1:16" s="334" customFormat="1" ht="25.5" x14ac:dyDescent="0.2">
      <c r="A119" s="366" t="s">
        <v>156</v>
      </c>
      <c r="B119" s="344" t="s">
        <v>290</v>
      </c>
      <c r="C119" s="379"/>
      <c r="D119" s="379"/>
      <c r="E119" s="379"/>
      <c r="F119" s="379"/>
      <c r="G119" s="379"/>
      <c r="H119" s="379"/>
      <c r="I119" s="379"/>
      <c r="J119" s="379"/>
      <c r="K119" s="379"/>
      <c r="L119" s="379"/>
      <c r="M119" s="379"/>
      <c r="N119" s="379"/>
      <c r="O119" s="368">
        <f t="shared" si="31"/>
        <v>0</v>
      </c>
      <c r="P119" s="371"/>
    </row>
    <row r="120" spans="1:16" s="334" customFormat="1" ht="25.5" x14ac:dyDescent="0.2">
      <c r="A120" s="366" t="s">
        <v>184</v>
      </c>
      <c r="B120" s="344" t="s">
        <v>291</v>
      </c>
      <c r="C120" s="379"/>
      <c r="D120" s="379"/>
      <c r="E120" s="379"/>
      <c r="F120" s="379"/>
      <c r="G120" s="379"/>
      <c r="H120" s="379"/>
      <c r="I120" s="379"/>
      <c r="J120" s="379"/>
      <c r="K120" s="379"/>
      <c r="L120" s="379"/>
      <c r="M120" s="379"/>
      <c r="N120" s="379"/>
      <c r="O120" s="368">
        <f t="shared" si="31"/>
        <v>0</v>
      </c>
      <c r="P120" s="371"/>
    </row>
    <row r="121" spans="1:16" s="334" customFormat="1" ht="19.5" customHeight="1" x14ac:dyDescent="0.2">
      <c r="A121" s="366" t="s">
        <v>186</v>
      </c>
      <c r="B121" s="344" t="s">
        <v>24</v>
      </c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  <c r="M121" s="367"/>
      <c r="N121" s="367"/>
      <c r="O121" s="368">
        <f t="shared" si="31"/>
        <v>0</v>
      </c>
      <c r="P121" s="371"/>
    </row>
    <row r="122" spans="1:16" s="334" customFormat="1" ht="25.5" x14ac:dyDescent="0.2">
      <c r="A122" s="366" t="s">
        <v>292</v>
      </c>
      <c r="B122" s="344" t="s">
        <v>293</v>
      </c>
      <c r="C122" s="367"/>
      <c r="D122" s="367"/>
      <c r="E122" s="367"/>
      <c r="F122" s="367"/>
      <c r="G122" s="367"/>
      <c r="H122" s="367"/>
      <c r="I122" s="367"/>
      <c r="J122" s="367"/>
      <c r="K122" s="367"/>
      <c r="L122" s="367"/>
      <c r="M122" s="367"/>
      <c r="N122" s="367"/>
      <c r="O122" s="368">
        <f t="shared" si="31"/>
        <v>0</v>
      </c>
      <c r="P122" s="371"/>
    </row>
    <row r="123" spans="1:16" s="334" customFormat="1" ht="25.5" x14ac:dyDescent="0.2">
      <c r="A123" s="366" t="s">
        <v>294</v>
      </c>
      <c r="B123" s="347" t="s">
        <v>295</v>
      </c>
      <c r="C123" s="372">
        <f t="shared" ref="C123:N123" si="32">C116+C117+C118+C119+C120+C121+C122</f>
        <v>29000</v>
      </c>
      <c r="D123" s="372">
        <f t="shared" si="32"/>
        <v>29000</v>
      </c>
      <c r="E123" s="372">
        <f t="shared" si="32"/>
        <v>29000</v>
      </c>
      <c r="F123" s="372">
        <f t="shared" si="32"/>
        <v>29000</v>
      </c>
      <c r="G123" s="372">
        <f t="shared" si="32"/>
        <v>299000</v>
      </c>
      <c r="H123" s="372">
        <f t="shared" si="32"/>
        <v>429000</v>
      </c>
      <c r="I123" s="372">
        <f t="shared" si="32"/>
        <v>29000</v>
      </c>
      <c r="J123" s="372">
        <f t="shared" si="32"/>
        <v>29000</v>
      </c>
      <c r="K123" s="372">
        <f t="shared" si="32"/>
        <v>29000</v>
      </c>
      <c r="L123" s="372">
        <f t="shared" si="32"/>
        <v>29000</v>
      </c>
      <c r="M123" s="372">
        <f t="shared" si="32"/>
        <v>30000</v>
      </c>
      <c r="N123" s="372">
        <f t="shared" si="32"/>
        <v>30000</v>
      </c>
      <c r="O123" s="368">
        <f t="shared" si="31"/>
        <v>1020000</v>
      </c>
      <c r="P123" s="371"/>
    </row>
    <row r="124" spans="1:16" s="334" customFormat="1" ht="51" x14ac:dyDescent="0.2">
      <c r="A124" s="366" t="s">
        <v>296</v>
      </c>
      <c r="B124" s="344" t="s">
        <v>329</v>
      </c>
      <c r="C124" s="367">
        <f>C138-C123</f>
        <v>1609137</v>
      </c>
      <c r="D124" s="367">
        <f t="shared" ref="D124:N124" si="33">D138-D123</f>
        <v>1610030</v>
      </c>
      <c r="E124" s="367">
        <f t="shared" si="33"/>
        <v>1610031</v>
      </c>
      <c r="F124" s="367">
        <f t="shared" si="33"/>
        <v>1610030</v>
      </c>
      <c r="G124" s="367">
        <f>G138-G123</f>
        <v>1390030</v>
      </c>
      <c r="H124" s="367">
        <f>H138-H123</f>
        <v>1260029</v>
      </c>
      <c r="I124" s="367">
        <f t="shared" si="33"/>
        <v>1632832</v>
      </c>
      <c r="J124" s="367">
        <f t="shared" si="33"/>
        <v>1562084</v>
      </c>
      <c r="K124" s="367">
        <f t="shared" si="33"/>
        <v>2013219</v>
      </c>
      <c r="L124" s="367">
        <f t="shared" si="33"/>
        <v>1597284</v>
      </c>
      <c r="M124" s="367">
        <f t="shared" si="33"/>
        <v>1596284</v>
      </c>
      <c r="N124" s="367">
        <f t="shared" si="33"/>
        <v>1596386</v>
      </c>
      <c r="O124" s="368">
        <f t="shared" si="31"/>
        <v>19087376</v>
      </c>
      <c r="P124" s="371"/>
    </row>
    <row r="125" spans="1:16" s="334" customFormat="1" ht="26.25" thickBot="1" x14ac:dyDescent="0.25">
      <c r="A125" s="366" t="s">
        <v>298</v>
      </c>
      <c r="B125" s="349" t="s">
        <v>299</v>
      </c>
      <c r="C125" s="374">
        <f t="shared" ref="C125:O125" si="34">C123+C124</f>
        <v>1638137</v>
      </c>
      <c r="D125" s="374">
        <f t="shared" si="34"/>
        <v>1639030</v>
      </c>
      <c r="E125" s="374">
        <f t="shared" si="34"/>
        <v>1639031</v>
      </c>
      <c r="F125" s="374">
        <f t="shared" si="34"/>
        <v>1639030</v>
      </c>
      <c r="G125" s="374">
        <f t="shared" si="34"/>
        <v>1689030</v>
      </c>
      <c r="H125" s="374">
        <f t="shared" si="34"/>
        <v>1689029</v>
      </c>
      <c r="I125" s="374">
        <f t="shared" si="34"/>
        <v>1661832</v>
      </c>
      <c r="J125" s="374">
        <f t="shared" si="34"/>
        <v>1591084</v>
      </c>
      <c r="K125" s="374">
        <f t="shared" si="34"/>
        <v>2042219</v>
      </c>
      <c r="L125" s="374">
        <f t="shared" si="34"/>
        <v>1626284</v>
      </c>
      <c r="M125" s="374">
        <f t="shared" si="34"/>
        <v>1626284</v>
      </c>
      <c r="N125" s="374">
        <f t="shared" si="34"/>
        <v>1626386</v>
      </c>
      <c r="O125" s="374">
        <f t="shared" si="34"/>
        <v>20107376</v>
      </c>
      <c r="P125" s="371"/>
    </row>
    <row r="126" spans="1:16" s="334" customFormat="1" ht="9.75" customHeight="1" thickBot="1" x14ac:dyDescent="0.25">
      <c r="A126" s="380"/>
      <c r="B126" s="352"/>
      <c r="C126" s="381"/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2"/>
      <c r="P126" s="371"/>
    </row>
    <row r="127" spans="1:16" s="342" customFormat="1" ht="27.75" thickBot="1" x14ac:dyDescent="0.3">
      <c r="A127" s="337"/>
      <c r="B127" s="362" t="s">
        <v>321</v>
      </c>
      <c r="C127" s="339" t="s">
        <v>277</v>
      </c>
      <c r="D127" s="339" t="s">
        <v>278</v>
      </c>
      <c r="E127" s="339" t="s">
        <v>279</v>
      </c>
      <c r="F127" s="339" t="s">
        <v>280</v>
      </c>
      <c r="G127" s="339" t="s">
        <v>281</v>
      </c>
      <c r="H127" s="339" t="s">
        <v>282</v>
      </c>
      <c r="I127" s="339" t="s">
        <v>283</v>
      </c>
      <c r="J127" s="339" t="s">
        <v>284</v>
      </c>
      <c r="K127" s="339" t="s">
        <v>285</v>
      </c>
      <c r="L127" s="339" t="s">
        <v>286</v>
      </c>
      <c r="M127" s="339" t="s">
        <v>287</v>
      </c>
      <c r="N127" s="339" t="s">
        <v>288</v>
      </c>
      <c r="O127" s="340" t="s">
        <v>200</v>
      </c>
      <c r="P127" s="341"/>
    </row>
    <row r="128" spans="1:16" s="370" customFormat="1" ht="19.5" customHeight="1" x14ac:dyDescent="0.2">
      <c r="A128" s="383" t="s">
        <v>300</v>
      </c>
      <c r="B128" s="384" t="s">
        <v>35</v>
      </c>
      <c r="C128" s="385">
        <f>819595+80400</f>
        <v>899995</v>
      </c>
      <c r="D128" s="385">
        <f>819600+82800</f>
        <v>902400</v>
      </c>
      <c r="E128" s="385">
        <f>819600+82800</f>
        <v>902400</v>
      </c>
      <c r="F128" s="385">
        <f>819600+82800</f>
        <v>902400</v>
      </c>
      <c r="G128" s="385">
        <f>819600+82800</f>
        <v>902400</v>
      </c>
      <c r="H128" s="385">
        <f>819600+82800</f>
        <v>902400</v>
      </c>
      <c r="I128" s="385">
        <f>819600+70748</f>
        <v>890348</v>
      </c>
      <c r="J128" s="385">
        <v>819600</v>
      </c>
      <c r="K128" s="385">
        <f>819600+35200</f>
        <v>854800</v>
      </c>
      <c r="L128" s="385">
        <f>819600+35200</f>
        <v>854800</v>
      </c>
      <c r="M128" s="385">
        <f>819600+35200</f>
        <v>854800</v>
      </c>
      <c r="N128" s="385">
        <f>819600+35300</f>
        <v>854900</v>
      </c>
      <c r="O128" s="386">
        <f t="shared" ref="O128:O135" si="35">SUM(C128:N128)</f>
        <v>10541243</v>
      </c>
      <c r="P128" s="369"/>
    </row>
    <row r="129" spans="1:17" s="370" customFormat="1" ht="19.5" customHeight="1" x14ac:dyDescent="0.2">
      <c r="A129" s="366" t="s">
        <v>301</v>
      </c>
      <c r="B129" s="387" t="s">
        <v>302</v>
      </c>
      <c r="C129" s="367">
        <f>162884+17688</f>
        <v>180572</v>
      </c>
      <c r="D129" s="367">
        <f>162884+16146</f>
        <v>179030</v>
      </c>
      <c r="E129" s="367">
        <f>162884+16147</f>
        <v>179031</v>
      </c>
      <c r="F129" s="367">
        <f>162884+16146</f>
        <v>179030</v>
      </c>
      <c r="G129" s="367">
        <f>162884+16146</f>
        <v>179030</v>
      </c>
      <c r="H129" s="367">
        <f>162884+16145</f>
        <v>179029</v>
      </c>
      <c r="I129" s="367">
        <v>163884</v>
      </c>
      <c r="J129" s="367">
        <v>163884</v>
      </c>
      <c r="K129" s="367">
        <f>163884+4879</f>
        <v>168763</v>
      </c>
      <c r="L129" s="367">
        <v>163884</v>
      </c>
      <c r="M129" s="367">
        <v>163884</v>
      </c>
      <c r="N129" s="367">
        <v>163886</v>
      </c>
      <c r="O129" s="368">
        <f t="shared" si="35"/>
        <v>2063907</v>
      </c>
      <c r="P129" s="369"/>
    </row>
    <row r="130" spans="1:17" s="370" customFormat="1" ht="19.5" customHeight="1" x14ac:dyDescent="0.2">
      <c r="A130" s="366" t="s">
        <v>303</v>
      </c>
      <c r="B130" s="387" t="s">
        <v>304</v>
      </c>
      <c r="C130" s="367">
        <v>557570</v>
      </c>
      <c r="D130" s="367">
        <v>557600</v>
      </c>
      <c r="E130" s="367">
        <v>557600</v>
      </c>
      <c r="F130" s="367">
        <v>557600</v>
      </c>
      <c r="G130" s="367">
        <f>557600+50000</f>
        <v>607600</v>
      </c>
      <c r="H130" s="367">
        <f>557600+50000</f>
        <v>607600</v>
      </c>
      <c r="I130" s="367">
        <f>50000+557600</f>
        <v>607600</v>
      </c>
      <c r="J130" s="367">
        <f>557600+50000</f>
        <v>607600</v>
      </c>
      <c r="K130" s="367">
        <f>557600+400000+50000+11056</f>
        <v>1018656</v>
      </c>
      <c r="L130" s="367">
        <f>557600+50000</f>
        <v>607600</v>
      </c>
      <c r="M130" s="367">
        <f>557600+50000</f>
        <v>607600</v>
      </c>
      <c r="N130" s="367">
        <f>50000+557600</f>
        <v>607600</v>
      </c>
      <c r="O130" s="368">
        <f>SUM(C130:N130)</f>
        <v>7502226</v>
      </c>
      <c r="P130" s="369"/>
      <c r="Q130" s="369"/>
    </row>
    <row r="131" spans="1:17" s="370" customFormat="1" ht="19.5" customHeight="1" x14ac:dyDescent="0.2">
      <c r="A131" s="366" t="s">
        <v>305</v>
      </c>
      <c r="B131" s="387" t="s">
        <v>306</v>
      </c>
      <c r="C131" s="344"/>
      <c r="D131" s="344"/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  <c r="O131" s="368">
        <f t="shared" si="35"/>
        <v>0</v>
      </c>
      <c r="P131" s="369"/>
    </row>
    <row r="132" spans="1:17" s="370" customFormat="1" ht="27.75" customHeight="1" x14ac:dyDescent="0.2">
      <c r="A132" s="366" t="s">
        <v>307</v>
      </c>
      <c r="B132" s="387" t="s">
        <v>308</v>
      </c>
      <c r="C132" s="367"/>
      <c r="D132" s="367"/>
      <c r="E132" s="367"/>
      <c r="F132" s="367"/>
      <c r="G132" s="367"/>
      <c r="H132" s="367"/>
      <c r="I132" s="367"/>
      <c r="J132" s="367"/>
      <c r="K132" s="367"/>
      <c r="L132" s="367"/>
      <c r="M132" s="367"/>
      <c r="N132" s="367"/>
      <c r="O132" s="368">
        <f t="shared" si="35"/>
        <v>0</v>
      </c>
      <c r="P132" s="369"/>
    </row>
    <row r="133" spans="1:17" s="334" customFormat="1" ht="19.5" customHeight="1" x14ac:dyDescent="0.2">
      <c r="A133" s="366" t="s">
        <v>309</v>
      </c>
      <c r="B133" s="387" t="s">
        <v>3</v>
      </c>
      <c r="C133" s="379"/>
      <c r="D133" s="379"/>
      <c r="E133" s="379"/>
      <c r="F133" s="379"/>
      <c r="G133" s="379"/>
      <c r="H133" s="379"/>
      <c r="I133" s="379"/>
      <c r="J133" s="379"/>
      <c r="K133" s="379"/>
      <c r="L133" s="379"/>
      <c r="M133" s="379"/>
      <c r="N133" s="379"/>
      <c r="O133" s="368">
        <f t="shared" si="35"/>
        <v>0</v>
      </c>
      <c r="P133" s="371"/>
    </row>
    <row r="134" spans="1:17" s="370" customFormat="1" ht="19.5" customHeight="1" x14ac:dyDescent="0.2">
      <c r="A134" s="366" t="s">
        <v>310</v>
      </c>
      <c r="B134" s="387" t="s">
        <v>4</v>
      </c>
      <c r="C134" s="367"/>
      <c r="D134" s="367"/>
      <c r="E134" s="367"/>
      <c r="F134" s="367"/>
      <c r="G134" s="367"/>
      <c r="H134" s="367"/>
      <c r="I134" s="367"/>
      <c r="J134" s="367"/>
      <c r="K134" s="367"/>
      <c r="L134" s="367"/>
      <c r="M134" s="367"/>
      <c r="N134" s="367"/>
      <c r="O134" s="368">
        <f t="shared" si="35"/>
        <v>0</v>
      </c>
      <c r="P134" s="369"/>
    </row>
    <row r="135" spans="1:17" s="334" customFormat="1" ht="25.5" x14ac:dyDescent="0.2">
      <c r="A135" s="366" t="s">
        <v>311</v>
      </c>
      <c r="B135" s="387" t="s">
        <v>312</v>
      </c>
      <c r="C135" s="344"/>
      <c r="D135" s="344"/>
      <c r="E135" s="344"/>
      <c r="F135" s="344"/>
      <c r="G135" s="344"/>
      <c r="H135" s="344"/>
      <c r="I135" s="344"/>
      <c r="J135" s="344"/>
      <c r="K135" s="344"/>
      <c r="L135" s="344"/>
      <c r="M135" s="344"/>
      <c r="N135" s="344"/>
      <c r="O135" s="368">
        <f t="shared" si="35"/>
        <v>0</v>
      </c>
      <c r="P135" s="371"/>
    </row>
    <row r="136" spans="1:17" s="334" customFormat="1" ht="25.5" x14ac:dyDescent="0.2">
      <c r="A136" s="366" t="s">
        <v>313</v>
      </c>
      <c r="B136" s="388" t="s">
        <v>314</v>
      </c>
      <c r="C136" s="372">
        <f t="shared" ref="C136:O136" si="36">C128+C129+C130+C131+C132+C133+C134+C135</f>
        <v>1638137</v>
      </c>
      <c r="D136" s="372">
        <f t="shared" si="36"/>
        <v>1639030</v>
      </c>
      <c r="E136" s="372">
        <f t="shared" si="36"/>
        <v>1639031</v>
      </c>
      <c r="F136" s="372">
        <f t="shared" si="36"/>
        <v>1639030</v>
      </c>
      <c r="G136" s="372">
        <f t="shared" si="36"/>
        <v>1689030</v>
      </c>
      <c r="H136" s="372">
        <f t="shared" si="36"/>
        <v>1689029</v>
      </c>
      <c r="I136" s="372">
        <f t="shared" si="36"/>
        <v>1661832</v>
      </c>
      <c r="J136" s="372">
        <f t="shared" si="36"/>
        <v>1591084</v>
      </c>
      <c r="K136" s="372">
        <f t="shared" si="36"/>
        <v>2042219</v>
      </c>
      <c r="L136" s="372">
        <f t="shared" si="36"/>
        <v>1626284</v>
      </c>
      <c r="M136" s="372">
        <f t="shared" si="36"/>
        <v>1626284</v>
      </c>
      <c r="N136" s="372">
        <f t="shared" si="36"/>
        <v>1626386</v>
      </c>
      <c r="O136" s="368">
        <f t="shared" si="36"/>
        <v>20107376</v>
      </c>
      <c r="P136" s="371"/>
    </row>
    <row r="137" spans="1:17" s="334" customFormat="1" ht="38.25" x14ac:dyDescent="0.2">
      <c r="A137" s="366" t="s">
        <v>315</v>
      </c>
      <c r="B137" s="387" t="s">
        <v>323</v>
      </c>
      <c r="C137" s="367">
        <f>C116</f>
        <v>0</v>
      </c>
      <c r="D137" s="367">
        <f t="shared" ref="D137:N137" si="37">D116</f>
        <v>0</v>
      </c>
      <c r="E137" s="367">
        <f t="shared" si="37"/>
        <v>0</v>
      </c>
      <c r="F137" s="367">
        <f t="shared" si="37"/>
        <v>0</v>
      </c>
      <c r="G137" s="367">
        <f t="shared" si="37"/>
        <v>0</v>
      </c>
      <c r="H137" s="367">
        <v>0</v>
      </c>
      <c r="I137" s="367">
        <f t="shared" si="37"/>
        <v>0</v>
      </c>
      <c r="J137" s="367">
        <f t="shared" si="37"/>
        <v>0</v>
      </c>
      <c r="K137" s="367">
        <f t="shared" si="37"/>
        <v>0</v>
      </c>
      <c r="L137" s="367">
        <f t="shared" si="37"/>
        <v>0</v>
      </c>
      <c r="M137" s="367">
        <f t="shared" si="37"/>
        <v>0</v>
      </c>
      <c r="N137" s="367">
        <f t="shared" si="37"/>
        <v>0</v>
      </c>
      <c r="O137" s="368">
        <f>SUM(C137:N137)</f>
        <v>0</v>
      </c>
      <c r="P137" s="371"/>
    </row>
    <row r="138" spans="1:17" s="334" customFormat="1" ht="26.25" thickBot="1" x14ac:dyDescent="0.25">
      <c r="A138" s="366" t="s">
        <v>317</v>
      </c>
      <c r="B138" s="389" t="s">
        <v>318</v>
      </c>
      <c r="C138" s="374">
        <f>C136+C137</f>
        <v>1638137</v>
      </c>
      <c r="D138" s="374">
        <f t="shared" ref="D138:O138" si="38">D136+D137</f>
        <v>1639030</v>
      </c>
      <c r="E138" s="374">
        <f t="shared" si="38"/>
        <v>1639031</v>
      </c>
      <c r="F138" s="374">
        <f t="shared" si="38"/>
        <v>1639030</v>
      </c>
      <c r="G138" s="374">
        <f t="shared" si="38"/>
        <v>1689030</v>
      </c>
      <c r="H138" s="374">
        <f t="shared" si="38"/>
        <v>1689029</v>
      </c>
      <c r="I138" s="374">
        <f t="shared" si="38"/>
        <v>1661832</v>
      </c>
      <c r="J138" s="374">
        <f t="shared" si="38"/>
        <v>1591084</v>
      </c>
      <c r="K138" s="374">
        <f t="shared" si="38"/>
        <v>2042219</v>
      </c>
      <c r="L138" s="374">
        <f t="shared" si="38"/>
        <v>1626284</v>
      </c>
      <c r="M138" s="374">
        <f t="shared" si="38"/>
        <v>1626284</v>
      </c>
      <c r="N138" s="374">
        <f t="shared" si="38"/>
        <v>1626386</v>
      </c>
      <c r="O138" s="375">
        <f t="shared" si="38"/>
        <v>20107376</v>
      </c>
      <c r="P138" s="371"/>
    </row>
  </sheetData>
  <mergeCells count="5">
    <mergeCell ref="B3:O3"/>
    <mergeCell ref="B30:O30"/>
    <mergeCell ref="B58:O58"/>
    <mergeCell ref="B86:O86"/>
    <mergeCell ref="B113:O113"/>
  </mergeCells>
  <pageMargins left="0.19685039370078741" right="0.19685039370078741" top="0.43307086614173229" bottom="0.43307086614173229" header="0.31496062992125984" footer="0.31496062992125984"/>
  <pageSetup paperSize="9" scale="88" fitToHeight="6" orientation="landscape" r:id="rId1"/>
  <headerFooter alignWithMargins="0"/>
  <rowBreaks count="4" manualBreakCount="4">
    <brk id="28" max="16383" man="1"/>
    <brk id="57" max="16383" man="1"/>
    <brk id="85" max="16383" man="1"/>
    <brk id="11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1.  melléklet (2)</vt:lpstr>
      <vt:lpstr>2. melléklet (2)</vt:lpstr>
      <vt:lpstr>3. melléklet  (2)</vt:lpstr>
      <vt:lpstr>4. melléklet (2)</vt:lpstr>
      <vt:lpstr>5. melléklet  (2)</vt:lpstr>
      <vt:lpstr>6. melléklet</vt:lpstr>
      <vt:lpstr>7.  melléklet</vt:lpstr>
      <vt:lpstr>8. melléklet (2)</vt:lpstr>
      <vt:lpstr> 9. melléklet (2)</vt:lpstr>
      <vt:lpstr>'1.  melléklet (2)'!Nyomtatási_cím</vt:lpstr>
      <vt:lpstr>'2. melléklet (2)'!Nyomtatási_cím</vt:lpstr>
      <vt:lpstr>'3. melléklet  (2)'!Nyomtatási_cím</vt:lpstr>
      <vt:lpstr>' 9. melléklet (2)'!Nyomtatási_terület</vt:lpstr>
      <vt:lpstr>'3. melléklet 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Rita</cp:lastModifiedBy>
  <cp:lastPrinted>2018-02-27T14:05:12Z</cp:lastPrinted>
  <dcterms:created xsi:type="dcterms:W3CDTF">2013-11-10T20:02:36Z</dcterms:created>
  <dcterms:modified xsi:type="dcterms:W3CDTF">2018-10-05T07:40:48Z</dcterms:modified>
</cp:coreProperties>
</file>