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4" activeTab="0"/>
  </bookViews>
  <sheets>
    <sheet name="Címrend" sheetId="1" r:id="rId1"/>
    <sheet name="1. melléklet " sheetId="2" r:id="rId2"/>
    <sheet name="2. melléklet " sheetId="3" r:id="rId3"/>
    <sheet name="3. melléklet  " sheetId="4" r:id="rId4"/>
    <sheet name="4. melléklet " sheetId="5" r:id="rId5"/>
    <sheet name="5. melléklet  " sheetId="6" r:id="rId6"/>
    <sheet name="6. melléklet" sheetId="7" r:id="rId7"/>
    <sheet name="7. melléklet " sheetId="8" r:id="rId8"/>
    <sheet name="8. melléklet" sheetId="9" r:id="rId9"/>
    <sheet name="9. melléklet" sheetId="10" r:id="rId10"/>
  </sheets>
  <externalReferences>
    <externalReference r:id="rId13"/>
  </externalReferences>
  <definedNames>
    <definedName name="_xlnm.Print_Titles" localSheetId="2">'2. melléklet '!$1:$4</definedName>
    <definedName name="_xlnm.Print_Titles" localSheetId="3">'3. melléklet  '!$A:$A</definedName>
    <definedName name="_xlnm.Print_Titles" localSheetId="7">'7. melléklet '!$1:$4</definedName>
    <definedName name="_xlnm.Print_Area" localSheetId="1">'1. melléklet '!$A$1:$F$49</definedName>
    <definedName name="_xlnm.Print_Area" localSheetId="3">'3. melléklet  '!$A$1:$CC$61</definedName>
    <definedName name="_xlnm.Print_Area" localSheetId="5">'5. melléklet  '!$A$1:$H$149</definedName>
  </definedNames>
  <calcPr fullCalcOnLoad="1" refMode="R1C1"/>
</workbook>
</file>

<file path=xl/sharedStrings.xml><?xml version="1.0" encoding="utf-8"?>
<sst xmlns="http://schemas.openxmlformats.org/spreadsheetml/2006/main" count="1069" uniqueCount="586">
  <si>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</si>
  <si>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</si>
  <si>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</si>
  <si>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</si>
  <si>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</si>
  <si>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</si>
  <si>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</si>
  <si>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</si>
  <si>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</si>
  <si>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</si>
  <si>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</si>
  <si>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</si>
  <si>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</si>
  <si>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</si>
  <si>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</si>
  <si>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</si>
  <si>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</si>
  <si>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</si>
  <si>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</si>
  <si>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</si>
  <si>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</si>
  <si>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</si>
  <si>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</si>
  <si>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</si>
  <si>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</si>
  <si>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</si>
  <si>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</si>
  <si>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</si>
  <si>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</si>
  <si>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</si>
  <si>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</si>
  <si>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</si>
  <si>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</si>
  <si>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</si>
  <si>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</si>
  <si>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</si>
  <si>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</si>
  <si>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</si>
  <si>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</si>
  <si>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</si>
  <si>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</si>
  <si>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</si>
  <si>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</si>
  <si>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</si>
  <si>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</si>
  <si>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</si>
  <si>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</si>
  <si>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</si>
  <si>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</si>
  <si>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</si>
  <si>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</si>
  <si>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</si>
  <si>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</si>
  <si>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</si>
  <si>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</si>
  <si>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</si>
  <si>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</si>
  <si>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</si>
  <si>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</si>
  <si>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</si>
  <si>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</si>
  <si>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</si>
  <si>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</si>
  <si>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</si>
  <si>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</si>
  <si>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</si>
  <si>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</si>
  <si>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</si>
  <si>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</si>
  <si>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</si>
  <si>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</si>
  <si>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</si>
  <si>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</si>
  <si>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</si>
  <si>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</si>
  <si>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</si>
  <si>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</si>
  <si>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</si>
  <si>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</si>
  <si>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</si>
  <si>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</si>
  <si>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</si>
  <si>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</si>
  <si>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</si>
  <si>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</si>
  <si>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</si>
  <si>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</si>
  <si>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</si>
  <si>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</si>
  <si>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</si>
  <si>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</si>
  <si>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</si>
  <si>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</si>
  <si>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</si>
  <si>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</si>
  <si>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</si>
  <si>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</si>
  <si>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</si>
  <si>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</si>
  <si>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</si>
  <si>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</si>
  <si>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</si>
  <si>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</si>
  <si>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</si>
  <si>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</si>
  <si>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</si>
  <si>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</si>
  <si>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</si>
  <si>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</si>
  <si>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</si>
  <si>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</si>
  <si>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</si>
  <si>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</si>
  <si>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</si>
  <si>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</si>
  <si>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</si>
  <si>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</si>
  <si>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</si>
  <si>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</si>
  <si>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</si>
  <si>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</si>
  <si>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</si>
  <si>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</si>
  <si>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</si>
  <si>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</si>
  <si>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</si>
  <si>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</si>
  <si>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</si>
  <si>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</si>
  <si>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</si>
  <si>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</si>
  <si>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</si>
  <si>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</si>
  <si>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</si>
  <si>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</si>
  <si>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LÉTSZÁM (engedélyezett létszámkeret közfogalkoztatottak nélkül)</t>
  </si>
  <si>
    <t>KÖZFOGLALKOZTATOTTAK létszáma</t>
  </si>
  <si>
    <t>Kőszegi Szociális Gondozási Központ</t>
  </si>
  <si>
    <t>4.  Pedagógus II. kategóriába sorolt óvodapedagógusok kiegészítő támogatása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</si>
  <si>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</si>
  <si>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</si>
  <si>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</si>
  <si>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</si>
  <si>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</si>
  <si>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</si>
  <si>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</si>
  <si>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</si>
  <si>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</si>
  <si>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</si>
  <si>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</si>
  <si>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</si>
  <si>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</si>
  <si>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</si>
  <si>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</si>
  <si>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</si>
  <si>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eredeti előirányzat</t>
  </si>
  <si>
    <t>1. i) A települési önkormányzatok könyvtári célú érdekeltségnövelő támogatása</t>
  </si>
  <si>
    <t>Kulturális pótlék</t>
  </si>
  <si>
    <t xml:space="preserve">I.) Felhalmozási célú támogatások </t>
  </si>
  <si>
    <t>I.) Működési célú  támogatások</t>
  </si>
  <si>
    <t>11.</t>
  </si>
  <si>
    <t>Központi Óvoda és Bölcsőde Többcélú Közös Igazgatású Köznevelési Intézmény</t>
  </si>
  <si>
    <t>Újvárosi Óvoda</t>
  </si>
  <si>
    <t>Központi Óvoda-Felsővárosi tagóvoda</t>
  </si>
  <si>
    <t>Központi Óvoda Összesen</t>
  </si>
  <si>
    <t>Újvárosi Óvoda székhely Kőszeg</t>
  </si>
  <si>
    <t>Újvárosi Óvoda Összesen</t>
  </si>
  <si>
    <t>Központi Óvoda Székhely Kőszeg</t>
  </si>
  <si>
    <t xml:space="preserve">Központi Óvoda - Bölcsőde </t>
  </si>
  <si>
    <t>Központi Óvoda-Horvátzsidányi tagóvoda</t>
  </si>
  <si>
    <t>Központi Óvoda-Peresznyei tagóvoda</t>
  </si>
  <si>
    <t>Újvárosi Óvoda-Kőszegfalvi tagóvoda</t>
  </si>
  <si>
    <t>Újvárosi Óvoda-Velemi tagóvoda</t>
  </si>
  <si>
    <t>Újvárosi Óvoda-Bozsoki tagóvoda</t>
  </si>
  <si>
    <t>Bevételi előirányzatok (Ft-ban)</t>
  </si>
  <si>
    <t>Kiadási előirányzatok (Ft-ban)</t>
  </si>
  <si>
    <t xml:space="preserve">       -ebből felhalmozási célú visszatérítendő támogatások, kölcsönök nyújtása</t>
  </si>
  <si>
    <t xml:space="preserve">       -ebből egyéb felhalmozási célú támogatások államháztartáson belülre</t>
  </si>
  <si>
    <t xml:space="preserve">       -ebből egyéb felhalmozási célú támogatások államháztartáson kívülre</t>
  </si>
  <si>
    <t>Teljesítés         %-ban</t>
  </si>
  <si>
    <t>teljesítés %-ban</t>
  </si>
  <si>
    <t>Teljesítés %-ban</t>
  </si>
  <si>
    <t>(E Ft)</t>
  </si>
  <si>
    <t>Intézmény</t>
  </si>
  <si>
    <t>Chernel K. Városi Könyvtár</t>
  </si>
  <si>
    <t>Jurisics-vár Művelődési Központ</t>
  </si>
  <si>
    <t>Kőszegi Közös Önkormány-zati Hivatal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</si>
  <si>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</si>
  <si>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</si>
  <si>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</si>
  <si>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</si>
  <si>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</si>
  <si>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</si>
  <si>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</si>
  <si>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</si>
  <si>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</si>
  <si>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</si>
  <si>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</si>
  <si>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</si>
  <si>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</si>
  <si>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</si>
  <si>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</si>
  <si>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</si>
  <si>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</si>
  <si>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</si>
  <si>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</si>
  <si>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</si>
  <si>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Kőszeg Város Önkormányzata maradványának felhasználása</t>
  </si>
  <si>
    <t>Összes maradvány</t>
  </si>
  <si>
    <t>Kötelezettségvállalással terhelt maradvány</t>
  </si>
  <si>
    <t>Szabad maradvány felhasználási terve</t>
  </si>
  <si>
    <t>MARADVÁNY ÖSSZESEN:</t>
  </si>
  <si>
    <t>V.</t>
  </si>
  <si>
    <t xml:space="preserve"> </t>
  </si>
  <si>
    <t>Szabad maradvány összesen:</t>
  </si>
  <si>
    <t>Kőszegi Közös Önkormányzati Hivatal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</si>
  <si>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</si>
  <si>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</si>
  <si>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</si>
  <si>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</si>
  <si>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</si>
  <si>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</si>
  <si>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</si>
  <si>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</si>
  <si>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</si>
  <si>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</si>
  <si>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</si>
  <si>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</si>
  <si>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</si>
  <si>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</si>
  <si>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</si>
  <si>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</si>
  <si>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</si>
  <si>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</si>
  <si>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</si>
  <si>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</si>
  <si>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</si>
  <si>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</si>
  <si>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</si>
  <si>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</si>
  <si>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</si>
  <si>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</si>
  <si>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</si>
  <si>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</si>
  <si>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</si>
  <si>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</si>
  <si>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</si>
  <si>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</si>
  <si>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</si>
  <si>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</si>
  <si>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</si>
  <si>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</si>
  <si>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</si>
  <si>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</si>
  <si>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</si>
  <si>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</si>
  <si>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</si>
  <si>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</si>
  <si>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</si>
  <si>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</si>
  <si>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</si>
  <si>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</si>
  <si>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</si>
  <si>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</si>
  <si>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</si>
  <si>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</si>
  <si>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</si>
  <si>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</si>
  <si>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</si>
  <si>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</si>
  <si>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</si>
  <si>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</si>
  <si>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</si>
  <si>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</si>
  <si>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</si>
  <si>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</si>
  <si>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</si>
  <si>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</si>
  <si>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</si>
  <si>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</si>
  <si>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</si>
  <si>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</si>
  <si>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</si>
  <si>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</si>
  <si>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</si>
  <si>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</si>
  <si>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</si>
  <si>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</si>
  <si>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</si>
  <si>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</si>
  <si>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</si>
  <si>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</si>
  <si>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</si>
  <si>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</si>
  <si>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</si>
  <si>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</si>
  <si>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</si>
  <si>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</si>
  <si>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</si>
  <si>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</si>
  <si>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PASSZÍV IDŐBELI ELHATÁROLÁSOK</t>
  </si>
  <si>
    <t>az Európai Uniós forrásból megvalósított, ill. tervezett projektek bevételeiről és kiadásairól, valamint az önkormányzaton kívüli ilyen projektekhez történő hozzájárulásról</t>
  </si>
  <si>
    <t>Jurisics Vár turisztikai hasznosítása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</si>
  <si>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</si>
  <si>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</si>
  <si>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</si>
  <si>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</si>
  <si>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</si>
  <si>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</si>
  <si>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</si>
  <si>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</si>
  <si>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</si>
  <si>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Bevételek (források)</t>
  </si>
  <si>
    <t>Európai Unios forrás</t>
  </si>
  <si>
    <t>Kormányzati támogatás</t>
  </si>
  <si>
    <t>Egyéb bevétel</t>
  </si>
  <si>
    <t>Fejlesztési hitel felvétel (támogatás megelőlegező)</t>
  </si>
  <si>
    <t>Önkormányzat saját forrásaiból</t>
  </si>
  <si>
    <t>Kiadások:</t>
  </si>
  <si>
    <t>Fejlesztés</t>
  </si>
  <si>
    <t>Fejlesztési hitel visszafizetése (támogatás megelőlegező)</t>
  </si>
  <si>
    <t>Egyéb kiadás</t>
  </si>
  <si>
    <t xml:space="preserve"> ÁROP.-1.A.53-2014-2014-0019 projekt Esélyteremtési akcióprogram a Kőszegi Járásban</t>
  </si>
  <si>
    <t xml:space="preserve">Egyéb kiadás </t>
  </si>
  <si>
    <t>ERASMUS+ pályázat</t>
  </si>
  <si>
    <t>( Ft-ban)</t>
  </si>
  <si>
    <t>( Ft)</t>
  </si>
  <si>
    <t>Központi Óvoda és Bölcsőde  Többcélú KIKI</t>
  </si>
  <si>
    <t>VI.</t>
  </si>
  <si>
    <t>VII.</t>
  </si>
  <si>
    <t>VIII.</t>
  </si>
  <si>
    <t>Központi Óvoda és Bölcsőde Többcélú KIKI</t>
  </si>
  <si>
    <t>2017.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</si>
  <si>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</si>
  <si>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</si>
  <si>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</si>
  <si>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</si>
  <si>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Kerékpárút</t>
  </si>
  <si>
    <t>TOP-1.4.1-15 Újvárosi Óvoda</t>
  </si>
  <si>
    <t>TOP-1.4.1-15 Központi Óvoda</t>
  </si>
  <si>
    <t>TOP-1.2.1-16 Turisztika</t>
  </si>
  <si>
    <t>TOP-5.2.1 Helyi foglalkoztatási Paktum</t>
  </si>
  <si>
    <t>Szállítói tartozásokra</t>
  </si>
  <si>
    <t>2018. évi Pálinka nap támogatására 2017-ben átutalt összeg</t>
  </si>
  <si>
    <t>Közfogi előlege</t>
  </si>
  <si>
    <t xml:space="preserve">Városüzemeltető </t>
  </si>
  <si>
    <t>IX.</t>
  </si>
  <si>
    <t>X.</t>
  </si>
  <si>
    <t>XI.</t>
  </si>
  <si>
    <t>XII.</t>
  </si>
  <si>
    <t>XIII.</t>
  </si>
  <si>
    <t>XIV.</t>
  </si>
  <si>
    <t>Peresznyének visszautalandó összeg</t>
  </si>
  <si>
    <t>Horvátzsidánynak visszautalandó összeg</t>
  </si>
  <si>
    <t xml:space="preserve">Egészségügyi feladatok el nem költött NEAK finanszírozása </t>
  </si>
  <si>
    <t xml:space="preserve">Intézmény kérésére ( csatolt kérelem alapján) </t>
  </si>
  <si>
    <t>Közvilágítás felújítás</t>
  </si>
  <si>
    <t>Velemnek és Kőszegszerdahelynek visszautalandó összeg</t>
  </si>
  <si>
    <t>2018. években</t>
  </si>
  <si>
    <t>2018. évi eredeti előirányzat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</si>
  <si>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</si>
  <si>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</si>
  <si>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</si>
  <si>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5. A 2017. évről áthúzódó bérkompenzáció támogatása</t>
  </si>
  <si>
    <t>6. Polgármesteri illetmény támogatása</t>
  </si>
  <si>
    <t>7.a(1) Kiegészító támogatás a bölcsődében folgalkoztatott, felsőfokú végzettségű kisgyermeknevelők béréhez</t>
  </si>
  <si>
    <t>7.a(2) Finanszírozás szempontjából elismert szakmai dolgozók bértámogtása</t>
  </si>
  <si>
    <t>7.b. Bölcsődei üzemeltetés támogatása</t>
  </si>
  <si>
    <t xml:space="preserve">A helyi önkormányzatok kiegészítő támogatásai  (2017. évi C. törvény 3. melléklete szerint)  </t>
  </si>
  <si>
    <t>2018. évi bérkompenzáció</t>
  </si>
  <si>
    <t>ASP működés támogatása</t>
  </si>
  <si>
    <t>Szociális ágazati összevont pótlék</t>
  </si>
  <si>
    <t xml:space="preserve">  Nemzetiségi óvodapedagógusok kiegészítő támogatása</t>
  </si>
  <si>
    <t>2017.évi Állami elszámolási különbözete</t>
  </si>
  <si>
    <t>Működési célú  önkormányzati támogatások összesen (2017. évi C. törvény 2. és 3. melléklete szerint):</t>
  </si>
  <si>
    <t xml:space="preserve">A helyi önkormányzatok kiegészítő támogatásai  (2017. évi C. törvény 2. és 3. melléklete szerint)  </t>
  </si>
  <si>
    <t>1135/2018. (III.26.) Korm. hat. kapott támogatása (tűzoltóság áthelyezésére II.ütem)</t>
  </si>
  <si>
    <t>VIS MAIOR támogatás</t>
  </si>
  <si>
    <t>Önkormányzatok feladatellátást szolgáló támogatása</t>
  </si>
  <si>
    <t>Felhalmozási célú  önkormányzati támogatások összesen (2017. évi C. törvény 2. és 3. melléklete szerint):</t>
  </si>
  <si>
    <t>Kőszeg Város Önkormányzata és intézményei bevételei és kiadásai 2018. évben</t>
  </si>
  <si>
    <t xml:space="preserve">          2018. évi felhalmozási célú bevételek </t>
  </si>
  <si>
    <t xml:space="preserve">          ( Ft)</t>
  </si>
  <si>
    <t>Eredeti előirányzat</t>
  </si>
  <si>
    <t>Vagyonhasznosító bevétele (Ciao Amigo eladása)</t>
  </si>
  <si>
    <t>Vagyonhasznosító bevétele (Rákóczi utca 1. üzlethelyiség eladása )</t>
  </si>
  <si>
    <t>Vagyonhasznosító bevétele (Napelempark )</t>
  </si>
  <si>
    <t xml:space="preserve">Vagyonhasznosító bevétele </t>
  </si>
  <si>
    <t>Velem községi Önkormányzat Közös Hivatalhoz</t>
  </si>
  <si>
    <t>Bozsok községi Önkormányzat Közös Hivatalhoz</t>
  </si>
  <si>
    <t>1135/2018. (III.22.) Korm. hat. kapott támogatás (Tűzoltóság)</t>
  </si>
  <si>
    <t>Kőszeg városkörnyéki közösségi közlekedés fejlesztése támogatás</t>
  </si>
  <si>
    <t>Önkormányzati feladatellátást szolgáló fejlesztlések támogatása</t>
  </si>
  <si>
    <t>Hősök tornya pályázat</t>
  </si>
  <si>
    <t>NKA-tól fejlesztési támogatás</t>
  </si>
  <si>
    <t xml:space="preserve">Horvátzsidány község Önkormányzata Idősek Klubjához támogatás </t>
  </si>
  <si>
    <t>Chernel Kálmán Városi Könyvtár EFOP támogatása</t>
  </si>
  <si>
    <t>Lakástámogatás visszatérítés</t>
  </si>
  <si>
    <t>Malom utcai felújításra  háromoldalú megállapodás alapján</t>
  </si>
  <si>
    <t>Jurisics Vár TOP projekthez</t>
  </si>
  <si>
    <t>felhalmozási pénzmaradvány</t>
  </si>
  <si>
    <t>TOP előkészítő keret 2017. évi maradványa</t>
  </si>
  <si>
    <t>1818/2016. (XII.22.) Korm. hat. kapott támogatás (Tűzoltóság)</t>
  </si>
  <si>
    <t>1717/2017. (X.3.) Korm. hat. kapott támogatás (Posztó utcai parkoló)</t>
  </si>
  <si>
    <t>TOP-3.1.1-15 Kőszegfalvi  Kerékpárút</t>
  </si>
  <si>
    <t xml:space="preserve">TOP-1.4.1-15 Újvárosi Óvoda </t>
  </si>
  <si>
    <t>1115/2017. (III. 7.) Korm. hat. kapott támogatás maradványa (Sgraffitós ház)</t>
  </si>
  <si>
    <t>2018. évi felhalmozási  kiadások ( Ft)</t>
  </si>
  <si>
    <t xml:space="preserve">9 fős Mikrobusz végszámla </t>
  </si>
  <si>
    <t>Posztó utcai parkoló kialakítása (pályázati pénzből)</t>
  </si>
  <si>
    <t>Zártkerti mintaprogram pályázat sajá erő</t>
  </si>
  <si>
    <t>Károlyi M. utca Bercsényi utcáig tartó szakaszán járda és csapadékvíz + műszaki ellenőr</t>
  </si>
  <si>
    <t>Károlyi garázssor útfelújítás + műszaki ellenőr</t>
  </si>
  <si>
    <t>TOP előkészítő keret terhére2017-ben szerződőtt</t>
  </si>
  <si>
    <t xml:space="preserve">TOP projektek 2018.évi előkészítési költségei </t>
  </si>
  <si>
    <t>Központi Óvoda és Újvárosi Óvoda Kraft forrás megelőlegezés</t>
  </si>
  <si>
    <t>Központi Orvosi Ügyelet ügyeleti autó cseréje</t>
  </si>
  <si>
    <t>Egészségház klímaberendezés várótermekben</t>
  </si>
  <si>
    <t>Szent Imre herceg utcában a temető falának megerősítése</t>
  </si>
  <si>
    <t>ÖBB vasútpálya megvásárlásával együtt (26000EUR)</t>
  </si>
  <si>
    <t>Jurisics Vár TOP projekt keretében beszerzendő eszközök</t>
  </si>
  <si>
    <t>Jurisics-vár Művelődési Központ és Várszínház fényképező gép Kőszeg és Vidéke Újsághoz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</si>
  <si>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</si>
  <si>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</si>
  <si>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</si>
  <si>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</si>
  <si>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</si>
  <si>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 xml:space="preserve">VELOREGIO projekt forrás megelőlegezés </t>
  </si>
  <si>
    <t>Csapadékvíz elvezető rendszer Kraft forrás megelőlegezés (Tamás árok hordalékfogó)</t>
  </si>
  <si>
    <t xml:space="preserve">Kőszegi tűzoltóság áthelyezése II.ütem </t>
  </si>
  <si>
    <t>Liszt Ferenc utca felújítás (Kőszegi tűzoltóság megközelíthetősége önerőből)</t>
  </si>
  <si>
    <t>Alpannónia pályázat keretén belül-  Tanulmányút az alpannónia túraúton</t>
  </si>
  <si>
    <t>Alpannónia pályázat keretén belül-   Térségi nagyrendezvényeken történá részvétel</t>
  </si>
  <si>
    <t>rendezvény áramellátás</t>
  </si>
  <si>
    <t>Kiss János lakótelep belső tömb parkoló építés I. ütem /19 db/</t>
  </si>
  <si>
    <t>Chernel 12. csapadékvíz elvezetés</t>
  </si>
  <si>
    <t>Missziós ház kerítés áthelyezés</t>
  </si>
  <si>
    <t>Hirdetőtáblák cseréje</t>
  </si>
  <si>
    <t>utcanévtáblák kihelyezése</t>
  </si>
  <si>
    <t>Kárpáti Sándor utca 54 m hosszú szakaszának járhatóvá tétele</t>
  </si>
  <si>
    <t>Szent Imre herceg utca, Gesztenyefa utca új aszfaltburkolat</t>
  </si>
  <si>
    <t>Könyvtár érdekeltségnövelő támogtásra elszámolható eszközbeszerzése</t>
  </si>
  <si>
    <t>VÁR EFOP támogatás terhére</t>
  </si>
  <si>
    <t xml:space="preserve">Múzeum 2017.évi pénzmaradványból </t>
  </si>
  <si>
    <t>Hivatal karbantartásról átcsoportosítás</t>
  </si>
  <si>
    <t xml:space="preserve">Központi Óvoda 2017.évi pénzmaradványból </t>
  </si>
  <si>
    <t xml:space="preserve">Horvátzsidányi tagóvoda 2017.évi pénzmaradványból </t>
  </si>
  <si>
    <t>Kőszeg Városkörnényi közlekedés támogatásából</t>
  </si>
  <si>
    <t>"Sgraffitós ház felújítása" fordított ÁFA átvezetése dologi kiadásokra</t>
  </si>
  <si>
    <t>Chernel Kálmán Városi Könyvtár EFOP támogatásból</t>
  </si>
  <si>
    <t>Kőszegi Városi Múzeum Kubinyi program 2017.évi maradványából</t>
  </si>
  <si>
    <t>Szociális Gondozási Központ Horvátzsidányi IK. kisértékű tárgyi eszközök</t>
  </si>
  <si>
    <t>Szociális Gondozási Központ új szolgálat bevezetéséhez gépjármű vásárlása</t>
  </si>
  <si>
    <t>Központi Óvoda Felsővárosi tagóvoda kisértékű tárgyi eszköz beszerzés</t>
  </si>
  <si>
    <t>Központi Óvoda Peresznyei tagóvoda napelemhez árambővítés</t>
  </si>
  <si>
    <t xml:space="preserve">"Sgraffitós ház felújítása" </t>
  </si>
  <si>
    <t>VASIVÍZ Zrt. Kompenzációs számlák</t>
  </si>
  <si>
    <t xml:space="preserve">Jurisics Vár- Kőszegfalvi klub asztallapok cseréje </t>
  </si>
  <si>
    <t>Kőszegi Városi Múzeum - radiátor csere a Rákóczi utca 3-ban</t>
  </si>
  <si>
    <t>Újvárosi Óvoda Kőszegfalvi tagóvodája - konyhai ablak cseréje</t>
  </si>
  <si>
    <t>Kőszegi Szociális Gondozási Központ Hajléktalan szálló vizesblokk műszaki felmérés alapján adott árajánlat</t>
  </si>
  <si>
    <t>VIS MAIOR helyreállítás (2017-ről önerő bíztosításával)</t>
  </si>
  <si>
    <t>Chernel 12. tetőjavítás, homlokzat; Rákóczi 3. tetőjavítás; Cáki út javítás</t>
  </si>
  <si>
    <t>Várkör 53. pincebeázás megoldása</t>
  </si>
  <si>
    <t>vágóhíd bontása</t>
  </si>
  <si>
    <t>Buszpályaudvar nyilvános WC felújítása</t>
  </si>
  <si>
    <t>Malom utca útfelújítás</t>
  </si>
  <si>
    <t>falépcső felújítás: Szulejmán, Csónakázó tó</t>
  </si>
  <si>
    <t>Űrhajósok útja Bercsényi - Rómer Flóris közti szakaszának felújítása</t>
  </si>
  <si>
    <t>Meskó utca Bakcsy-Zs. E. utcáig tartó szakaszának felújítása</t>
  </si>
  <si>
    <t>VÁR 2017.évi pénzmaradványból</t>
  </si>
  <si>
    <t>Múzeum 2017.évi pénzmaradványból</t>
  </si>
  <si>
    <t xml:space="preserve">Hősök tornya </t>
  </si>
  <si>
    <t>Hulladékgazdálkodási társulási beruházásokhoz átadás (2017.évi hátralék)</t>
  </si>
  <si>
    <t xml:space="preserve">Kőszegi futball Club telephely korszerűsítése pályázat önerő hozzájárulása 168/2017.(IX.28.) Képviselő-testületi határozat alapján </t>
  </si>
  <si>
    <t>Kőszegfalvi Sportegyesület fejlesztéseihez hozzájárulás</t>
  </si>
  <si>
    <t>,</t>
  </si>
  <si>
    <t>Szippantó felépítmény</t>
  </si>
  <si>
    <t>Várkör-Rajnis-Pék utca gyalogos átkelő kiépítése közvilágítással</t>
  </si>
  <si>
    <t>Mély utca folyóka építés</t>
  </si>
  <si>
    <t>Balog Iskola parkoló építése, csapadékvíz evezetése</t>
  </si>
  <si>
    <t>Kiskakas vendéglőnél parkoló bővítése</t>
  </si>
  <si>
    <t>Bionemezgyárnál zsilip megközelítésére szolgáló terület kitisztítása</t>
  </si>
  <si>
    <t>Szent György utca és Postásrét  utca szennyvízcsatorna kiépítése</t>
  </si>
  <si>
    <t>Egészségház melleti fejlesztési terület közművesítés és útépítés</t>
  </si>
  <si>
    <t>2018. évi maradvány kimutatása</t>
  </si>
  <si>
    <t>Kőszeg Város Önkormányzatának 2018. évi vagyonmérlege</t>
  </si>
  <si>
    <t>Támogatás összege 2018. 12. 31.             ( Ft)</t>
  </si>
  <si>
    <t>Teljesítés összege 2018. 12. 31.             ( Ft)</t>
  </si>
  <si>
    <t>Hajléktalan szálló rendkívüli támogatsása</t>
  </si>
  <si>
    <t>Téli rezsicsökkentés</t>
  </si>
  <si>
    <t>Múzeumok Kubinyi támogatása</t>
  </si>
  <si>
    <t>2018. 12.31. módosított előirányzat</t>
  </si>
  <si>
    <t>2018. 12.31. teljesítés</t>
  </si>
  <si>
    <t>módosított ei. 2018.12.31.</t>
  </si>
  <si>
    <t>teljesítés 2018.12.31.</t>
  </si>
  <si>
    <t>Módosított előirányzat 2018.12.31.</t>
  </si>
  <si>
    <t>Teljesítés 2018.12.31.</t>
  </si>
  <si>
    <t xml:space="preserve">               -ebből egyéb felh. célú támogatások áht-n belülre</t>
  </si>
  <si>
    <t>Államháztartáson belüli megelőlegezések</t>
  </si>
  <si>
    <t xml:space="preserve">FORRÁSOK ÖSSZESEN (=G+H+I+J) </t>
  </si>
  <si>
    <t>12.</t>
  </si>
  <si>
    <t>Múzeum Kubinyi pályázatra</t>
  </si>
  <si>
    <t>VELOREGIO</t>
  </si>
  <si>
    <t>Zártkerti pályázat</t>
  </si>
  <si>
    <t>TOP Központi Óvoda projekt</t>
  </si>
  <si>
    <t>13.</t>
  </si>
  <si>
    <t>14.</t>
  </si>
  <si>
    <t>15.</t>
  </si>
  <si>
    <t xml:space="preserve">Alpannónia előleg </t>
  </si>
  <si>
    <t xml:space="preserve">Fejlesztési tartalék alpannónia </t>
  </si>
  <si>
    <t xml:space="preserve">Szociális Gondozási Központ Hajléktalan szálló </t>
  </si>
  <si>
    <t>Városgondnokság játszótér kialakításra</t>
  </si>
  <si>
    <t>2019. évi költségvetésbe beépített feladatok</t>
  </si>
  <si>
    <t>2019. évi költségvetésbe a zárszámadás követően beépítendő maradvány</t>
  </si>
  <si>
    <t>Kőszeg Város Önkormányzata 2018. évi képződött maradványa</t>
  </si>
  <si>
    <t>Kőszegi Közös Önkormányzati Hivatal 2018. évben képződött maradványa:</t>
  </si>
  <si>
    <t>Chernel K. Városi Könyvtár 2018. évben képződött maradványa:</t>
  </si>
  <si>
    <t>Jurisics-vár Művelődési Központ és Várszínház 2018. évben képződött maradványa:</t>
  </si>
  <si>
    <t>Kőszegi Városi Múzeum 2018. évben képződött maradványa</t>
  </si>
  <si>
    <t>Kőszegi Szociális Gondozási Központ  2018. évben képződött maradványa</t>
  </si>
  <si>
    <t>Központi Óvoda és Bölcsőde (székhely Intézmény) 2018. évben képződött maradványa</t>
  </si>
  <si>
    <t>Központi Óvoda és Bölcsőde (Bölcsőde) 2018. évben képződött maradványa</t>
  </si>
  <si>
    <t>Központi Óvoda és Bölcsőde  (Felsővárosi tagóvodája)2018. évben képződött maradványa</t>
  </si>
  <si>
    <t>Központi Óvoda és Bölcsőde ( Horvátzsidányi tagóvodája) 2018. évben képződött maradványa</t>
  </si>
  <si>
    <t>Központi Óvoda és Bölcsőde (Peresznyei tagóvodája) 2018. évben képződött maradványa</t>
  </si>
  <si>
    <t>Újvárosi Óvoda (székhely Intézménye) 2018. évben képződött maradványa</t>
  </si>
  <si>
    <t>Újvárosi Óvoda ( Kőszegfalvi tagóvodája) 2018. évben képződött maradványa</t>
  </si>
  <si>
    <t>Újvárosi Óvoda ( Velemi tagóvodája) 2018. évben képződött maradványa</t>
  </si>
  <si>
    <t>Önkormányzat és intézményei összesen (I.+II.+III.+IV.+V.+VI.+VII.+VIII.+IX.+X.+XI.+XII.+XIII.+XIV.):</t>
  </si>
  <si>
    <t>pályázatok maradványa</t>
  </si>
  <si>
    <t>Intézmény kérése (karbantartási kiadásokra)</t>
  </si>
  <si>
    <t xml:space="preserve">2018. évben elnyert  Kubinyi Ágoston program pályázati maradványa </t>
  </si>
  <si>
    <t>Intézmény kérése (Arany Egyszarvú Patika pénztár helyiségének felújítása)</t>
  </si>
  <si>
    <t>Intézmény kérése (Várkör 64.szám alatti raktárba tároló elemek, csomagolóanyagok, raktári segédeszközök beszerzése, illetve műtárgyak átszállításának költsége)</t>
  </si>
  <si>
    <t>Intézmény kérése (Műtárgy digitalizáláshoz full-frames fényképezőgépváz beszerzés)</t>
  </si>
  <si>
    <t>Intézmény kérése (Hősök tornya TOP-7.1.1-16-H-017-2.2. pályázathoz)</t>
  </si>
  <si>
    <t>Intézmény kérése (GPS eszköz beszerzése)</t>
  </si>
  <si>
    <t>Intézmény kérése (Arany egyszarvú Patika csapadék- és szennyvíz bekötés szétválasztása)</t>
  </si>
  <si>
    <t>Intézmény kérése (TOP-7.1.1-16-H-017-2.2. kiállításrendezése)</t>
  </si>
  <si>
    <t>Intézmény kérése (MS Office szoftver csomag 2 db)</t>
  </si>
  <si>
    <t>Kőszegnek visszautalandó bérkompenzáció előlege</t>
  </si>
  <si>
    <t>Hajléktalan szálló kapott támogatás</t>
  </si>
  <si>
    <t xml:space="preserve">Kőszegnek visszautalandó </t>
  </si>
  <si>
    <t>Intézmény kérése (TOP pályázatok előre nem látható kiadásaira)</t>
  </si>
  <si>
    <t>Intézmény kérése (Házasságkötő terem 2 db klíma cseréjére)</t>
  </si>
  <si>
    <t>Intézmény kérése (új OTP elektra rendszer üzemeltetéséhez 10 db mobiltelefon vásárlására)</t>
  </si>
  <si>
    <t>Intézmény kérése (számítógépek vásárlására és kártyaolvasókra)</t>
  </si>
  <si>
    <t>Kőszegnek utalandó Horvátzsidányi IK többlet visszautalására</t>
  </si>
  <si>
    <t>Intézmény kérésére (udvari nyitott színpad árnyékoló tetejének elkészíttetésére és az udvar fűvesítésére)</t>
  </si>
  <si>
    <t>Intézmény kérésére</t>
  </si>
  <si>
    <t xml:space="preserve">Intézmény kérésére (2019-es költségvetésbe nem tervezett dolgozó nyugdíjbavonulása miatt 3 havi bér és járuléka) </t>
  </si>
  <si>
    <t>Intézmény kérésére (elhasználódott udvari játékok cseréjére)</t>
  </si>
  <si>
    <t xml:space="preserve">Intézmény kérésére ( bejárati kapu cseréje és új udvari játékok vásárlására) </t>
  </si>
  <si>
    <t>Intézmény kérésére (új számítógép vásárlására)</t>
  </si>
  <si>
    <t>2019. évi állami támogatások előlegének elszámolása</t>
  </si>
  <si>
    <t xml:space="preserve">alpannónia pályázat  maradványa </t>
  </si>
  <si>
    <t>TOP-5.3.1-16 Helyi identitás és kohézió</t>
  </si>
  <si>
    <t>Városkörnyéki közösségi közlekedés (SUMP)</t>
  </si>
  <si>
    <t>TOP előkészítő keret 2018.évi maradványa</t>
  </si>
  <si>
    <t>Meskó utca Bajcsy-Zs.E. utcáig tartó szakasz felújítása</t>
  </si>
  <si>
    <t>2019. évi kiadások fedezeteként a 2019. évi költségvetésbe szereplő összeg</t>
  </si>
  <si>
    <t>Energetikai tanúsítvány</t>
  </si>
  <si>
    <t>Rendezési terv módosÍtására</t>
  </si>
  <si>
    <t>Egyéb rendezvények kiadásaira</t>
  </si>
  <si>
    <t>Önkormányzati szociális dologi kiadásokra</t>
  </si>
  <si>
    <t>illemhely bérlet 20000/hó</t>
  </si>
  <si>
    <t>költségvetésből kimaradt Chernel 12 tető és a Rákóczi u.3 tető</t>
  </si>
  <si>
    <t>egyéb rendezvények keretének megemelésére</t>
  </si>
  <si>
    <t>pályázatok önerejére</t>
  </si>
  <si>
    <t>vár 2018-ról elmaradt finanszírozása</t>
  </si>
  <si>
    <t>Kőszegi Szociális Gondozási Központ Feladatellátási szerződés Velem részéről történő felmondása miatt elmaradt bevétel</t>
  </si>
  <si>
    <t>Malomárok híd felújítására</t>
  </si>
  <si>
    <t>vagyonbiztosítás díj emelkedésére</t>
  </si>
  <si>
    <t>könyvtár távhőszakaszolás megoldása</t>
  </si>
  <si>
    <t>Városüzemeltető Kht. kiadási keretének megemelése</t>
  </si>
  <si>
    <t>Intézményektől visszavont pénzmaradvány felhasználása</t>
  </si>
  <si>
    <t>1. melléklet a 10/2019. (V. 30.) önkormányzati rendelethez</t>
  </si>
  <si>
    <t>2. melléklet a 10/2019. (V. 30.) önkormányzati rendelethez</t>
  </si>
  <si>
    <t>3. melléklet a 10/2019. (V. 30.) önkormányzati rendelethez</t>
  </si>
  <si>
    <t>4. melléklet a 10/2019. (V. 30.) önkormányzati rendelethez</t>
  </si>
  <si>
    <t>5. melléklet a 10/2019. (V. 30.) önkormányzati rendelethez</t>
  </si>
  <si>
    <t>6. melléklet a 10/2019. (V. 30.) önkormányzati rendelethez</t>
  </si>
  <si>
    <t>7. melléklet a 10/2019. (V.30.) önkormányzati rendelethez</t>
  </si>
  <si>
    <t>8. melléklet a 10/2019. (V. 30.) önkormányzati rendelethez</t>
  </si>
  <si>
    <t>9. melléklet a 10/2019. (V. 31.)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</si>
</sst>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i/>
      <sz val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3" fontId="15" fillId="0" borderId="0" xfId="0" applyNumberFormat="1" applyFont="1" applyFill="1" applyAlignment="1">
      <alignment/>
    </xf>
    <xf numFmtId="0" fontId="4" fillId="4" borderId="0" xfId="0" applyFont="1" applyFill="1" applyAlignment="1">
      <alignment vertical="top"/>
    </xf>
    <xf numFmtId="0" fontId="15" fillId="0" borderId="15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3" fontId="36" fillId="0" borderId="30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" fillId="0" borderId="0" xfId="100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36" fillId="0" borderId="32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36" fillId="0" borderId="34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0" fontId="16" fillId="0" borderId="37" xfId="0" applyFont="1" applyFill="1" applyBorder="1" applyAlignment="1">
      <alignment/>
    </xf>
    <xf numFmtId="3" fontId="15" fillId="0" borderId="38" xfId="0" applyNumberFormat="1" applyFont="1" applyFill="1" applyBorder="1" applyAlignment="1">
      <alignment horizontal="center"/>
    </xf>
    <xf numFmtId="3" fontId="16" fillId="0" borderId="39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4" fillId="9" borderId="0" xfId="0" applyFont="1" applyFill="1" applyBorder="1" applyAlignment="1">
      <alignment vertical="top" wrapText="1"/>
    </xf>
    <xf numFmtId="4" fontId="15" fillId="0" borderId="40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/>
    </xf>
    <xf numFmtId="4" fontId="16" fillId="0" borderId="41" xfId="0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6" fillId="0" borderId="36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4" fontId="16" fillId="0" borderId="43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/>
    </xf>
    <xf numFmtId="0" fontId="16" fillId="0" borderId="27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/>
    </xf>
    <xf numFmtId="0" fontId="36" fillId="0" borderId="38" xfId="0" applyFont="1" applyFill="1" applyBorder="1" applyAlignment="1">
      <alignment horizontal="left" indent="2"/>
    </xf>
    <xf numFmtId="0" fontId="15" fillId="0" borderId="38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36" fillId="0" borderId="38" xfId="0" applyFont="1" applyFill="1" applyBorder="1" applyAlignment="1">
      <alignment/>
    </xf>
    <xf numFmtId="0" fontId="36" fillId="0" borderId="38" xfId="0" applyFont="1" applyFill="1" applyBorder="1" applyAlignment="1">
      <alignment horizontal="left" wrapText="1" indent="2"/>
    </xf>
    <xf numFmtId="0" fontId="15" fillId="0" borderId="37" xfId="0" applyFont="1" applyFill="1" applyBorder="1" applyAlignment="1">
      <alignment wrapText="1"/>
    </xf>
    <xf numFmtId="0" fontId="36" fillId="0" borderId="45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36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36" fillId="0" borderId="49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15" fillId="0" borderId="50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4" fontId="16" fillId="20" borderId="20" xfId="0" applyNumberFormat="1" applyFont="1" applyFill="1" applyBorder="1" applyAlignment="1">
      <alignment/>
    </xf>
    <xf numFmtId="4" fontId="15" fillId="20" borderId="11" xfId="0" applyNumberFormat="1" applyFont="1" applyFill="1" applyBorder="1" applyAlignment="1">
      <alignment/>
    </xf>
    <xf numFmtId="4" fontId="16" fillId="20" borderId="12" xfId="0" applyNumberFormat="1" applyFont="1" applyFill="1" applyBorder="1" applyAlignment="1">
      <alignment/>
    </xf>
    <xf numFmtId="0" fontId="16" fillId="6" borderId="56" xfId="0" applyFont="1" applyFill="1" applyBorder="1" applyAlignment="1">
      <alignment/>
    </xf>
    <xf numFmtId="3" fontId="16" fillId="6" borderId="57" xfId="0" applyNumberFormat="1" applyFont="1" applyFill="1" applyBorder="1" applyAlignment="1">
      <alignment/>
    </xf>
    <xf numFmtId="3" fontId="16" fillId="6" borderId="58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0" fontId="16" fillId="6" borderId="60" xfId="0" applyFont="1" applyFill="1" applyBorder="1" applyAlignment="1">
      <alignment/>
    </xf>
    <xf numFmtId="3" fontId="16" fillId="6" borderId="61" xfId="0" applyNumberFormat="1" applyFont="1" applyFill="1" applyBorder="1" applyAlignment="1">
      <alignment/>
    </xf>
    <xf numFmtId="3" fontId="16" fillId="6" borderId="62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0" fontId="16" fillId="6" borderId="64" xfId="0" applyFont="1" applyFill="1" applyBorder="1" applyAlignment="1">
      <alignment/>
    </xf>
    <xf numFmtId="3" fontId="16" fillId="6" borderId="65" xfId="0" applyNumberFormat="1" applyFont="1" applyFill="1" applyBorder="1" applyAlignment="1">
      <alignment/>
    </xf>
    <xf numFmtId="3" fontId="16" fillId="6" borderId="66" xfId="0" applyNumberFormat="1" applyFont="1" applyFill="1" applyBorder="1" applyAlignment="1">
      <alignment/>
    </xf>
    <xf numFmtId="3" fontId="16" fillId="6" borderId="14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0" fontId="16" fillId="6" borderId="27" xfId="0" applyFont="1" applyFill="1" applyBorder="1" applyAlignment="1">
      <alignment/>
    </xf>
    <xf numFmtId="3" fontId="16" fillId="6" borderId="68" xfId="0" applyNumberFormat="1" applyFont="1" applyFill="1" applyBorder="1" applyAlignment="1">
      <alignment/>
    </xf>
    <xf numFmtId="0" fontId="16" fillId="6" borderId="21" xfId="0" applyFont="1" applyFill="1" applyBorder="1" applyAlignment="1">
      <alignment/>
    </xf>
    <xf numFmtId="3" fontId="16" fillId="6" borderId="69" xfId="0" applyNumberFormat="1" applyFont="1" applyFill="1" applyBorder="1" applyAlignment="1">
      <alignment/>
    </xf>
    <xf numFmtId="0" fontId="16" fillId="6" borderId="27" xfId="0" applyFont="1" applyFill="1" applyBorder="1" applyAlignment="1">
      <alignment wrapText="1"/>
    </xf>
    <xf numFmtId="3" fontId="16" fillId="6" borderId="57" xfId="0" applyNumberFormat="1" applyFont="1" applyFill="1" applyBorder="1" applyAlignment="1">
      <alignment/>
    </xf>
    <xf numFmtId="3" fontId="16" fillId="6" borderId="58" xfId="0" applyNumberFormat="1" applyFont="1" applyFill="1" applyBorder="1" applyAlignment="1">
      <alignment/>
    </xf>
    <xf numFmtId="0" fontId="16" fillId="6" borderId="23" xfId="0" applyFont="1" applyFill="1" applyBorder="1" applyAlignment="1">
      <alignment/>
    </xf>
    <xf numFmtId="3" fontId="16" fillId="6" borderId="70" xfId="0" applyNumberFormat="1" applyFont="1" applyFill="1" applyBorder="1" applyAlignment="1">
      <alignment/>
    </xf>
    <xf numFmtId="3" fontId="36" fillId="0" borderId="44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0" fontId="15" fillId="0" borderId="36" xfId="0" applyFont="1" applyBorder="1" applyAlignment="1">
      <alignment horizontal="left" wrapText="1"/>
    </xf>
    <xf numFmtId="3" fontId="14" fillId="6" borderId="31" xfId="0" applyNumberFormat="1" applyFont="1" applyFill="1" applyBorder="1" applyAlignment="1">
      <alignment/>
    </xf>
    <xf numFmtId="3" fontId="14" fillId="6" borderId="32" xfId="0" applyNumberFormat="1" applyFont="1" applyFill="1" applyBorder="1" applyAlignment="1">
      <alignment/>
    </xf>
    <xf numFmtId="3" fontId="14" fillId="6" borderId="57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63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36" xfId="0" applyNumberFormat="1" applyFont="1" applyFill="1" applyBorder="1" applyAlignment="1">
      <alignment/>
    </xf>
    <xf numFmtId="3" fontId="14" fillId="6" borderId="67" xfId="0" applyNumberFormat="1" applyFont="1" applyFill="1" applyBorder="1" applyAlignment="1">
      <alignment/>
    </xf>
    <xf numFmtId="3" fontId="14" fillId="6" borderId="59" xfId="0" applyNumberFormat="1" applyFont="1" applyFill="1" applyBorder="1" applyAlignment="1">
      <alignment/>
    </xf>
    <xf numFmtId="3" fontId="14" fillId="6" borderId="41" xfId="0" applyNumberFormat="1" applyFont="1" applyFill="1" applyBorder="1" applyAlignment="1">
      <alignment/>
    </xf>
    <xf numFmtId="3" fontId="14" fillId="6" borderId="42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6" borderId="44" xfId="0" applyNumberFormat="1" applyFont="1" applyFill="1" applyBorder="1" applyAlignment="1">
      <alignment/>
    </xf>
    <xf numFmtId="3" fontId="14" fillId="6" borderId="61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6" fillId="6" borderId="18" xfId="0" applyNumberFormat="1" applyFont="1" applyFill="1" applyBorder="1" applyAlignment="1">
      <alignment/>
    </xf>
    <xf numFmtId="3" fontId="16" fillId="6" borderId="32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6" fillId="6" borderId="62" xfId="0" applyNumberFormat="1" applyFont="1" applyFill="1" applyBorder="1" applyAlignment="1">
      <alignment/>
    </xf>
    <xf numFmtId="3" fontId="16" fillId="6" borderId="66" xfId="0" applyNumberFormat="1" applyFont="1" applyFill="1" applyBorder="1" applyAlignment="1">
      <alignment/>
    </xf>
    <xf numFmtId="3" fontId="16" fillId="6" borderId="31" xfId="0" applyNumberFormat="1" applyFont="1" applyFill="1" applyBorder="1" applyAlignment="1">
      <alignment/>
    </xf>
    <xf numFmtId="3" fontId="16" fillId="6" borderId="33" xfId="0" applyNumberFormat="1" applyFont="1" applyFill="1" applyBorder="1" applyAlignment="1">
      <alignment/>
    </xf>
    <xf numFmtId="3" fontId="16" fillId="6" borderId="34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3" fontId="16" fillId="6" borderId="36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3" fontId="16" fillId="6" borderId="19" xfId="0" applyNumberFormat="1" applyFont="1" applyFill="1" applyBorder="1" applyAlignment="1">
      <alignment/>
    </xf>
    <xf numFmtId="3" fontId="16" fillId="6" borderId="26" xfId="0" applyNumberFormat="1" applyFont="1" applyFill="1" applyBorder="1" applyAlignment="1">
      <alignment/>
    </xf>
    <xf numFmtId="3" fontId="16" fillId="6" borderId="35" xfId="0" applyNumberFormat="1" applyFont="1" applyFill="1" applyBorder="1" applyAlignment="1">
      <alignment/>
    </xf>
    <xf numFmtId="3" fontId="16" fillId="6" borderId="3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3" fontId="4" fillId="24" borderId="0" xfId="0" applyNumberFormat="1" applyFont="1" applyFill="1" applyAlignment="1">
      <alignment horizontal="right" vertical="top"/>
    </xf>
    <xf numFmtId="3" fontId="4" fillId="24" borderId="0" xfId="0" applyNumberFormat="1" applyFont="1" applyFill="1" applyBorder="1" applyAlignment="1">
      <alignment horizontal="right" vertical="top"/>
    </xf>
    <xf numFmtId="3" fontId="16" fillId="6" borderId="38" xfId="0" applyNumberFormat="1" applyFont="1" applyFill="1" applyBorder="1" applyAlignment="1">
      <alignment/>
    </xf>
    <xf numFmtId="0" fontId="15" fillId="0" borderId="36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15" fillId="6" borderId="36" xfId="0" applyFont="1" applyFill="1" applyBorder="1" applyAlignment="1">
      <alignment wrapText="1"/>
    </xf>
    <xf numFmtId="0" fontId="15" fillId="6" borderId="30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wrapText="1"/>
    </xf>
    <xf numFmtId="0" fontId="15" fillId="6" borderId="36" xfId="0" applyFont="1" applyFill="1" applyBorder="1" applyAlignment="1">
      <alignment horizontal="left" wrapText="1"/>
    </xf>
    <xf numFmtId="0" fontId="15" fillId="0" borderId="36" xfId="0" applyFont="1" applyFill="1" applyBorder="1" applyAlignment="1">
      <alignment horizontal="left" wrapText="1"/>
    </xf>
    <xf numFmtId="0" fontId="15" fillId="25" borderId="36" xfId="0" applyFont="1" applyFill="1" applyBorder="1" applyAlignment="1">
      <alignment horizontal="left" wrapText="1"/>
    </xf>
    <xf numFmtId="0" fontId="15" fillId="25" borderId="30" xfId="0" applyFont="1" applyFill="1" applyBorder="1" applyAlignment="1">
      <alignment horizontal="center" wrapText="1"/>
    </xf>
    <xf numFmtId="0" fontId="15" fillId="25" borderId="12" xfId="0" applyFont="1" applyFill="1" applyBorder="1" applyAlignment="1">
      <alignment horizontal="center" wrapText="1"/>
    </xf>
    <xf numFmtId="3" fontId="15" fillId="25" borderId="34" xfId="0" applyNumberFormat="1" applyFont="1" applyFill="1" applyBorder="1" applyAlignment="1">
      <alignment/>
    </xf>
    <xf numFmtId="3" fontId="15" fillId="25" borderId="35" xfId="0" applyNumberFormat="1" applyFont="1" applyFill="1" applyBorder="1" applyAlignment="1">
      <alignment/>
    </xf>
    <xf numFmtId="3" fontId="36" fillId="25" borderId="32" xfId="0" applyNumberFormat="1" applyFont="1" applyFill="1" applyBorder="1" applyAlignment="1">
      <alignment/>
    </xf>
    <xf numFmtId="3" fontId="36" fillId="25" borderId="42" xfId="0" applyNumberFormat="1" applyFont="1" applyFill="1" applyBorder="1" applyAlignment="1">
      <alignment/>
    </xf>
    <xf numFmtId="3" fontId="15" fillId="25" borderId="32" xfId="0" applyNumberFormat="1" applyFont="1" applyFill="1" applyBorder="1" applyAlignment="1">
      <alignment/>
    </xf>
    <xf numFmtId="3" fontId="15" fillId="25" borderId="42" xfId="0" applyNumberFormat="1" applyFont="1" applyFill="1" applyBorder="1" applyAlignment="1">
      <alignment/>
    </xf>
    <xf numFmtId="3" fontId="15" fillId="25" borderId="33" xfId="0" applyNumberFormat="1" applyFont="1" applyFill="1" applyBorder="1" applyAlignment="1">
      <alignment/>
    </xf>
    <xf numFmtId="3" fontId="15" fillId="25" borderId="51" xfId="0" applyNumberFormat="1" applyFont="1" applyFill="1" applyBorder="1" applyAlignment="1">
      <alignment/>
    </xf>
    <xf numFmtId="3" fontId="16" fillId="25" borderId="57" xfId="0" applyNumberFormat="1" applyFont="1" applyFill="1" applyBorder="1" applyAlignment="1">
      <alignment/>
    </xf>
    <xf numFmtId="3" fontId="16" fillId="25" borderId="59" xfId="0" applyNumberFormat="1" applyFont="1" applyFill="1" applyBorder="1" applyAlignment="1">
      <alignment/>
    </xf>
    <xf numFmtId="3" fontId="15" fillId="25" borderId="52" xfId="0" applyNumberFormat="1" applyFont="1" applyFill="1" applyBorder="1" applyAlignment="1">
      <alignment/>
    </xf>
    <xf numFmtId="3" fontId="36" fillId="25" borderId="34" xfId="0" applyNumberFormat="1" applyFont="1" applyFill="1" applyBorder="1" applyAlignment="1">
      <alignment/>
    </xf>
    <xf numFmtId="3" fontId="36" fillId="25" borderId="33" xfId="0" applyNumberFormat="1" applyFont="1" applyFill="1" applyBorder="1" applyAlignment="1">
      <alignment/>
    </xf>
    <xf numFmtId="3" fontId="36" fillId="25" borderId="51" xfId="0" applyNumberFormat="1" applyFont="1" applyFill="1" applyBorder="1" applyAlignment="1">
      <alignment/>
    </xf>
    <xf numFmtId="3" fontId="16" fillId="25" borderId="63" xfId="0" applyNumberFormat="1" applyFont="1" applyFill="1" applyBorder="1" applyAlignment="1">
      <alignment/>
    </xf>
    <xf numFmtId="3" fontId="15" fillId="25" borderId="31" xfId="0" applyNumberFormat="1" applyFont="1" applyFill="1" applyBorder="1" applyAlignment="1">
      <alignment/>
    </xf>
    <xf numFmtId="3" fontId="15" fillId="25" borderId="41" xfId="0" applyNumberFormat="1" applyFont="1" applyFill="1" applyBorder="1" applyAlignment="1">
      <alignment/>
    </xf>
    <xf numFmtId="3" fontId="15" fillId="25" borderId="36" xfId="0" applyNumberFormat="1" applyFont="1" applyFill="1" applyBorder="1" applyAlignment="1">
      <alignment/>
    </xf>
    <xf numFmtId="3" fontId="15" fillId="25" borderId="44" xfId="0" applyNumberFormat="1" applyFont="1" applyFill="1" applyBorder="1" applyAlignment="1">
      <alignment/>
    </xf>
    <xf numFmtId="3" fontId="16" fillId="25" borderId="67" xfId="0" applyNumberFormat="1" applyFont="1" applyFill="1" applyBorder="1" applyAlignment="1">
      <alignment/>
    </xf>
    <xf numFmtId="3" fontId="36" fillId="25" borderId="36" xfId="0" applyNumberFormat="1" applyFont="1" applyFill="1" applyBorder="1" applyAlignment="1">
      <alignment/>
    </xf>
    <xf numFmtId="3" fontId="36" fillId="25" borderId="44" xfId="0" applyNumberFormat="1" applyFont="1" applyFill="1" applyBorder="1" applyAlignment="1">
      <alignment/>
    </xf>
    <xf numFmtId="3" fontId="16" fillId="25" borderId="61" xfId="0" applyNumberFormat="1" applyFont="1" applyFill="1" applyBorder="1" applyAlignment="1">
      <alignment/>
    </xf>
    <xf numFmtId="3" fontId="16" fillId="25" borderId="57" xfId="0" applyNumberFormat="1" applyFont="1" applyFill="1" applyBorder="1" applyAlignment="1">
      <alignment/>
    </xf>
    <xf numFmtId="3" fontId="16" fillId="25" borderId="59" xfId="0" applyNumberFormat="1" applyFont="1" applyFill="1" applyBorder="1" applyAlignment="1">
      <alignment/>
    </xf>
    <xf numFmtId="3" fontId="16" fillId="25" borderId="65" xfId="0" applyNumberFormat="1" applyFont="1" applyFill="1" applyBorder="1" applyAlignment="1">
      <alignment/>
    </xf>
    <xf numFmtId="4" fontId="16" fillId="25" borderId="31" xfId="0" applyNumberFormat="1" applyFont="1" applyFill="1" applyBorder="1" applyAlignment="1">
      <alignment/>
    </xf>
    <xf numFmtId="4" fontId="16" fillId="25" borderId="19" xfId="0" applyNumberFormat="1" applyFont="1" applyFill="1" applyBorder="1" applyAlignment="1">
      <alignment/>
    </xf>
    <xf numFmtId="4" fontId="15" fillId="25" borderId="40" xfId="0" applyNumberFormat="1" applyFont="1" applyFill="1" applyBorder="1" applyAlignment="1">
      <alignment/>
    </xf>
    <xf numFmtId="4" fontId="15" fillId="25" borderId="18" xfId="0" applyNumberFormat="1" applyFont="1" applyFill="1" applyBorder="1" applyAlignment="1">
      <alignment/>
    </xf>
    <xf numFmtId="4" fontId="16" fillId="25" borderId="43" xfId="0" applyNumberFormat="1" applyFont="1" applyFill="1" applyBorder="1" applyAlignment="1">
      <alignment/>
    </xf>
    <xf numFmtId="4" fontId="16" fillId="25" borderId="3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6" fillId="0" borderId="71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0" fontId="15" fillId="26" borderId="36" xfId="0" applyFont="1" applyFill="1" applyBorder="1" applyAlignment="1">
      <alignment horizontal="left" wrapText="1"/>
    </xf>
    <xf numFmtId="0" fontId="15" fillId="26" borderId="30" xfId="0" applyFont="1" applyFill="1" applyBorder="1" applyAlignment="1">
      <alignment horizontal="center" wrapText="1"/>
    </xf>
    <xf numFmtId="0" fontId="15" fillId="26" borderId="12" xfId="0" applyFont="1" applyFill="1" applyBorder="1" applyAlignment="1">
      <alignment horizontal="center" wrapText="1"/>
    </xf>
    <xf numFmtId="3" fontId="15" fillId="26" borderId="34" xfId="0" applyNumberFormat="1" applyFont="1" applyFill="1" applyBorder="1" applyAlignment="1">
      <alignment/>
    </xf>
    <xf numFmtId="3" fontId="15" fillId="26" borderId="35" xfId="0" applyNumberFormat="1" applyFont="1" applyFill="1" applyBorder="1" applyAlignment="1">
      <alignment/>
    </xf>
    <xf numFmtId="3" fontId="36" fillId="26" borderId="32" xfId="0" applyNumberFormat="1" applyFont="1" applyFill="1" applyBorder="1" applyAlignment="1">
      <alignment/>
    </xf>
    <xf numFmtId="3" fontId="36" fillId="26" borderId="42" xfId="0" applyNumberFormat="1" applyFont="1" applyFill="1" applyBorder="1" applyAlignment="1">
      <alignment/>
    </xf>
    <xf numFmtId="3" fontId="15" fillId="26" borderId="32" xfId="0" applyNumberFormat="1" applyFont="1" applyFill="1" applyBorder="1" applyAlignment="1">
      <alignment/>
    </xf>
    <xf numFmtId="3" fontId="15" fillId="26" borderId="42" xfId="0" applyNumberFormat="1" applyFont="1" applyFill="1" applyBorder="1" applyAlignment="1">
      <alignment/>
    </xf>
    <xf numFmtId="3" fontId="15" fillId="26" borderId="3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6" fillId="26" borderId="57" xfId="0" applyNumberFormat="1" applyFont="1" applyFill="1" applyBorder="1" applyAlignment="1">
      <alignment/>
    </xf>
    <xf numFmtId="3" fontId="16" fillId="26" borderId="59" xfId="0" applyNumberFormat="1" applyFont="1" applyFill="1" applyBorder="1" applyAlignment="1">
      <alignment/>
    </xf>
    <xf numFmtId="3" fontId="15" fillId="26" borderId="52" xfId="0" applyNumberFormat="1" applyFont="1" applyFill="1" applyBorder="1" applyAlignment="1">
      <alignment/>
    </xf>
    <xf numFmtId="3" fontId="36" fillId="26" borderId="34" xfId="0" applyNumberFormat="1" applyFont="1" applyFill="1" applyBorder="1" applyAlignment="1">
      <alignment/>
    </xf>
    <xf numFmtId="3" fontId="36" fillId="26" borderId="33" xfId="0" applyNumberFormat="1" applyFont="1" applyFill="1" applyBorder="1" applyAlignment="1">
      <alignment/>
    </xf>
    <xf numFmtId="3" fontId="36" fillId="26" borderId="51" xfId="0" applyNumberFormat="1" applyFont="1" applyFill="1" applyBorder="1" applyAlignment="1">
      <alignment/>
    </xf>
    <xf numFmtId="3" fontId="16" fillId="26" borderId="63" xfId="0" applyNumberFormat="1" applyFont="1" applyFill="1" applyBorder="1" applyAlignment="1">
      <alignment/>
    </xf>
    <xf numFmtId="3" fontId="15" fillId="26" borderId="31" xfId="0" applyNumberFormat="1" applyFont="1" applyFill="1" applyBorder="1" applyAlignment="1">
      <alignment/>
    </xf>
    <xf numFmtId="3" fontId="15" fillId="26" borderId="41" xfId="0" applyNumberFormat="1" applyFont="1" applyFill="1" applyBorder="1" applyAlignment="1">
      <alignment/>
    </xf>
    <xf numFmtId="3" fontId="15" fillId="26" borderId="36" xfId="0" applyNumberFormat="1" applyFont="1" applyFill="1" applyBorder="1" applyAlignment="1">
      <alignment/>
    </xf>
    <xf numFmtId="3" fontId="15" fillId="26" borderId="44" xfId="0" applyNumberFormat="1" applyFont="1" applyFill="1" applyBorder="1" applyAlignment="1">
      <alignment/>
    </xf>
    <xf numFmtId="3" fontId="16" fillId="26" borderId="67" xfId="0" applyNumberFormat="1" applyFont="1" applyFill="1" applyBorder="1" applyAlignment="1">
      <alignment/>
    </xf>
    <xf numFmtId="3" fontId="36" fillId="26" borderId="36" xfId="0" applyNumberFormat="1" applyFont="1" applyFill="1" applyBorder="1" applyAlignment="1">
      <alignment/>
    </xf>
    <xf numFmtId="3" fontId="36" fillId="26" borderId="44" xfId="0" applyNumberFormat="1" applyFont="1" applyFill="1" applyBorder="1" applyAlignment="1">
      <alignment/>
    </xf>
    <xf numFmtId="3" fontId="16" fillId="26" borderId="61" xfId="0" applyNumberFormat="1" applyFont="1" applyFill="1" applyBorder="1" applyAlignment="1">
      <alignment/>
    </xf>
    <xf numFmtId="3" fontId="16" fillId="26" borderId="57" xfId="0" applyNumberFormat="1" applyFont="1" applyFill="1" applyBorder="1" applyAlignment="1">
      <alignment/>
    </xf>
    <xf numFmtId="3" fontId="16" fillId="26" borderId="59" xfId="0" applyNumberFormat="1" applyFont="1" applyFill="1" applyBorder="1" applyAlignment="1">
      <alignment/>
    </xf>
    <xf numFmtId="3" fontId="16" fillId="26" borderId="65" xfId="0" applyNumberFormat="1" applyFont="1" applyFill="1" applyBorder="1" applyAlignment="1">
      <alignment/>
    </xf>
    <xf numFmtId="4" fontId="16" fillId="26" borderId="31" xfId="0" applyNumberFormat="1" applyFont="1" applyFill="1" applyBorder="1" applyAlignment="1">
      <alignment/>
    </xf>
    <xf numFmtId="4" fontId="16" fillId="26" borderId="19" xfId="0" applyNumberFormat="1" applyFont="1" applyFill="1" applyBorder="1" applyAlignment="1">
      <alignment/>
    </xf>
    <xf numFmtId="4" fontId="15" fillId="26" borderId="40" xfId="0" applyNumberFormat="1" applyFont="1" applyFill="1" applyBorder="1" applyAlignment="1">
      <alignment/>
    </xf>
    <xf numFmtId="4" fontId="15" fillId="26" borderId="18" xfId="0" applyNumberFormat="1" applyFont="1" applyFill="1" applyBorder="1" applyAlignment="1">
      <alignment/>
    </xf>
    <xf numFmtId="4" fontId="16" fillId="26" borderId="43" xfId="0" applyNumberFormat="1" applyFont="1" applyFill="1" applyBorder="1" applyAlignment="1">
      <alignment/>
    </xf>
    <xf numFmtId="4" fontId="16" fillId="26" borderId="3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39" fillId="0" borderId="22" xfId="0" applyFont="1" applyFill="1" applyBorder="1" applyAlignment="1">
      <alignment horizontal="left" indent="2"/>
    </xf>
    <xf numFmtId="0" fontId="39" fillId="0" borderId="22" xfId="0" applyFont="1" applyFill="1" applyBorder="1" applyAlignment="1">
      <alignment/>
    </xf>
    <xf numFmtId="0" fontId="39" fillId="0" borderId="22" xfId="0" applyFont="1" applyFill="1" applyBorder="1" applyAlignment="1">
      <alignment horizontal="left" wrapText="1" indent="2"/>
    </xf>
    <xf numFmtId="0" fontId="39" fillId="0" borderId="22" xfId="0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4" fontId="36" fillId="0" borderId="24" xfId="0" applyNumberFormat="1" applyFont="1" applyFill="1" applyBorder="1" applyAlignment="1">
      <alignment/>
    </xf>
    <xf numFmtId="4" fontId="16" fillId="0" borderId="28" xfId="0" applyNumberFormat="1" applyFont="1" applyFill="1" applyBorder="1" applyAlignment="1">
      <alignment/>
    </xf>
    <xf numFmtId="4" fontId="36" fillId="0" borderId="12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16" fillId="6" borderId="13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4" fontId="36" fillId="0" borderId="47" xfId="0" applyNumberFormat="1" applyFont="1" applyFill="1" applyBorder="1" applyAlignment="1">
      <alignment/>
    </xf>
    <xf numFmtId="4" fontId="15" fillId="0" borderId="50" xfId="0" applyNumberFormat="1" applyFont="1" applyFill="1" applyBorder="1" applyAlignment="1">
      <alignment/>
    </xf>
    <xf numFmtId="4" fontId="16" fillId="6" borderId="68" xfId="0" applyNumberFormat="1" applyFont="1" applyFill="1" applyBorder="1" applyAlignment="1">
      <alignment/>
    </xf>
    <xf numFmtId="4" fontId="36" fillId="0" borderId="50" xfId="0" applyNumberFormat="1" applyFont="1" applyFill="1" applyBorder="1" applyAlignment="1">
      <alignment/>
    </xf>
    <xf numFmtId="4" fontId="16" fillId="6" borderId="69" xfId="0" applyNumberFormat="1" applyFont="1" applyFill="1" applyBorder="1" applyAlignment="1">
      <alignment/>
    </xf>
    <xf numFmtId="4" fontId="16" fillId="6" borderId="68" xfId="0" applyNumberFormat="1" applyFont="1" applyFill="1" applyBorder="1" applyAlignment="1">
      <alignment/>
    </xf>
    <xf numFmtId="4" fontId="16" fillId="6" borderId="70" xfId="0" applyNumberFormat="1" applyFont="1" applyFill="1" applyBorder="1" applyAlignment="1">
      <alignment/>
    </xf>
    <xf numFmtId="4" fontId="16" fillId="6" borderId="28" xfId="0" applyNumberFormat="1" applyFont="1" applyFill="1" applyBorder="1" applyAlignment="1">
      <alignment/>
    </xf>
    <xf numFmtId="4" fontId="16" fillId="6" borderId="13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/>
    </xf>
    <xf numFmtId="4" fontId="15" fillId="25" borderId="10" xfId="0" applyNumberFormat="1" applyFont="1" applyFill="1" applyBorder="1" applyAlignment="1">
      <alignment/>
    </xf>
    <xf numFmtId="4" fontId="36" fillId="25" borderId="11" xfId="0" applyNumberFormat="1" applyFont="1" applyFill="1" applyBorder="1" applyAlignment="1">
      <alignment/>
    </xf>
    <xf numFmtId="4" fontId="15" fillId="25" borderId="11" xfId="0" applyNumberFormat="1" applyFont="1" applyFill="1" applyBorder="1" applyAlignment="1">
      <alignment/>
    </xf>
    <xf numFmtId="4" fontId="15" fillId="25" borderId="24" xfId="0" applyNumberFormat="1" applyFont="1" applyFill="1" applyBorder="1" applyAlignment="1">
      <alignment/>
    </xf>
    <xf numFmtId="4" fontId="16" fillId="25" borderId="13" xfId="0" applyNumberFormat="1" applyFont="1" applyFill="1" applyBorder="1" applyAlignment="1">
      <alignment/>
    </xf>
    <xf numFmtId="4" fontId="36" fillId="25" borderId="24" xfId="0" applyNumberFormat="1" applyFont="1" applyFill="1" applyBorder="1" applyAlignment="1">
      <alignment/>
    </xf>
    <xf numFmtId="4" fontId="15" fillId="25" borderId="20" xfId="0" applyNumberFormat="1" applyFont="1" applyFill="1" applyBorder="1" applyAlignment="1">
      <alignment/>
    </xf>
    <xf numFmtId="4" fontId="15" fillId="25" borderId="12" xfId="0" applyNumberFormat="1" applyFont="1" applyFill="1" applyBorder="1" applyAlignment="1">
      <alignment/>
    </xf>
    <xf numFmtId="4" fontId="36" fillId="25" borderId="12" xfId="0" applyNumberFormat="1" applyFont="1" applyFill="1" applyBorder="1" applyAlignment="1">
      <alignment/>
    </xf>
    <xf numFmtId="4" fontId="16" fillId="25" borderId="28" xfId="0" applyNumberFormat="1" applyFont="1" applyFill="1" applyBorder="1" applyAlignment="1">
      <alignment/>
    </xf>
    <xf numFmtId="4" fontId="16" fillId="25" borderId="13" xfId="0" applyNumberFormat="1" applyFont="1" applyFill="1" applyBorder="1" applyAlignment="1">
      <alignment/>
    </xf>
    <xf numFmtId="4" fontId="16" fillId="25" borderId="14" xfId="0" applyNumberFormat="1" applyFont="1" applyFill="1" applyBorder="1" applyAlignment="1">
      <alignment/>
    </xf>
    <xf numFmtId="4" fontId="15" fillId="26" borderId="10" xfId="0" applyNumberFormat="1" applyFont="1" applyFill="1" applyBorder="1" applyAlignment="1">
      <alignment/>
    </xf>
    <xf numFmtId="4" fontId="36" fillId="26" borderId="11" xfId="0" applyNumberFormat="1" applyFont="1" applyFill="1" applyBorder="1" applyAlignment="1">
      <alignment/>
    </xf>
    <xf numFmtId="4" fontId="15" fillId="26" borderId="11" xfId="0" applyNumberFormat="1" applyFont="1" applyFill="1" applyBorder="1" applyAlignment="1">
      <alignment/>
    </xf>
    <xf numFmtId="4" fontId="15" fillId="26" borderId="24" xfId="0" applyNumberFormat="1" applyFont="1" applyFill="1" applyBorder="1" applyAlignment="1">
      <alignment/>
    </xf>
    <xf numFmtId="4" fontId="16" fillId="26" borderId="13" xfId="0" applyNumberFormat="1" applyFont="1" applyFill="1" applyBorder="1" applyAlignment="1">
      <alignment/>
    </xf>
    <xf numFmtId="4" fontId="36" fillId="26" borderId="24" xfId="0" applyNumberFormat="1" applyFont="1" applyFill="1" applyBorder="1" applyAlignment="1">
      <alignment/>
    </xf>
    <xf numFmtId="4" fontId="15" fillId="26" borderId="20" xfId="0" applyNumberFormat="1" applyFont="1" applyFill="1" applyBorder="1" applyAlignment="1">
      <alignment/>
    </xf>
    <xf numFmtId="4" fontId="15" fillId="26" borderId="12" xfId="0" applyNumberFormat="1" applyFont="1" applyFill="1" applyBorder="1" applyAlignment="1">
      <alignment/>
    </xf>
    <xf numFmtId="4" fontId="36" fillId="26" borderId="12" xfId="0" applyNumberFormat="1" applyFont="1" applyFill="1" applyBorder="1" applyAlignment="1">
      <alignment/>
    </xf>
    <xf numFmtId="4" fontId="16" fillId="26" borderId="28" xfId="0" applyNumberFormat="1" applyFont="1" applyFill="1" applyBorder="1" applyAlignment="1">
      <alignment/>
    </xf>
    <xf numFmtId="4" fontId="16" fillId="26" borderId="13" xfId="0" applyNumberFormat="1" applyFont="1" applyFill="1" applyBorder="1" applyAlignment="1">
      <alignment/>
    </xf>
    <xf numFmtId="4" fontId="16" fillId="26" borderId="14" xfId="0" applyNumberFormat="1" applyFont="1" applyFill="1" applyBorder="1" applyAlignment="1">
      <alignment/>
    </xf>
    <xf numFmtId="4" fontId="14" fillId="6" borderId="10" xfId="0" applyNumberFormat="1" applyFont="1" applyFill="1" applyBorder="1" applyAlignment="1">
      <alignment/>
    </xf>
    <xf numFmtId="4" fontId="14" fillId="6" borderId="11" xfId="0" applyNumberFormat="1" applyFont="1" applyFill="1" applyBorder="1" applyAlignment="1">
      <alignment/>
    </xf>
    <xf numFmtId="4" fontId="14" fillId="6" borderId="24" xfId="0" applyNumberFormat="1" applyFont="1" applyFill="1" applyBorder="1" applyAlignment="1">
      <alignment/>
    </xf>
    <xf numFmtId="4" fontId="14" fillId="6" borderId="13" xfId="0" applyNumberFormat="1" applyFont="1" applyFill="1" applyBorder="1" applyAlignment="1">
      <alignment/>
    </xf>
    <xf numFmtId="4" fontId="14" fillId="6" borderId="20" xfId="0" applyNumberFormat="1" applyFont="1" applyFill="1" applyBorder="1" applyAlignment="1">
      <alignment/>
    </xf>
    <xf numFmtId="4" fontId="14" fillId="6" borderId="12" xfId="0" applyNumberFormat="1" applyFont="1" applyFill="1" applyBorder="1" applyAlignment="1">
      <alignment/>
    </xf>
    <xf numFmtId="4" fontId="15" fillId="6" borderId="10" xfId="0" applyNumberFormat="1" applyFont="1" applyFill="1" applyBorder="1" applyAlignment="1">
      <alignment/>
    </xf>
    <xf numFmtId="4" fontId="15" fillId="6" borderId="11" xfId="0" applyNumberFormat="1" applyFont="1" applyFill="1" applyBorder="1" applyAlignment="1">
      <alignment/>
    </xf>
    <xf numFmtId="4" fontId="36" fillId="6" borderId="11" xfId="0" applyNumberFormat="1" applyFont="1" applyFill="1" applyBorder="1" applyAlignment="1">
      <alignment/>
    </xf>
    <xf numFmtId="4" fontId="15" fillId="6" borderId="12" xfId="0" applyNumberFormat="1" applyFont="1" applyFill="1" applyBorder="1" applyAlignment="1">
      <alignment/>
    </xf>
    <xf numFmtId="4" fontId="36" fillId="6" borderId="12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6" fillId="6" borderId="28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/>
    </xf>
    <xf numFmtId="4" fontId="36" fillId="6" borderId="47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4" fontId="36" fillId="0" borderId="49" xfId="0" applyNumberFormat="1" applyFont="1" applyFill="1" applyBorder="1" applyAlignment="1">
      <alignment/>
    </xf>
    <xf numFmtId="4" fontId="36" fillId="0" borderId="48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top"/>
    </xf>
    <xf numFmtId="4" fontId="4" fillId="24" borderId="0" xfId="0" applyNumberFormat="1" applyFont="1" applyFill="1" applyAlignment="1">
      <alignment horizontal="right" vertical="top"/>
    </xf>
    <xf numFmtId="0" fontId="4" fillId="24" borderId="0" xfId="0" applyFont="1" applyFill="1" applyAlignment="1">
      <alignment/>
    </xf>
    <xf numFmtId="0" fontId="4" fillId="0" borderId="0" xfId="95" applyFont="1" applyFill="1" applyBorder="1">
      <alignment/>
      <protection/>
    </xf>
    <xf numFmtId="0" fontId="4" fillId="0" borderId="0" xfId="95" applyFont="1" applyFill="1" applyBorder="1" applyAlignment="1">
      <alignment horizontal="left"/>
      <protection/>
    </xf>
    <xf numFmtId="0" fontId="5" fillId="0" borderId="63" xfId="95" applyFont="1" applyFill="1" applyBorder="1" applyAlignment="1">
      <alignment horizontal="left" vertical="top" wrapText="1"/>
      <protection/>
    </xf>
    <xf numFmtId="3" fontId="3" fillId="0" borderId="28" xfId="95" applyNumberFormat="1" applyFont="1" applyFill="1" applyBorder="1" applyAlignment="1">
      <alignment horizontal="right" wrapText="1"/>
      <protection/>
    </xf>
    <xf numFmtId="0" fontId="4" fillId="0" borderId="0" xfId="95" applyFont="1" applyFill="1" applyBorder="1" applyAlignment="1">
      <alignment vertical="top" wrapText="1"/>
      <protection/>
    </xf>
    <xf numFmtId="0" fontId="4" fillId="0" borderId="31" xfId="95" applyFont="1" applyFill="1" applyBorder="1" applyAlignment="1">
      <alignment horizontal="left" vertical="center" wrapText="1"/>
      <protection/>
    </xf>
    <xf numFmtId="3" fontId="4" fillId="0" borderId="19" xfId="95" applyNumberFormat="1" applyFont="1" applyFill="1" applyBorder="1" applyAlignment="1">
      <alignment horizontal="right" vertical="center" wrapText="1"/>
      <protection/>
    </xf>
    <xf numFmtId="3" fontId="4" fillId="0" borderId="19" xfId="95" applyNumberFormat="1" applyFont="1" applyFill="1" applyBorder="1" applyAlignment="1">
      <alignment vertical="center"/>
      <protection/>
    </xf>
    <xf numFmtId="3" fontId="5" fillId="0" borderId="20" xfId="95" applyNumberFormat="1" applyFont="1" applyFill="1" applyBorder="1" applyAlignment="1">
      <alignment vertical="center"/>
      <protection/>
    </xf>
    <xf numFmtId="0" fontId="4" fillId="0" borderId="32" xfId="95" applyFont="1" applyFill="1" applyBorder="1" applyAlignment="1">
      <alignment horizontal="left" vertical="center" wrapText="1"/>
      <protection/>
    </xf>
    <xf numFmtId="3" fontId="4" fillId="0" borderId="18" xfId="95" applyNumberFormat="1" applyFont="1" applyFill="1" applyBorder="1" applyAlignment="1">
      <alignment horizontal="right" vertical="center" wrapText="1"/>
      <protection/>
    </xf>
    <xf numFmtId="3" fontId="4" fillId="0" borderId="18" xfId="95" applyNumberFormat="1" applyFont="1" applyFill="1" applyBorder="1" applyAlignment="1">
      <alignment vertical="center"/>
      <protection/>
    </xf>
    <xf numFmtId="3" fontId="5" fillId="0" borderId="11" xfId="95" applyNumberFormat="1" applyFont="1" applyFill="1" applyBorder="1" applyAlignment="1">
      <alignment vertical="center"/>
      <protection/>
    </xf>
    <xf numFmtId="0" fontId="5" fillId="0" borderId="32" xfId="95" applyFont="1" applyFill="1" applyBorder="1" applyAlignment="1">
      <alignment horizontal="left" vertical="center" wrapText="1"/>
      <protection/>
    </xf>
    <xf numFmtId="3" fontId="5" fillId="0" borderId="18" xfId="95" applyNumberFormat="1" applyFont="1" applyFill="1" applyBorder="1" applyAlignment="1">
      <alignment horizontal="right" vertical="center" wrapText="1"/>
      <protection/>
    </xf>
    <xf numFmtId="3" fontId="6" fillId="0" borderId="18" xfId="95" applyNumberFormat="1" applyFont="1" applyFill="1" applyBorder="1" applyAlignment="1">
      <alignment horizontal="right" vertical="center"/>
      <protection/>
    </xf>
    <xf numFmtId="3" fontId="6" fillId="0" borderId="18" xfId="95" applyNumberFormat="1" applyFont="1" applyFill="1" applyBorder="1" applyAlignment="1">
      <alignment vertical="center"/>
      <protection/>
    </xf>
    <xf numFmtId="3" fontId="5" fillId="0" borderId="18" xfId="95" applyNumberFormat="1" applyFont="1" applyFill="1" applyBorder="1" applyAlignment="1">
      <alignment vertical="center"/>
      <protection/>
    </xf>
    <xf numFmtId="0" fontId="5" fillId="0" borderId="0" xfId="95" applyFont="1" applyFill="1" applyBorder="1">
      <alignment/>
      <protection/>
    </xf>
    <xf numFmtId="0" fontId="5" fillId="0" borderId="36" xfId="95" applyFont="1" applyFill="1" applyBorder="1" applyAlignment="1">
      <alignment horizontal="left" vertical="center" wrapText="1"/>
      <protection/>
    </xf>
    <xf numFmtId="3" fontId="5" fillId="0" borderId="30" xfId="95" applyNumberFormat="1" applyFont="1" applyFill="1" applyBorder="1" applyAlignment="1">
      <alignment horizontal="right" vertical="center" wrapText="1"/>
      <protection/>
    </xf>
    <xf numFmtId="3" fontId="5" fillId="0" borderId="12" xfId="95" applyNumberFormat="1" applyFont="1" applyFill="1" applyBorder="1" applyAlignment="1">
      <alignment vertical="center"/>
      <protection/>
    </xf>
    <xf numFmtId="0" fontId="3" fillId="0" borderId="0" xfId="101" applyFont="1" applyFill="1" applyBorder="1" applyAlignment="1">
      <alignment/>
      <protection/>
    </xf>
    <xf numFmtId="0" fontId="4" fillId="0" borderId="0" xfId="95" applyFont="1">
      <alignment/>
      <protection/>
    </xf>
    <xf numFmtId="0" fontId="3" fillId="0" borderId="0" xfId="95" applyFont="1" applyAlignment="1">
      <alignment wrapText="1"/>
      <protection/>
    </xf>
    <xf numFmtId="3" fontId="4" fillId="0" borderId="0" xfId="95" applyNumberFormat="1" applyFont="1" applyFill="1" applyAlignment="1">
      <alignment horizontal="right"/>
      <protection/>
    </xf>
    <xf numFmtId="0" fontId="3" fillId="0" borderId="0" xfId="95" applyFont="1" applyAlignment="1">
      <alignment vertical="top" wrapText="1"/>
      <protection/>
    </xf>
    <xf numFmtId="0" fontId="3" fillId="0" borderId="0" xfId="95" applyFont="1" applyFill="1" applyAlignment="1">
      <alignment wrapText="1"/>
      <protection/>
    </xf>
    <xf numFmtId="0" fontId="4" fillId="0" borderId="0" xfId="95" applyFont="1" applyFill="1">
      <alignment/>
      <protection/>
    </xf>
    <xf numFmtId="0" fontId="3" fillId="20" borderId="26" xfId="95" applyFont="1" applyFill="1" applyBorder="1" applyAlignment="1">
      <alignment wrapText="1"/>
      <protection/>
    </xf>
    <xf numFmtId="3" fontId="3" fillId="20" borderId="26" xfId="95" applyNumberFormat="1" applyFont="1" applyFill="1" applyBorder="1" applyAlignment="1">
      <alignment horizontal="right"/>
      <protection/>
    </xf>
    <xf numFmtId="3" fontId="4" fillId="0" borderId="0" xfId="95" applyNumberFormat="1" applyFont="1" applyFill="1">
      <alignment/>
      <protection/>
    </xf>
    <xf numFmtId="0" fontId="4" fillId="0" borderId="54" xfId="95" applyFont="1" applyFill="1" applyBorder="1" applyAlignment="1">
      <alignment horizontal="left" wrapText="1" indent="3"/>
      <protection/>
    </xf>
    <xf numFmtId="3" fontId="4" fillId="0" borderId="54" xfId="95" applyNumberFormat="1" applyFont="1" applyFill="1" applyBorder="1">
      <alignment/>
      <protection/>
    </xf>
    <xf numFmtId="3" fontId="4" fillId="0" borderId="54" xfId="95" applyNumberFormat="1" applyFont="1" applyFill="1" applyBorder="1" applyAlignment="1">
      <alignment horizontal="right"/>
      <protection/>
    </xf>
    <xf numFmtId="0" fontId="4" fillId="0" borderId="54" xfId="95" applyFont="1" applyFill="1" applyBorder="1">
      <alignment/>
      <protection/>
    </xf>
    <xf numFmtId="0" fontId="4" fillId="0" borderId="0" xfId="95" applyFont="1" applyFill="1" applyAlignment="1">
      <alignment horizontal="left" indent="3"/>
      <protection/>
    </xf>
    <xf numFmtId="3" fontId="4" fillId="0" borderId="54" xfId="95" applyNumberFormat="1" applyFont="1" applyFill="1" applyBorder="1" applyAlignment="1">
      <alignment horizontal="left" indent="3"/>
      <protection/>
    </xf>
    <xf numFmtId="0" fontId="4" fillId="0" borderId="54" xfId="95" applyFont="1" applyFill="1" applyBorder="1" applyAlignment="1">
      <alignment horizontal="right"/>
      <protection/>
    </xf>
    <xf numFmtId="0" fontId="5" fillId="0" borderId="0" xfId="95" applyFont="1" applyFill="1">
      <alignment/>
      <protection/>
    </xf>
    <xf numFmtId="0" fontId="5" fillId="0" borderId="18" xfId="95" applyFont="1" applyBorder="1" applyAlignment="1">
      <alignment wrapText="1"/>
      <protection/>
    </xf>
    <xf numFmtId="3" fontId="5" fillId="0" borderId="18" xfId="95" applyNumberFormat="1" applyFont="1" applyFill="1" applyBorder="1">
      <alignment/>
      <protection/>
    </xf>
    <xf numFmtId="3" fontId="5" fillId="0" borderId="0" xfId="95" applyNumberFormat="1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95" applyFont="1" applyAlignment="1">
      <alignment horizontal="left" wrapText="1"/>
      <protection/>
    </xf>
    <xf numFmtId="3" fontId="3" fillId="0" borderId="0" xfId="95" applyNumberFormat="1" applyFont="1" applyFill="1">
      <alignment/>
      <protection/>
    </xf>
    <xf numFmtId="0" fontId="4" fillId="0" borderId="54" xfId="95" applyFont="1" applyBorder="1" applyAlignment="1">
      <alignment horizontal="left" wrapText="1" indent="3"/>
      <protection/>
    </xf>
    <xf numFmtId="0" fontId="4" fillId="0" borderId="35" xfId="95" applyFont="1" applyFill="1" applyBorder="1" applyAlignment="1">
      <alignment horizontal="left" wrapText="1" indent="3"/>
      <protection/>
    </xf>
    <xf numFmtId="0" fontId="43" fillId="0" borderId="0" xfId="95" applyFont="1" applyFill="1" applyAlignment="1">
      <alignment horizontal="right"/>
      <protection/>
    </xf>
    <xf numFmtId="0" fontId="5" fillId="0" borderId="0" xfId="95" applyFont="1" applyAlignment="1">
      <alignment/>
      <protection/>
    </xf>
    <xf numFmtId="0" fontId="6" fillId="0" borderId="0" xfId="95" applyFont="1" applyAlignment="1">
      <alignment horizontal="left" wrapText="1"/>
      <protection/>
    </xf>
    <xf numFmtId="3" fontId="6" fillId="0" borderId="0" xfId="95" applyNumberFormat="1" applyFont="1" applyFill="1">
      <alignment/>
      <protection/>
    </xf>
    <xf numFmtId="0" fontId="4" fillId="0" borderId="54" xfId="0" applyFont="1" applyBorder="1" applyAlignment="1">
      <alignment horizontal="left" wrapText="1" indent="3"/>
    </xf>
    <xf numFmtId="0" fontId="4" fillId="0" borderId="54" xfId="0" applyFont="1" applyBorder="1" applyAlignment="1">
      <alignment horizontal="left" vertical="top" wrapText="1" indent="3"/>
    </xf>
    <xf numFmtId="0" fontId="3" fillId="20" borderId="18" xfId="95" applyFont="1" applyFill="1" applyBorder="1" applyAlignment="1">
      <alignment wrapText="1"/>
      <protection/>
    </xf>
    <xf numFmtId="3" fontId="3" fillId="20" borderId="18" xfId="95" applyNumberFormat="1" applyFont="1" applyFill="1" applyBorder="1" applyAlignment="1">
      <alignment/>
      <protection/>
    </xf>
    <xf numFmtId="3" fontId="3" fillId="20" borderId="18" xfId="95" applyNumberFormat="1" applyFont="1" applyFill="1" applyBorder="1">
      <alignment/>
      <protection/>
    </xf>
    <xf numFmtId="0" fontId="5" fillId="0" borderId="18" xfId="95" applyFont="1" applyBorder="1" applyAlignment="1">
      <alignment horizontal="justify" wrapText="1"/>
      <protection/>
    </xf>
    <xf numFmtId="3" fontId="5" fillId="0" borderId="18" xfId="95" applyNumberFormat="1" applyFont="1" applyFill="1" applyBorder="1" applyAlignment="1">
      <alignment horizontal="right"/>
      <protection/>
    </xf>
    <xf numFmtId="0" fontId="4" fillId="0" borderId="0" xfId="95" applyFont="1" applyAlignment="1">
      <alignment horizontal="justify" wrapText="1"/>
      <protection/>
    </xf>
    <xf numFmtId="0" fontId="4" fillId="0" borderId="0" xfId="95" applyFont="1" applyAlignment="1">
      <alignment wrapText="1"/>
      <protection/>
    </xf>
    <xf numFmtId="0" fontId="4" fillId="0" borderId="0" xfId="95" applyFont="1" applyFill="1" applyAlignment="1">
      <alignment/>
      <protection/>
    </xf>
    <xf numFmtId="0" fontId="4" fillId="0" borderId="0" xfId="95" applyFont="1" applyFill="1" applyAlignment="1">
      <alignment horizontal="left"/>
      <protection/>
    </xf>
    <xf numFmtId="0" fontId="45" fillId="0" borderId="0" xfId="95" applyFont="1" applyFill="1" applyAlignment="1">
      <alignment horizontal="center"/>
      <protection/>
    </xf>
    <xf numFmtId="0" fontId="3" fillId="0" borderId="57" xfId="95" applyFont="1" applyFill="1" applyBorder="1">
      <alignment/>
      <protection/>
    </xf>
    <xf numFmtId="0" fontId="3" fillId="0" borderId="58" xfId="95" applyFont="1" applyFill="1" applyBorder="1">
      <alignment/>
      <protection/>
    </xf>
    <xf numFmtId="0" fontId="4" fillId="0" borderId="35" xfId="97" applyFont="1" applyFill="1" applyBorder="1" applyAlignment="1">
      <alignment vertical="center"/>
      <protection/>
    </xf>
    <xf numFmtId="0" fontId="4" fillId="0" borderId="0" xfId="95" applyFont="1" applyFill="1" applyAlignment="1">
      <alignment vertical="center"/>
      <protection/>
    </xf>
    <xf numFmtId="0" fontId="4" fillId="0" borderId="32" xfId="97" applyFont="1" applyFill="1" applyBorder="1" applyAlignment="1">
      <alignment vertical="center"/>
      <protection/>
    </xf>
    <xf numFmtId="0" fontId="5" fillId="0" borderId="18" xfId="97" applyFont="1" applyFill="1" applyBorder="1" applyAlignment="1">
      <alignment horizontal="left" vertical="center" wrapText="1"/>
      <protection/>
    </xf>
    <xf numFmtId="3" fontId="5" fillId="0" borderId="18" xfId="97" applyNumberFormat="1" applyFont="1" applyFill="1" applyBorder="1" applyAlignment="1">
      <alignment horizontal="right" vertical="center" wrapText="1"/>
      <protection/>
    </xf>
    <xf numFmtId="0" fontId="4" fillId="0" borderId="18" xfId="97" applyFont="1" applyFill="1" applyBorder="1" applyAlignment="1">
      <alignment horizontal="left" vertical="center" wrapText="1"/>
      <protection/>
    </xf>
    <xf numFmtId="3" fontId="4" fillId="0" borderId="18" xfId="97" applyNumberFormat="1" applyFont="1" applyFill="1" applyBorder="1" applyAlignment="1">
      <alignment horizontal="right" vertical="center" wrapText="1"/>
      <protection/>
    </xf>
    <xf numFmtId="0" fontId="6" fillId="0" borderId="0" xfId="95" applyFont="1" applyFill="1" applyAlignment="1">
      <alignment vertical="center"/>
      <protection/>
    </xf>
    <xf numFmtId="0" fontId="3" fillId="0" borderId="0" xfId="95" applyFont="1" applyFill="1" applyAlignment="1">
      <alignment vertical="center"/>
      <protection/>
    </xf>
    <xf numFmtId="3" fontId="5" fillId="0" borderId="26" xfId="97" applyNumberFormat="1" applyFont="1" applyFill="1" applyBorder="1" applyAlignment="1">
      <alignment horizontal="right" vertical="center" wrapText="1"/>
      <protection/>
    </xf>
    <xf numFmtId="3" fontId="4" fillId="0" borderId="19" xfId="97" applyNumberFormat="1" applyFont="1" applyFill="1" applyBorder="1" applyAlignment="1">
      <alignment vertical="center"/>
      <protection/>
    </xf>
    <xf numFmtId="3" fontId="5" fillId="0" borderId="30" xfId="97" applyNumberFormat="1" applyFont="1" applyFill="1" applyBorder="1" applyAlignment="1">
      <alignment horizontal="right" vertical="center" wrapText="1"/>
      <protection/>
    </xf>
    <xf numFmtId="0" fontId="3" fillId="0" borderId="0" xfId="95" applyFont="1" applyFill="1" applyAlignment="1">
      <alignment/>
      <protection/>
    </xf>
    <xf numFmtId="0" fontId="3" fillId="0" borderId="0" xfId="95" applyFont="1" applyFill="1" applyAlignment="1">
      <alignment horizontal="right"/>
      <protection/>
    </xf>
    <xf numFmtId="0" fontId="3" fillId="0" borderId="0" xfId="95" applyFont="1" applyFill="1" applyAlignment="1">
      <alignment horizontal="right" vertical="top"/>
      <protection/>
    </xf>
    <xf numFmtId="0" fontId="5" fillId="0" borderId="0" xfId="95" applyFont="1" applyFill="1" applyAlignment="1">
      <alignment horizontal="center"/>
      <protection/>
    </xf>
    <xf numFmtId="0" fontId="16" fillId="0" borderId="0" xfId="95" applyFont="1" applyFill="1" applyAlignment="1">
      <alignment horizontal="center" wrapText="1"/>
      <protection/>
    </xf>
    <xf numFmtId="3" fontId="5" fillId="0" borderId="0" xfId="95" applyNumberFormat="1" applyFont="1" applyFill="1" applyAlignment="1">
      <alignment horizontal="center"/>
      <protection/>
    </xf>
    <xf numFmtId="0" fontId="6" fillId="0" borderId="0" xfId="95" applyFont="1" applyFill="1">
      <alignment/>
      <protection/>
    </xf>
    <xf numFmtId="0" fontId="4" fillId="0" borderId="0" xfId="95" applyFont="1" applyFill="1" applyAlignment="1">
      <alignment wrapText="1"/>
      <protection/>
    </xf>
    <xf numFmtId="3" fontId="4" fillId="0" borderId="54" xfId="95" applyNumberFormat="1" applyFont="1" applyFill="1" applyBorder="1" applyAlignment="1">
      <alignment/>
      <protection/>
    </xf>
    <xf numFmtId="0" fontId="6" fillId="0" borderId="54" xfId="95" applyFont="1" applyFill="1" applyBorder="1" applyAlignment="1">
      <alignment horizontal="left" wrapText="1" indent="3"/>
      <protection/>
    </xf>
    <xf numFmtId="0" fontId="5" fillId="0" borderId="72" xfId="95" applyFont="1" applyBorder="1" applyAlignment="1">
      <alignment wrapText="1"/>
      <protection/>
    </xf>
    <xf numFmtId="3" fontId="5" fillId="0" borderId="72" xfId="95" applyNumberFormat="1" applyFont="1" applyFill="1" applyBorder="1">
      <alignment/>
      <protection/>
    </xf>
    <xf numFmtId="0" fontId="5" fillId="0" borderId="73" xfId="95" applyFont="1" applyBorder="1" applyAlignment="1">
      <alignment wrapText="1"/>
      <protection/>
    </xf>
    <xf numFmtId="3" fontId="5" fillId="0" borderId="73" xfId="95" applyNumberFormat="1" applyFont="1" applyFill="1" applyBorder="1">
      <alignment/>
      <protection/>
    </xf>
    <xf numFmtId="0" fontId="5" fillId="0" borderId="72" xfId="95" applyFont="1" applyFill="1" applyBorder="1">
      <alignment/>
      <protection/>
    </xf>
    <xf numFmtId="0" fontId="5" fillId="0" borderId="0" xfId="95" applyFont="1" applyBorder="1" applyAlignment="1">
      <alignment wrapText="1"/>
      <protection/>
    </xf>
    <xf numFmtId="3" fontId="5" fillId="0" borderId="0" xfId="95" applyNumberFormat="1" applyFont="1" applyFill="1" applyBorder="1">
      <alignment/>
      <protection/>
    </xf>
    <xf numFmtId="0" fontId="5" fillId="0" borderId="0" xfId="95" applyFont="1" applyBorder="1" applyAlignment="1">
      <alignment horizontal="left" wrapText="1" indent="3"/>
      <protection/>
    </xf>
    <xf numFmtId="3" fontId="5" fillId="0" borderId="0" xfId="95" applyNumberFormat="1" applyFont="1" applyFill="1" applyAlignment="1">
      <alignment horizontal="right"/>
      <protection/>
    </xf>
    <xf numFmtId="3" fontId="5" fillId="0" borderId="0" xfId="95" applyNumberFormat="1" applyFont="1">
      <alignment/>
      <protection/>
    </xf>
    <xf numFmtId="0" fontId="3" fillId="0" borderId="0" xfId="101" applyFont="1" applyFill="1" applyBorder="1" applyAlignment="1">
      <alignment horizontal="left"/>
      <protection/>
    </xf>
    <xf numFmtId="0" fontId="3" fillId="0" borderId="0" xfId="101" applyFont="1" applyFill="1" applyBorder="1">
      <alignment/>
      <protection/>
    </xf>
    <xf numFmtId="3" fontId="4" fillId="0" borderId="0" xfId="96" applyNumberFormat="1" applyFont="1" applyFill="1" applyAlignment="1">
      <alignment vertical="top"/>
      <protection/>
    </xf>
    <xf numFmtId="0" fontId="4" fillId="0" borderId="0" xfId="96" applyFont="1" applyFill="1" applyAlignment="1">
      <alignment vertical="top"/>
      <protection/>
    </xf>
    <xf numFmtId="0" fontId="4" fillId="0" borderId="0" xfId="96" applyFont="1" applyFill="1">
      <alignment/>
      <protection/>
    </xf>
    <xf numFmtId="0" fontId="3" fillId="0" borderId="0" xfId="96" applyFont="1" applyFill="1">
      <alignment/>
      <protection/>
    </xf>
    <xf numFmtId="3" fontId="17" fillId="0" borderId="0" xfId="96" applyNumberFormat="1" applyFont="1" applyFill="1" applyAlignment="1">
      <alignment horizontal="center" wrapText="1"/>
      <protection/>
    </xf>
    <xf numFmtId="0" fontId="5" fillId="0" borderId="0" xfId="96" applyFont="1" applyFill="1" applyAlignment="1">
      <alignment/>
      <protection/>
    </xf>
    <xf numFmtId="0" fontId="5" fillId="0" borderId="0" xfId="96" applyFont="1" applyFill="1">
      <alignment/>
      <protection/>
    </xf>
    <xf numFmtId="0" fontId="6" fillId="0" borderId="0" xfId="96" applyFont="1" applyFill="1">
      <alignment/>
      <protection/>
    </xf>
    <xf numFmtId="0" fontId="7" fillId="20" borderId="0" xfId="96" applyFont="1" applyFill="1" applyBorder="1" applyAlignment="1">
      <alignment horizontal="left"/>
      <protection/>
    </xf>
    <xf numFmtId="3" fontId="4" fillId="20" borderId="0" xfId="96" applyNumberFormat="1" applyFont="1" applyFill="1" applyBorder="1">
      <alignment/>
      <protection/>
    </xf>
    <xf numFmtId="4" fontId="4" fillId="20" borderId="0" xfId="96" applyNumberFormat="1" applyFont="1" applyFill="1" applyBorder="1">
      <alignment/>
      <protection/>
    </xf>
    <xf numFmtId="0" fontId="6" fillId="0" borderId="0" xfId="96" applyFont="1" applyFill="1" applyBorder="1" applyAlignment="1">
      <alignment horizontal="left" wrapText="1" indent="3"/>
      <protection/>
    </xf>
    <xf numFmtId="3" fontId="4" fillId="0" borderId="0" xfId="96" applyNumberFormat="1" applyFont="1" applyFill="1">
      <alignment/>
      <protection/>
    </xf>
    <xf numFmtId="4" fontId="4" fillId="0" borderId="0" xfId="96" applyNumberFormat="1" applyFont="1" applyFill="1">
      <alignment/>
      <protection/>
    </xf>
    <xf numFmtId="0" fontId="6" fillId="0" borderId="0" xfId="96" applyFont="1" applyFill="1" applyBorder="1" applyAlignment="1">
      <alignment horizontal="left" indent="3"/>
      <protection/>
    </xf>
    <xf numFmtId="0" fontId="4" fillId="0" borderId="0" xfId="96" applyFont="1" applyFill="1" applyBorder="1" applyAlignment="1">
      <alignment horizontal="left" wrapText="1" indent="3"/>
      <protection/>
    </xf>
    <xf numFmtId="0" fontId="4" fillId="0" borderId="0" xfId="96" applyFont="1" applyFill="1" applyBorder="1" applyAlignment="1">
      <alignment horizontal="left" indent="3"/>
      <protection/>
    </xf>
    <xf numFmtId="0" fontId="5" fillId="20" borderId="0" xfId="96" applyFont="1" applyFill="1" applyBorder="1" applyAlignment="1">
      <alignment wrapText="1"/>
      <protection/>
    </xf>
    <xf numFmtId="3" fontId="4" fillId="20" borderId="0" xfId="96" applyNumberFormat="1" applyFont="1" applyFill="1">
      <alignment/>
      <protection/>
    </xf>
    <xf numFmtId="4" fontId="4" fillId="20" borderId="0" xfId="96" applyNumberFormat="1" applyFont="1" applyFill="1">
      <alignment/>
      <protection/>
    </xf>
    <xf numFmtId="0" fontId="40" fillId="0" borderId="0" xfId="96" applyFont="1" applyFill="1" applyBorder="1" applyAlignment="1">
      <alignment wrapText="1"/>
      <protection/>
    </xf>
    <xf numFmtId="2" fontId="6" fillId="0" borderId="0" xfId="96" applyNumberFormat="1" applyFont="1" applyFill="1" applyBorder="1" applyAlignment="1">
      <alignment horizontal="left" wrapText="1" indent="3"/>
      <protection/>
    </xf>
    <xf numFmtId="0" fontId="13" fillId="0" borderId="0" xfId="96" applyFont="1" applyFill="1">
      <alignment/>
      <protection/>
    </xf>
    <xf numFmtId="0" fontId="13" fillId="23" borderId="0" xfId="96" applyFont="1" applyFill="1" applyBorder="1" applyAlignment="1">
      <alignment wrapText="1"/>
      <protection/>
    </xf>
    <xf numFmtId="3" fontId="13" fillId="23" borderId="0" xfId="96" applyNumberFormat="1" applyFont="1" applyFill="1">
      <alignment/>
      <protection/>
    </xf>
    <xf numFmtId="4" fontId="13" fillId="23" borderId="0" xfId="96" applyNumberFormat="1" applyFont="1" applyFill="1">
      <alignment/>
      <protection/>
    </xf>
    <xf numFmtId="0" fontId="5" fillId="0" borderId="0" xfId="96" applyFont="1" applyFill="1" applyBorder="1" applyAlignment="1">
      <alignment horizontal="left" wrapText="1"/>
      <protection/>
    </xf>
    <xf numFmtId="0" fontId="13" fillId="0" borderId="0" xfId="96" applyFont="1" applyFill="1" applyBorder="1" applyAlignment="1">
      <alignment wrapText="1"/>
      <protection/>
    </xf>
    <xf numFmtId="3" fontId="13" fillId="0" borderId="0" xfId="96" applyNumberFormat="1" applyFont="1" applyFill="1" applyBorder="1" applyAlignment="1">
      <alignment wrapText="1"/>
      <protection/>
    </xf>
    <xf numFmtId="2" fontId="13" fillId="0" borderId="0" xfId="96" applyNumberFormat="1" applyFont="1" applyFill="1" applyBorder="1" applyAlignment="1">
      <alignment wrapText="1"/>
      <protection/>
    </xf>
    <xf numFmtId="0" fontId="35" fillId="0" borderId="0" xfId="96" applyFont="1" applyFill="1">
      <alignment/>
      <protection/>
    </xf>
    <xf numFmtId="2" fontId="4" fillId="20" borderId="0" xfId="96" applyNumberFormat="1" applyFont="1" applyFill="1" applyBorder="1">
      <alignment/>
      <protection/>
    </xf>
    <xf numFmtId="2" fontId="4" fillId="0" borderId="0" xfId="96" applyNumberFormat="1" applyFont="1" applyFill="1">
      <alignment/>
      <protection/>
    </xf>
    <xf numFmtId="0" fontId="12" fillId="4" borderId="0" xfId="96" applyFont="1" applyFill="1">
      <alignment/>
      <protection/>
    </xf>
    <xf numFmtId="0" fontId="12" fillId="4" borderId="0" xfId="96" applyFont="1" applyFill="1" applyAlignment="1">
      <alignment wrapText="1"/>
      <protection/>
    </xf>
    <xf numFmtId="3" fontId="12" fillId="4" borderId="0" xfId="96" applyNumberFormat="1" applyFont="1" applyFill="1">
      <alignment/>
      <protection/>
    </xf>
    <xf numFmtId="2" fontId="12" fillId="4" borderId="0" xfId="96" applyNumberFormat="1" applyFont="1" applyFill="1">
      <alignment/>
      <protection/>
    </xf>
    <xf numFmtId="0" fontId="12" fillId="0" borderId="0" xfId="96" applyFont="1" applyFill="1">
      <alignment/>
      <protection/>
    </xf>
    <xf numFmtId="4" fontId="13" fillId="0" borderId="0" xfId="96" applyNumberFormat="1" applyFont="1" applyFill="1" applyBorder="1" applyAlignment="1">
      <alignment wrapText="1"/>
      <protection/>
    </xf>
    <xf numFmtId="4" fontId="12" fillId="4" borderId="0" xfId="96" applyNumberFormat="1" applyFont="1" applyFill="1">
      <alignment/>
      <protection/>
    </xf>
    <xf numFmtId="3" fontId="12" fillId="0" borderId="0" xfId="96" applyNumberFormat="1" applyFont="1" applyFill="1">
      <alignment/>
      <protection/>
    </xf>
    <xf numFmtId="3" fontId="12" fillId="0" borderId="0" xfId="96" applyNumberFormat="1" applyFont="1" applyFill="1" applyBorder="1" applyAlignment="1">
      <alignment wrapText="1"/>
      <protection/>
    </xf>
    <xf numFmtId="4" fontId="12" fillId="0" borderId="0" xfId="96" applyNumberFormat="1" applyFont="1" applyFill="1" applyBorder="1" applyAlignment="1">
      <alignment wrapText="1"/>
      <protection/>
    </xf>
    <xf numFmtId="0" fontId="8" fillId="0" borderId="0" xfId="96" applyFont="1" applyFill="1">
      <alignment/>
      <protection/>
    </xf>
    <xf numFmtId="0" fontId="7" fillId="0" borderId="0" xfId="96" applyFont="1" applyFill="1" applyAlignment="1">
      <alignment horizontal="right"/>
      <protection/>
    </xf>
    <xf numFmtId="3" fontId="5" fillId="0" borderId="0" xfId="96" applyNumberFormat="1" applyFont="1" applyFill="1">
      <alignment/>
      <protection/>
    </xf>
    <xf numFmtId="0" fontId="8" fillId="0" borderId="0" xfId="96" applyFont="1" applyFill="1" applyAlignment="1">
      <alignment horizontal="right"/>
      <protection/>
    </xf>
    <xf numFmtId="0" fontId="15" fillId="27" borderId="36" xfId="0" applyFont="1" applyFill="1" applyBorder="1" applyAlignment="1">
      <alignment horizontal="center" wrapText="1"/>
    </xf>
    <xf numFmtId="0" fontId="15" fillId="27" borderId="30" xfId="0" applyFont="1" applyFill="1" applyBorder="1" applyAlignment="1">
      <alignment horizontal="center" wrapText="1"/>
    </xf>
    <xf numFmtId="0" fontId="15" fillId="27" borderId="12" xfId="0" applyFont="1" applyFill="1" applyBorder="1" applyAlignment="1">
      <alignment horizontal="center" wrapText="1"/>
    </xf>
    <xf numFmtId="0" fontId="4" fillId="27" borderId="36" xfId="0" applyFont="1" applyFill="1" applyBorder="1" applyAlignment="1">
      <alignment wrapText="1"/>
    </xf>
    <xf numFmtId="0" fontId="15" fillId="27" borderId="36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4" fillId="24" borderId="0" xfId="0" applyNumberFormat="1" applyFont="1" applyFill="1" applyAlignment="1">
      <alignment vertical="top"/>
    </xf>
    <xf numFmtId="2" fontId="4" fillId="24" borderId="0" xfId="0" applyNumberFormat="1" applyFont="1" applyFill="1" applyAlignment="1">
      <alignment vertical="top"/>
    </xf>
    <xf numFmtId="2" fontId="4" fillId="24" borderId="0" xfId="0" applyNumberFormat="1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vertical="top"/>
    </xf>
    <xf numFmtId="3" fontId="4" fillId="28" borderId="0" xfId="0" applyNumberFormat="1" applyFont="1" applyFill="1" applyAlignment="1">
      <alignment horizontal="right" vertical="top"/>
    </xf>
    <xf numFmtId="2" fontId="4" fillId="28" borderId="0" xfId="0" applyNumberFormat="1" applyFont="1" applyFill="1" applyAlignment="1">
      <alignment horizontal="right" vertical="top"/>
    </xf>
    <xf numFmtId="4" fontId="4" fillId="24" borderId="0" xfId="0" applyNumberFormat="1" applyFont="1" applyFill="1" applyAlignment="1">
      <alignment vertical="top"/>
    </xf>
    <xf numFmtId="3" fontId="4" fillId="28" borderId="0" xfId="0" applyNumberFormat="1" applyFont="1" applyFill="1" applyAlignment="1">
      <alignment vertical="top"/>
    </xf>
    <xf numFmtId="4" fontId="4" fillId="28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28" borderId="0" xfId="0" applyFont="1" applyFill="1" applyAlignment="1">
      <alignment vertical="top"/>
    </xf>
    <xf numFmtId="4" fontId="4" fillId="28" borderId="0" xfId="0" applyNumberFormat="1" applyFont="1" applyFill="1" applyAlignment="1">
      <alignment horizontal="right" vertical="top"/>
    </xf>
    <xf numFmtId="0" fontId="49" fillId="24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0" fontId="5" fillId="4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/>
    </xf>
    <xf numFmtId="1" fontId="4" fillId="24" borderId="0" xfId="99" applyNumberFormat="1" applyFont="1" applyFill="1" applyAlignment="1">
      <alignment horizontal="left" vertical="top"/>
      <protection/>
    </xf>
    <xf numFmtId="0" fontId="4" fillId="24" borderId="0" xfId="99" applyFont="1" applyFill="1" applyBorder="1" applyAlignment="1">
      <alignment vertical="top" wrapText="1"/>
      <protection/>
    </xf>
    <xf numFmtId="3" fontId="4" fillId="24" borderId="0" xfId="99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 vertical="top"/>
    </xf>
    <xf numFmtId="0" fontId="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vertical="top"/>
    </xf>
    <xf numFmtId="3" fontId="4" fillId="24" borderId="0" xfId="0" applyNumberFormat="1" applyFont="1" applyFill="1" applyBorder="1" applyAlignment="1">
      <alignment vertical="top"/>
    </xf>
    <xf numFmtId="0" fontId="4" fillId="28" borderId="0" xfId="99" applyFont="1" applyFill="1" applyAlignment="1">
      <alignment horizontal="left" vertical="top"/>
      <protection/>
    </xf>
    <xf numFmtId="0" fontId="4" fillId="28" borderId="0" xfId="99" applyFont="1" applyFill="1" applyBorder="1" applyAlignment="1">
      <alignment vertical="top" wrapText="1"/>
      <protection/>
    </xf>
    <xf numFmtId="3" fontId="4" fillId="28" borderId="0" xfId="99" applyNumberFormat="1" applyFont="1" applyFill="1" applyBorder="1" applyAlignment="1">
      <alignment horizontal="right" vertical="top"/>
      <protection/>
    </xf>
    <xf numFmtId="2" fontId="4" fillId="28" borderId="0" xfId="0" applyNumberFormat="1" applyFont="1" applyFill="1" applyAlignment="1">
      <alignment vertical="top"/>
    </xf>
    <xf numFmtId="0" fontId="4" fillId="28" borderId="0" xfId="99" applyFont="1" applyFill="1" applyBorder="1" applyAlignment="1">
      <alignment horizontal="center" vertical="top"/>
      <protection/>
    </xf>
    <xf numFmtId="0" fontId="4" fillId="29" borderId="0" xfId="99" applyFont="1" applyFill="1" applyAlignment="1">
      <alignment horizontal="left" vertical="top"/>
      <protection/>
    </xf>
    <xf numFmtId="0" fontId="35" fillId="29" borderId="0" xfId="0" applyFont="1" applyFill="1" applyAlignment="1">
      <alignment/>
    </xf>
    <xf numFmtId="3" fontId="4" fillId="29" borderId="0" xfId="0" applyNumberFormat="1" applyFont="1" applyFill="1" applyAlignment="1">
      <alignment vertical="top"/>
    </xf>
    <xf numFmtId="2" fontId="4" fillId="29" borderId="0" xfId="0" applyNumberFormat="1" applyFont="1" applyFill="1" applyAlignment="1">
      <alignment vertical="top"/>
    </xf>
    <xf numFmtId="0" fontId="4" fillId="24" borderId="0" xfId="99" applyFont="1" applyFill="1" applyAlignment="1">
      <alignment horizontal="left" vertical="top"/>
      <protection/>
    </xf>
    <xf numFmtId="0" fontId="4" fillId="0" borderId="0" xfId="99" applyFont="1" applyFill="1" applyAlignment="1">
      <alignment horizontal="left" vertical="top"/>
      <protection/>
    </xf>
    <xf numFmtId="2" fontId="5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3" fontId="4" fillId="29" borderId="0" xfId="0" applyNumberFormat="1" applyFont="1" applyFill="1" applyBorder="1" applyAlignment="1">
      <alignment vertical="top"/>
    </xf>
    <xf numFmtId="0" fontId="35" fillId="24" borderId="0" xfId="0" applyFont="1" applyFill="1" applyAlignment="1">
      <alignment/>
    </xf>
    <xf numFmtId="0" fontId="4" fillId="9" borderId="0" xfId="0" applyFont="1" applyFill="1" applyAlignment="1">
      <alignment horizontal="left" vertical="top"/>
    </xf>
    <xf numFmtId="0" fontId="5" fillId="28" borderId="0" xfId="0" applyNumberFormat="1" applyFont="1" applyFill="1" applyAlignment="1">
      <alignment vertical="top"/>
    </xf>
    <xf numFmtId="2" fontId="5" fillId="28" borderId="0" xfId="0" applyNumberFormat="1" applyFont="1" applyFill="1" applyAlignment="1">
      <alignment vertical="top"/>
    </xf>
    <xf numFmtId="0" fontId="4" fillId="24" borderId="0" xfId="0" applyFont="1" applyFill="1" applyAlignment="1">
      <alignment horizontal="left" vertical="top"/>
    </xf>
    <xf numFmtId="3" fontId="5" fillId="24" borderId="0" xfId="0" applyNumberFormat="1" applyFont="1" applyFill="1" applyAlignment="1">
      <alignment vertical="top"/>
    </xf>
    <xf numFmtId="2" fontId="5" fillId="24" borderId="0" xfId="0" applyNumberFormat="1" applyFont="1" applyFill="1" applyAlignment="1">
      <alignment vertical="top"/>
    </xf>
    <xf numFmtId="3" fontId="4" fillId="28" borderId="0" xfId="0" applyNumberFormat="1" applyFont="1" applyFill="1" applyBorder="1" applyAlignment="1">
      <alignment horizontal="right" vertical="top"/>
    </xf>
    <xf numFmtId="2" fontId="4" fillId="28" borderId="0" xfId="0" applyNumberFormat="1" applyFont="1" applyFill="1" applyBorder="1" applyAlignment="1">
      <alignment horizontal="right" vertical="top"/>
    </xf>
    <xf numFmtId="0" fontId="4" fillId="9" borderId="0" xfId="99" applyFont="1" applyFill="1" applyAlignment="1">
      <alignment horizontal="left" vertical="top"/>
      <protection/>
    </xf>
    <xf numFmtId="0" fontId="4" fillId="9" borderId="0" xfId="99" applyFont="1" applyFill="1" applyBorder="1" applyAlignment="1">
      <alignment vertical="top"/>
      <protection/>
    </xf>
    <xf numFmtId="3" fontId="4" fillId="9" borderId="0" xfId="99" applyNumberFormat="1" applyFont="1" applyFill="1" applyBorder="1" applyAlignment="1">
      <alignment horizontal="right" vertical="top"/>
      <protection/>
    </xf>
    <xf numFmtId="2" fontId="6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24" borderId="0" xfId="0" applyFont="1" applyFill="1" applyAlignment="1">
      <alignment vertical="top"/>
    </xf>
    <xf numFmtId="2" fontId="5" fillId="9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4" fontId="16" fillId="30" borderId="31" xfId="0" applyNumberFormat="1" applyFont="1" applyFill="1" applyBorder="1" applyAlignment="1">
      <alignment/>
    </xf>
    <xf numFmtId="4" fontId="15" fillId="30" borderId="18" xfId="0" applyNumberFormat="1" applyFont="1" applyFill="1" applyBorder="1" applyAlignment="1">
      <alignment/>
    </xf>
    <xf numFmtId="4" fontId="16" fillId="30" borderId="30" xfId="0" applyNumberFormat="1" applyFont="1" applyFill="1" applyBorder="1" applyAlignment="1">
      <alignment/>
    </xf>
    <xf numFmtId="0" fontId="3" fillId="30" borderId="62" xfId="95" applyFont="1" applyFill="1" applyBorder="1" applyAlignment="1">
      <alignment horizontal="right" wrapText="1"/>
      <protection/>
    </xf>
    <xf numFmtId="0" fontId="3" fillId="30" borderId="62" xfId="95" applyFont="1" applyFill="1" applyBorder="1" applyAlignment="1">
      <alignment wrapText="1"/>
      <protection/>
    </xf>
    <xf numFmtId="49" fontId="3" fillId="30" borderId="62" xfId="95" applyNumberFormat="1" applyFont="1" applyFill="1" applyBorder="1" applyAlignment="1">
      <alignment horizontal="right" wrapText="1"/>
      <protection/>
    </xf>
    <xf numFmtId="0" fontId="15" fillId="30" borderId="36" xfId="0" applyFont="1" applyFill="1" applyBorder="1" applyAlignment="1">
      <alignment horizontal="left" wrapText="1"/>
    </xf>
    <xf numFmtId="0" fontId="15" fillId="30" borderId="30" xfId="0" applyFont="1" applyFill="1" applyBorder="1" applyAlignment="1">
      <alignment horizontal="center" wrapText="1"/>
    </xf>
    <xf numFmtId="0" fontId="15" fillId="30" borderId="1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3" fillId="30" borderId="58" xfId="95" applyFont="1" applyFill="1" applyBorder="1" applyAlignment="1">
      <alignment horizontal="right" wrapText="1"/>
      <protection/>
    </xf>
    <xf numFmtId="0" fontId="3" fillId="30" borderId="58" xfId="95" applyFont="1" applyFill="1" applyBorder="1" applyAlignment="1">
      <alignment wrapText="1"/>
      <protection/>
    </xf>
    <xf numFmtId="0" fontId="3" fillId="30" borderId="13" xfId="95" applyFont="1" applyFill="1" applyBorder="1" applyAlignment="1">
      <alignment horizontal="right" wrapText="1"/>
      <protection/>
    </xf>
    <xf numFmtId="0" fontId="5" fillId="27" borderId="18" xfId="95" applyFont="1" applyFill="1" applyBorder="1" applyAlignment="1">
      <alignment horizontal="left"/>
      <protection/>
    </xf>
    <xf numFmtId="3" fontId="3" fillId="27" borderId="18" xfId="95" applyNumberFormat="1" applyFont="1" applyFill="1" applyBorder="1" applyAlignment="1">
      <alignment horizontal="right" wrapText="1"/>
      <protection/>
    </xf>
    <xf numFmtId="0" fontId="3" fillId="27" borderId="18" xfId="95" applyFont="1" applyFill="1" applyBorder="1" applyAlignment="1">
      <alignment wrapText="1"/>
      <protection/>
    </xf>
    <xf numFmtId="0" fontId="3" fillId="27" borderId="18" xfId="95" applyFont="1" applyFill="1" applyBorder="1" applyAlignment="1">
      <alignment horizontal="justify" wrapText="1"/>
      <protection/>
    </xf>
    <xf numFmtId="0" fontId="5" fillId="27" borderId="18" xfId="95" applyFont="1" applyFill="1" applyBorder="1" applyAlignment="1">
      <alignment horizontal="left" wrapText="1"/>
      <protection/>
    </xf>
    <xf numFmtId="0" fontId="3" fillId="30" borderId="0" xfId="95" applyFont="1" applyFill="1" applyAlignment="1">
      <alignment wrapText="1"/>
      <protection/>
    </xf>
    <xf numFmtId="3" fontId="3" fillId="30" borderId="0" xfId="95" applyNumberFormat="1" applyFont="1" applyFill="1" applyAlignment="1">
      <alignment horizontal="right"/>
      <protection/>
    </xf>
    <xf numFmtId="0" fontId="3" fillId="30" borderId="73" xfId="95" applyFont="1" applyFill="1" applyBorder="1" applyAlignment="1">
      <alignment wrapText="1"/>
      <protection/>
    </xf>
    <xf numFmtId="3" fontId="3" fillId="30" borderId="73" xfId="95" applyNumberFormat="1" applyFont="1" applyFill="1" applyBorder="1" applyAlignment="1">
      <alignment horizontal="right"/>
      <protection/>
    </xf>
    <xf numFmtId="0" fontId="5" fillId="0" borderId="73" xfId="95" applyFont="1" applyBorder="1" applyAlignment="1">
      <alignment horizontal="left" wrapText="1" indent="3"/>
      <protection/>
    </xf>
    <xf numFmtId="3" fontId="4" fillId="0" borderId="73" xfId="95" applyNumberFormat="1" applyFont="1" applyFill="1" applyBorder="1" applyAlignment="1">
      <alignment horizontal="right"/>
      <protection/>
    </xf>
    <xf numFmtId="3" fontId="5" fillId="0" borderId="73" xfId="95" applyNumberFormat="1" applyFont="1" applyBorder="1">
      <alignment/>
      <protection/>
    </xf>
    <xf numFmtId="0" fontId="3" fillId="30" borderId="0" xfId="95" applyFont="1" applyFill="1" applyBorder="1" applyAlignment="1">
      <alignment wrapText="1"/>
      <protection/>
    </xf>
    <xf numFmtId="3" fontId="3" fillId="30" borderId="0" xfId="95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74" xfId="0" applyFont="1" applyFill="1" applyBorder="1" applyAlignment="1">
      <alignment horizontal="center"/>
    </xf>
    <xf numFmtId="0" fontId="12" fillId="0" borderId="0" xfId="96" applyFont="1" applyFill="1" applyAlignment="1">
      <alignment horizontal="center"/>
      <protection/>
    </xf>
    <xf numFmtId="0" fontId="5" fillId="0" borderId="0" xfId="96" applyFont="1" applyFill="1" applyBorder="1" applyAlignment="1">
      <alignment horizontal="left" wrapText="1"/>
      <protection/>
    </xf>
    <xf numFmtId="0" fontId="10" fillId="0" borderId="60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6" fillId="30" borderId="31" xfId="0" applyFont="1" applyFill="1" applyBorder="1" applyAlignment="1">
      <alignment horizontal="center" wrapText="1"/>
    </xf>
    <xf numFmtId="0" fontId="16" fillId="30" borderId="19" xfId="0" applyFont="1" applyFill="1" applyBorder="1" applyAlignment="1">
      <alignment horizontal="center" wrapText="1"/>
    </xf>
    <xf numFmtId="0" fontId="16" fillId="30" borderId="75" xfId="0" applyFont="1" applyFill="1" applyBorder="1" applyAlignment="1">
      <alignment horizontal="center" wrapText="1"/>
    </xf>
    <xf numFmtId="0" fontId="16" fillId="30" borderId="20" xfId="0" applyFont="1" applyFill="1" applyBorder="1" applyAlignment="1">
      <alignment horizontal="center" wrapText="1"/>
    </xf>
    <xf numFmtId="0" fontId="16" fillId="30" borderId="31" xfId="0" applyFont="1" applyFill="1" applyBorder="1" applyAlignment="1">
      <alignment horizontal="center" wrapText="1"/>
    </xf>
    <xf numFmtId="0" fontId="16" fillId="30" borderId="19" xfId="0" applyFont="1" applyFill="1" applyBorder="1" applyAlignment="1">
      <alignment horizontal="center" wrapText="1"/>
    </xf>
    <xf numFmtId="0" fontId="16" fillId="30" borderId="75" xfId="0" applyFont="1" applyFill="1" applyBorder="1" applyAlignment="1">
      <alignment horizontal="center" wrapText="1"/>
    </xf>
    <xf numFmtId="0" fontId="16" fillId="30" borderId="20" xfId="0" applyFont="1" applyFill="1" applyBorder="1" applyAlignment="1">
      <alignment horizontal="center" wrapText="1"/>
    </xf>
    <xf numFmtId="0" fontId="5" fillId="30" borderId="31" xfId="0" applyFont="1" applyFill="1" applyBorder="1" applyAlignment="1">
      <alignment horizontal="center" wrapText="1"/>
    </xf>
    <xf numFmtId="0" fontId="5" fillId="30" borderId="19" xfId="0" applyFont="1" applyFill="1" applyBorder="1" applyAlignment="1">
      <alignment horizontal="center" wrapText="1"/>
    </xf>
    <xf numFmtId="0" fontId="5" fillId="30" borderId="75" xfId="0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center" wrapText="1"/>
    </xf>
    <xf numFmtId="0" fontId="16" fillId="25" borderId="31" xfId="0" applyFont="1" applyFill="1" applyBorder="1" applyAlignment="1">
      <alignment horizontal="center" wrapText="1"/>
    </xf>
    <xf numFmtId="0" fontId="16" fillId="25" borderId="19" xfId="0" applyFont="1" applyFill="1" applyBorder="1" applyAlignment="1">
      <alignment horizontal="center" wrapText="1"/>
    </xf>
    <xf numFmtId="0" fontId="16" fillId="25" borderId="75" xfId="0" applyFont="1" applyFill="1" applyBorder="1" applyAlignment="1">
      <alignment horizontal="center" wrapText="1"/>
    </xf>
    <xf numFmtId="0" fontId="16" fillId="25" borderId="20" xfId="0" applyFont="1" applyFill="1" applyBorder="1" applyAlignment="1">
      <alignment horizontal="center" wrapText="1"/>
    </xf>
    <xf numFmtId="0" fontId="16" fillId="25" borderId="37" xfId="0" applyFont="1" applyFill="1" applyBorder="1" applyAlignment="1">
      <alignment horizontal="center" wrapText="1"/>
    </xf>
    <xf numFmtId="0" fontId="16" fillId="25" borderId="76" xfId="0" applyFont="1" applyFill="1" applyBorder="1" applyAlignment="1">
      <alignment horizontal="center" wrapText="1"/>
    </xf>
    <xf numFmtId="0" fontId="16" fillId="25" borderId="46" xfId="0" applyFont="1" applyFill="1" applyBorder="1" applyAlignment="1">
      <alignment horizontal="center" wrapText="1"/>
    </xf>
    <xf numFmtId="0" fontId="16" fillId="26" borderId="31" xfId="0" applyFont="1" applyFill="1" applyBorder="1" applyAlignment="1">
      <alignment horizontal="center" wrapText="1"/>
    </xf>
    <xf numFmtId="0" fontId="16" fillId="26" borderId="19" xfId="0" applyFont="1" applyFill="1" applyBorder="1" applyAlignment="1">
      <alignment horizontal="center" wrapText="1"/>
    </xf>
    <xf numFmtId="0" fontId="16" fillId="26" borderId="75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14" fillId="6" borderId="31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wrapText="1"/>
    </xf>
    <xf numFmtId="0" fontId="14" fillId="6" borderId="75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6" fillId="6" borderId="31" xfId="0" applyFont="1" applyFill="1" applyBorder="1" applyAlignment="1">
      <alignment horizontal="center" wrapText="1"/>
    </xf>
    <xf numFmtId="0" fontId="16" fillId="6" borderId="19" xfId="0" applyFont="1" applyFill="1" applyBorder="1" applyAlignment="1">
      <alignment horizontal="center" wrapText="1"/>
    </xf>
    <xf numFmtId="0" fontId="16" fillId="6" borderId="75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75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75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75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101" applyFont="1" applyFill="1" applyBorder="1" applyAlignment="1">
      <alignment horizontal="left"/>
      <protection/>
    </xf>
    <xf numFmtId="0" fontId="42" fillId="0" borderId="0" xfId="95" applyFont="1" applyFill="1" applyBorder="1" applyAlignment="1">
      <alignment horizontal="center"/>
      <protection/>
    </xf>
    <xf numFmtId="0" fontId="3" fillId="0" borderId="74" xfId="95" applyFont="1" applyFill="1" applyBorder="1" applyAlignment="1">
      <alignment horizontal="center"/>
      <protection/>
    </xf>
    <xf numFmtId="0" fontId="3" fillId="0" borderId="0" xfId="95" applyFont="1" applyAlignment="1">
      <alignment horizontal="center"/>
      <protection/>
    </xf>
    <xf numFmtId="0" fontId="3" fillId="0" borderId="72" xfId="95" applyFont="1" applyFill="1" applyBorder="1" applyAlignment="1">
      <alignment horizontal="left"/>
      <protection/>
    </xf>
    <xf numFmtId="0" fontId="3" fillId="0" borderId="0" xfId="95" applyFont="1" applyFill="1" applyAlignment="1">
      <alignment horizontal="left"/>
      <protection/>
    </xf>
    <xf numFmtId="0" fontId="44" fillId="0" borderId="0" xfId="95" applyFont="1" applyFill="1" applyAlignment="1">
      <alignment horizontal="center"/>
      <protection/>
    </xf>
    <xf numFmtId="0" fontId="45" fillId="0" borderId="0" xfId="95" applyFont="1" applyFill="1" applyAlignment="1">
      <alignment horizontal="center"/>
      <protection/>
    </xf>
    <xf numFmtId="0" fontId="5" fillId="0" borderId="34" xfId="97" applyFont="1" applyFill="1" applyBorder="1" applyAlignment="1">
      <alignment horizontal="left" vertical="center" wrapText="1"/>
      <protection/>
    </xf>
    <xf numFmtId="0" fontId="5" fillId="0" borderId="35" xfId="97" applyFont="1" applyFill="1" applyBorder="1" applyAlignment="1">
      <alignment horizontal="left" vertical="center" wrapText="1"/>
      <protection/>
    </xf>
    <xf numFmtId="0" fontId="5" fillId="0" borderId="45" xfId="97" applyFont="1" applyFill="1" applyBorder="1" applyAlignment="1">
      <alignment horizontal="left" vertical="center" wrapText="1"/>
      <protection/>
    </xf>
    <xf numFmtId="0" fontId="5" fillId="0" borderId="51" xfId="97" applyFont="1" applyFill="1" applyBorder="1" applyAlignment="1">
      <alignment horizontal="left" vertical="center" wrapText="1"/>
      <protection/>
    </xf>
    <xf numFmtId="0" fontId="5" fillId="0" borderId="31" xfId="97" applyFont="1" applyFill="1" applyBorder="1" applyAlignment="1">
      <alignment horizontal="left" vertical="center" wrapText="1"/>
      <protection/>
    </xf>
    <xf numFmtId="0" fontId="5" fillId="0" borderId="19" xfId="97" applyFont="1" applyFill="1" applyBorder="1" applyAlignment="1">
      <alignment horizontal="left" vertical="center" wrapText="1"/>
      <protection/>
    </xf>
    <xf numFmtId="0" fontId="5" fillId="0" borderId="36" xfId="97" applyFont="1" applyFill="1" applyBorder="1" applyAlignment="1">
      <alignment horizontal="left" vertical="center" wrapText="1"/>
      <protection/>
    </xf>
    <xf numFmtId="0" fontId="5" fillId="0" borderId="30" xfId="97" applyFont="1" applyFill="1" applyBorder="1" applyAlignment="1">
      <alignment horizontal="left" vertical="center" wrapText="1"/>
      <protection/>
    </xf>
    <xf numFmtId="0" fontId="5" fillId="0" borderId="0" xfId="95" applyFont="1" applyFill="1" applyAlignment="1">
      <alignment horizontal="center" wrapText="1"/>
      <protection/>
    </xf>
    <xf numFmtId="3" fontId="5" fillId="0" borderId="0" xfId="95" applyNumberFormat="1" applyFont="1" applyFill="1" applyAlignment="1">
      <alignment horizontal="center" wrapText="1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2 2" xfId="93"/>
    <cellStyle name="Normál 3" xfId="94"/>
    <cellStyle name="Normál 3 2" xfId="95"/>
    <cellStyle name="Normál_2013. költségvetés mell 2" xfId="96"/>
    <cellStyle name="Normál_20150413.1" xfId="97"/>
    <cellStyle name="Normal_KTRSZJ" xfId="98"/>
    <cellStyle name="Normál_melléklet összesen_2012. koncepció kiegészítő táblázatok 2" xfId="99"/>
    <cellStyle name="Normál_R_2MELL" xfId="100"/>
    <cellStyle name="Normál_R_2MELL 2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ztaly\Penzugy\2018\2018.I.f&#233;l&#233;vi%20m&#243;dos&#237;t&#225;s\K&#337;szeg%202018.I.f&#233;l&#233;vi\K&#337;szeg%202018.%20I.%20f&#233;l&#233;vi%20m&#243;dos&#237;t&#225;s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 "/>
      <sheetName val="4. melléklet"/>
      <sheetName val="5. melléklet "/>
    </sheetNames>
    <sheetDataSet>
      <sheetData sheetId="4">
        <row r="58">
          <cell r="C58">
            <v>1402086851</v>
          </cell>
          <cell r="D58">
            <v>1515458021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tabSelected="1" zoomScalePageLayoutView="0" workbookViewId="0" topLeftCell="A4">
      <selection activeCell="F17" sqref="F17"/>
    </sheetView>
  </sheetViews>
  <sheetFormatPr defaultColWidth="9.00390625" defaultRowHeight="12.75"/>
  <cols>
    <col min="1" max="1" width="12.00390625" style="7" customWidth="1"/>
    <col min="2" max="2" width="9.75390625" style="7" customWidth="1"/>
    <col min="3" max="3" width="6.00390625" style="6" customWidth="1"/>
    <col min="4" max="4" width="37.125" style="6" customWidth="1"/>
    <col min="5" max="16384" width="9.125" style="6" customWidth="1"/>
  </cols>
  <sheetData>
    <row r="1" ht="18.75" customHeight="1"/>
    <row r="2" spans="1:8" ht="15.75">
      <c r="A2" s="639" t="s">
        <v>30</v>
      </c>
      <c r="B2" s="639"/>
      <c r="C2" s="639"/>
      <c r="D2" s="639"/>
      <c r="E2" s="639"/>
      <c r="F2" s="639"/>
      <c r="G2" s="12"/>
      <c r="H2" s="12"/>
    </row>
    <row r="3" spans="1:6" ht="12.75">
      <c r="A3" s="11"/>
      <c r="B3" s="11"/>
      <c r="C3" s="9"/>
      <c r="D3" s="9"/>
      <c r="E3" s="9"/>
      <c r="F3" s="9"/>
    </row>
    <row r="4" spans="1:6" ht="27.75" customHeight="1">
      <c r="A4" s="11"/>
      <c r="B4" s="11"/>
      <c r="C4" s="9"/>
      <c r="D4" s="9"/>
      <c r="E4" s="9"/>
      <c r="F4" s="9"/>
    </row>
    <row r="5" spans="1:6" ht="12.75">
      <c r="A5" s="13" t="s">
        <v>31</v>
      </c>
      <c r="B5" s="13"/>
      <c r="C5" s="9"/>
      <c r="D5" s="9"/>
      <c r="E5" s="9"/>
      <c r="F5" s="9"/>
    </row>
    <row r="6" spans="1:6" ht="12.75">
      <c r="A6" s="13"/>
      <c r="B6" s="13" t="s">
        <v>32</v>
      </c>
      <c r="C6" s="9"/>
      <c r="D6" s="9"/>
      <c r="E6" s="9"/>
      <c r="F6" s="9"/>
    </row>
    <row r="7" spans="1:6" ht="25.5" customHeight="1">
      <c r="A7" s="13"/>
      <c r="B7" s="13" t="s">
        <v>4</v>
      </c>
      <c r="C7" s="14"/>
      <c r="D7" s="15" t="s">
        <v>56</v>
      </c>
      <c r="E7" s="9"/>
      <c r="F7" s="9"/>
    </row>
    <row r="8" spans="1:6" ht="25.5" customHeight="1">
      <c r="A8" s="13"/>
      <c r="B8" s="13" t="s">
        <v>5</v>
      </c>
      <c r="C8" s="14"/>
      <c r="D8" s="22" t="s">
        <v>33</v>
      </c>
      <c r="E8" s="9"/>
      <c r="F8" s="9"/>
    </row>
    <row r="9" spans="1:6" ht="25.5" customHeight="1">
      <c r="A9" s="13"/>
      <c r="B9" s="13" t="s">
        <v>6</v>
      </c>
      <c r="C9" s="14"/>
      <c r="D9" s="7" t="s">
        <v>67</v>
      </c>
      <c r="E9" s="9"/>
      <c r="F9" s="9"/>
    </row>
    <row r="10" spans="1:6" ht="25.5" customHeight="1">
      <c r="A10" s="13"/>
      <c r="B10" s="13" t="s">
        <v>7</v>
      </c>
      <c r="C10" s="14"/>
      <c r="D10" s="22" t="s">
        <v>39</v>
      </c>
      <c r="E10" s="9"/>
      <c r="F10" s="9"/>
    </row>
    <row r="11" spans="1:6" ht="25.5" customHeight="1">
      <c r="A11" s="13"/>
      <c r="B11" s="13" t="s">
        <v>8</v>
      </c>
      <c r="C11" s="14"/>
      <c r="D11" s="22" t="s">
        <v>137</v>
      </c>
      <c r="E11" s="9"/>
      <c r="F11" s="9"/>
    </row>
    <row r="12" spans="1:6" ht="25.5" customHeight="1">
      <c r="A12" s="13"/>
      <c r="B12" s="13" t="s">
        <v>18</v>
      </c>
      <c r="C12" s="14"/>
      <c r="D12" s="22" t="s">
        <v>161</v>
      </c>
      <c r="E12" s="9"/>
      <c r="F12" s="9"/>
    </row>
    <row r="13" spans="1:6" ht="25.5" customHeight="1">
      <c r="A13" s="13"/>
      <c r="B13" s="13" t="s">
        <v>19</v>
      </c>
      <c r="C13" s="14"/>
      <c r="D13" s="22" t="s">
        <v>162</v>
      </c>
      <c r="E13" s="9"/>
      <c r="F13" s="9"/>
    </row>
    <row r="14" spans="1:6" ht="25.5" customHeight="1">
      <c r="A14" s="13"/>
      <c r="B14" s="13" t="s">
        <v>21</v>
      </c>
      <c r="C14" s="14"/>
      <c r="D14" s="22" t="s">
        <v>34</v>
      </c>
      <c r="E14" s="9"/>
      <c r="F14" s="9"/>
    </row>
    <row r="15" spans="1:6" ht="25.5" customHeight="1">
      <c r="A15" s="13" t="s">
        <v>1</v>
      </c>
      <c r="B15" s="11"/>
      <c r="C15" s="9"/>
      <c r="D15" s="15" t="s">
        <v>35</v>
      </c>
      <c r="E15" s="9"/>
      <c r="F15" s="9"/>
    </row>
    <row r="16" spans="1:6" ht="12.75">
      <c r="A16" s="11"/>
      <c r="B16" s="11"/>
      <c r="C16" s="9"/>
      <c r="D16" s="9"/>
      <c r="E16" s="9"/>
      <c r="F16" s="9"/>
    </row>
    <row r="17" spans="1:6" ht="12.75">
      <c r="A17" s="11"/>
      <c r="B17" s="11"/>
      <c r="C17" s="9"/>
      <c r="D17" s="9"/>
      <c r="E17" s="9"/>
      <c r="F17" s="9"/>
    </row>
    <row r="18" spans="1:6" ht="12.75">
      <c r="A18" s="11"/>
      <c r="B18" s="11"/>
      <c r="C18" s="9"/>
      <c r="D18" s="9"/>
      <c r="E18" s="9"/>
      <c r="F18" s="9"/>
    </row>
    <row r="19" spans="1:6" ht="12.75">
      <c r="A19" s="11"/>
      <c r="B19" s="11"/>
      <c r="C19" s="9"/>
      <c r="D19" s="9"/>
      <c r="E19" s="9"/>
      <c r="F19" s="9"/>
    </row>
    <row r="20" spans="1:6" ht="12.75">
      <c r="A20" s="11"/>
      <c r="B20" s="11"/>
      <c r="C20" s="9"/>
      <c r="D20" s="9"/>
      <c r="E20" s="9"/>
      <c r="F20" s="9"/>
    </row>
    <row r="21" spans="1:6" ht="12.75">
      <c r="A21" s="11"/>
      <c r="B21" s="11"/>
      <c r="C21" s="9"/>
      <c r="D21" s="9"/>
      <c r="E21" s="9"/>
      <c r="F21" s="9"/>
    </row>
    <row r="22" spans="1:6" ht="12.75">
      <c r="A22" s="11"/>
      <c r="B22" s="11"/>
      <c r="C22" s="9"/>
      <c r="D22" s="9"/>
      <c r="E22" s="9"/>
      <c r="F22" s="9"/>
    </row>
    <row r="23" spans="1:6" ht="12.75">
      <c r="A23" s="11"/>
      <c r="B23" s="11"/>
      <c r="C23" s="9"/>
      <c r="D23" s="9"/>
      <c r="E23" s="9"/>
      <c r="F23" s="9"/>
    </row>
    <row r="24" spans="1:6" ht="12.75">
      <c r="A24" s="11"/>
      <c r="B24" s="11"/>
      <c r="C24" s="9"/>
      <c r="D24" s="9"/>
      <c r="E24" s="9"/>
      <c r="F24" s="9"/>
    </row>
    <row r="25" spans="1:6" ht="12.75">
      <c r="A25" s="11"/>
      <c r="B25" s="11"/>
      <c r="C25" s="9"/>
      <c r="D25" s="9"/>
      <c r="E25" s="9"/>
      <c r="F25" s="9"/>
    </row>
    <row r="26" spans="1:6" ht="12.75">
      <c r="A26" s="11"/>
      <c r="B26" s="11"/>
      <c r="C26" s="9"/>
      <c r="D26" s="9"/>
      <c r="E26" s="9"/>
      <c r="F26" s="9"/>
    </row>
    <row r="27" spans="1:6" ht="12.75">
      <c r="A27" s="11"/>
      <c r="B27" s="11"/>
      <c r="C27" s="9"/>
      <c r="D27" s="9"/>
      <c r="E27" s="9"/>
      <c r="F27" s="9"/>
    </row>
    <row r="28" spans="1:6" ht="12.75">
      <c r="A28" s="11"/>
      <c r="B28" s="11"/>
      <c r="C28" s="9"/>
      <c r="D28" s="9"/>
      <c r="E28" s="9"/>
      <c r="F28" s="9"/>
    </row>
    <row r="29" spans="1:6" ht="12.75">
      <c r="A29" s="11"/>
      <c r="B29" s="11"/>
      <c r="C29" s="9"/>
      <c r="D29" s="9"/>
      <c r="E29" s="9"/>
      <c r="F29" s="9"/>
    </row>
    <row r="30" spans="1:6" ht="12.75">
      <c r="A30" s="11"/>
      <c r="B30" s="11"/>
      <c r="C30" s="9"/>
      <c r="D30" s="9"/>
      <c r="E30" s="9"/>
      <c r="F30" s="9"/>
    </row>
    <row r="31" spans="1:6" ht="12.75">
      <c r="A31" s="11"/>
      <c r="B31" s="11"/>
      <c r="C31" s="9"/>
      <c r="D31" s="9"/>
      <c r="E31" s="9"/>
      <c r="F31" s="9"/>
    </row>
    <row r="32" spans="1:6" ht="12.75">
      <c r="A32" s="11"/>
      <c r="B32" s="11"/>
      <c r="C32" s="9"/>
      <c r="D32" s="9"/>
      <c r="E32" s="9"/>
      <c r="F32" s="9"/>
    </row>
    <row r="33" spans="1:6" ht="12.75">
      <c r="A33" s="11"/>
      <c r="B33" s="11"/>
      <c r="C33" s="9"/>
      <c r="D33" s="9"/>
      <c r="E33" s="9"/>
      <c r="F33" s="9"/>
    </row>
    <row r="34" spans="1:6" ht="12.75">
      <c r="A34" s="11"/>
      <c r="B34" s="11"/>
      <c r="C34" s="9"/>
      <c r="D34" s="9"/>
      <c r="E34" s="9"/>
      <c r="F34" s="9"/>
    </row>
    <row r="35" spans="1:6" ht="12.75">
      <c r="A35" s="11"/>
      <c r="B35" s="11"/>
      <c r="C35" s="9"/>
      <c r="D35" s="9"/>
      <c r="E35" s="9"/>
      <c r="F35" s="9"/>
    </row>
    <row r="36" spans="1:6" ht="12.75">
      <c r="A36" s="11"/>
      <c r="B36" s="11"/>
      <c r="C36" s="9"/>
      <c r="D36" s="9"/>
      <c r="E36" s="9"/>
      <c r="F36" s="9"/>
    </row>
    <row r="37" spans="1:6" ht="12.75">
      <c r="A37" s="11"/>
      <c r="B37" s="11"/>
      <c r="C37" s="9"/>
      <c r="D37" s="9"/>
      <c r="E37" s="9"/>
      <c r="F37" s="9"/>
    </row>
    <row r="38" spans="1:6" ht="12.75">
      <c r="A38" s="11"/>
      <c r="B38" s="11"/>
      <c r="C38" s="9"/>
      <c r="D38" s="9"/>
      <c r="E38" s="9"/>
      <c r="F38" s="9"/>
    </row>
    <row r="39" spans="1:6" ht="12.75">
      <c r="A39" s="11"/>
      <c r="B39" s="11"/>
      <c r="C39" s="9"/>
      <c r="D39" s="9"/>
      <c r="E39" s="9"/>
      <c r="F39" s="9"/>
    </row>
    <row r="40" spans="1:6" ht="12.75">
      <c r="A40" s="11"/>
      <c r="B40" s="11"/>
      <c r="C40" s="9"/>
      <c r="D40" s="9"/>
      <c r="E40" s="9"/>
      <c r="F40" s="9"/>
    </row>
    <row r="41" spans="1:6" ht="12.75">
      <c r="A41" s="11"/>
      <c r="B41" s="11"/>
      <c r="C41" s="9"/>
      <c r="D41" s="9"/>
      <c r="E41" s="9"/>
      <c r="F41" s="9"/>
    </row>
    <row r="42" spans="1:6" ht="12.75">
      <c r="A42" s="11"/>
      <c r="B42" s="11"/>
      <c r="C42" s="9"/>
      <c r="D42" s="9"/>
      <c r="E42" s="9"/>
      <c r="F42" s="9"/>
    </row>
    <row r="43" spans="1:6" ht="12.75">
      <c r="A43" s="11"/>
      <c r="B43" s="11"/>
      <c r="C43" s="9"/>
      <c r="D43" s="9"/>
      <c r="E43" s="9"/>
      <c r="F43" s="9"/>
    </row>
    <row r="44" spans="1:6" ht="12.75">
      <c r="A44" s="11"/>
      <c r="B44" s="11"/>
      <c r="C44" s="9"/>
      <c r="D44" s="9"/>
      <c r="E44" s="9"/>
      <c r="F44" s="9"/>
    </row>
    <row r="45" spans="1:6" ht="12.75">
      <c r="A45" s="11"/>
      <c r="B45" s="11"/>
      <c r="C45" s="9"/>
      <c r="D45" s="9"/>
      <c r="E45" s="9"/>
      <c r="F45" s="9"/>
    </row>
    <row r="46" spans="1:6" ht="12.75">
      <c r="A46" s="11"/>
      <c r="B46" s="11"/>
      <c r="C46" s="9"/>
      <c r="D46" s="9"/>
      <c r="E46" s="9"/>
      <c r="F46" s="9"/>
    </row>
    <row r="47" spans="1:6" ht="12.75">
      <c r="A47" s="11"/>
      <c r="B47" s="11"/>
      <c r="C47" s="9"/>
      <c r="D47" s="9"/>
      <c r="E47" s="9"/>
      <c r="F47" s="9"/>
    </row>
    <row r="48" spans="1:6" ht="12.75">
      <c r="A48" s="11"/>
      <c r="B48" s="11"/>
      <c r="C48" s="9"/>
      <c r="D48" s="9"/>
      <c r="E48" s="9"/>
      <c r="F48" s="9"/>
    </row>
    <row r="49" spans="1:6" ht="12.75">
      <c r="A49" s="11"/>
      <c r="B49" s="11"/>
      <c r="C49" s="9"/>
      <c r="D49" s="9"/>
      <c r="E49" s="9"/>
      <c r="F49" s="9"/>
    </row>
    <row r="50" spans="1:6" ht="12.75">
      <c r="A50" s="11"/>
      <c r="B50" s="11"/>
      <c r="C50" s="9"/>
      <c r="D50" s="9"/>
      <c r="E50" s="9"/>
      <c r="F50" s="9"/>
    </row>
    <row r="51" spans="1:6" ht="12.75">
      <c r="A51" s="11"/>
      <c r="B51" s="11"/>
      <c r="C51" s="9"/>
      <c r="D51" s="9"/>
      <c r="E51" s="9"/>
      <c r="F51" s="9"/>
    </row>
    <row r="52" spans="1:6" ht="12.75">
      <c r="A52" s="11"/>
      <c r="B52" s="11"/>
      <c r="C52" s="9"/>
      <c r="D52" s="9"/>
      <c r="E52" s="9"/>
      <c r="F52" s="9"/>
    </row>
    <row r="53" spans="1:6" ht="12.75">
      <c r="A53" s="11"/>
      <c r="B53" s="11"/>
      <c r="C53" s="9"/>
      <c r="D53" s="9"/>
      <c r="E53" s="9"/>
      <c r="F53" s="9"/>
    </row>
    <row r="54" spans="1:6" ht="12.75">
      <c r="A54" s="11"/>
      <c r="B54" s="11"/>
      <c r="C54" s="9"/>
      <c r="D54" s="9"/>
      <c r="E54" s="9"/>
      <c r="F54" s="9"/>
    </row>
    <row r="55" spans="1:6" ht="12.75">
      <c r="A55" s="11"/>
      <c r="B55" s="11"/>
      <c r="C55" s="9"/>
      <c r="D55" s="9"/>
      <c r="E55" s="9"/>
      <c r="F55" s="9"/>
    </row>
    <row r="56" spans="1:6" ht="12.75">
      <c r="A56" s="11"/>
      <c r="B56" s="11"/>
      <c r="C56" s="9"/>
      <c r="D56" s="9"/>
      <c r="E56" s="9"/>
      <c r="F56" s="9"/>
    </row>
    <row r="57" spans="1:6" ht="12.75">
      <c r="A57" s="11"/>
      <c r="B57" s="11"/>
      <c r="C57" s="9"/>
      <c r="D57" s="9"/>
      <c r="E57" s="9"/>
      <c r="F57" s="9"/>
    </row>
    <row r="58" spans="1:6" ht="12.75">
      <c r="A58" s="11"/>
      <c r="B58" s="11"/>
      <c r="C58" s="9"/>
      <c r="D58" s="9"/>
      <c r="E58" s="9"/>
      <c r="F58" s="9"/>
    </row>
    <row r="59" spans="1:6" ht="12.75">
      <c r="A59" s="11"/>
      <c r="B59" s="11"/>
      <c r="C59" s="9"/>
      <c r="D59" s="9"/>
      <c r="E59" s="9"/>
      <c r="F59" s="9"/>
    </row>
    <row r="60" spans="1:6" ht="12.75">
      <c r="A60" s="11"/>
      <c r="B60" s="11"/>
      <c r="C60" s="9"/>
      <c r="D60" s="9"/>
      <c r="E60" s="9"/>
      <c r="F60" s="9"/>
    </row>
    <row r="61" spans="1:6" ht="12.75">
      <c r="A61" s="11"/>
      <c r="B61" s="11"/>
      <c r="C61" s="9"/>
      <c r="D61" s="9"/>
      <c r="E61" s="9"/>
      <c r="F61" s="9"/>
    </row>
    <row r="62" spans="1:6" ht="12.75">
      <c r="A62" s="11"/>
      <c r="B62" s="11"/>
      <c r="C62" s="9"/>
      <c r="D62" s="9"/>
      <c r="E62" s="9"/>
      <c r="F62" s="9"/>
    </row>
    <row r="63" spans="1:6" ht="12.75">
      <c r="A63" s="11"/>
      <c r="B63" s="11"/>
      <c r="C63" s="9"/>
      <c r="D63" s="9"/>
      <c r="E63" s="9"/>
      <c r="F63" s="9"/>
    </row>
    <row r="64" spans="1:6" ht="12.75">
      <c r="A64" s="11"/>
      <c r="B64" s="11"/>
      <c r="C64" s="9"/>
      <c r="D64" s="9"/>
      <c r="E64" s="9"/>
      <c r="F64" s="9"/>
    </row>
    <row r="65" spans="1:6" ht="12.75">
      <c r="A65" s="11"/>
      <c r="B65" s="11"/>
      <c r="C65" s="9"/>
      <c r="D65" s="9"/>
      <c r="E65" s="9"/>
      <c r="F65" s="9"/>
    </row>
    <row r="66" spans="1:6" ht="12.75">
      <c r="A66" s="11"/>
      <c r="B66" s="11"/>
      <c r="C66" s="9"/>
      <c r="D66" s="9"/>
      <c r="E66" s="9"/>
      <c r="F66" s="9"/>
    </row>
    <row r="67" spans="1:6" ht="12.75">
      <c r="A67" s="11"/>
      <c r="B67" s="11"/>
      <c r="C67" s="9"/>
      <c r="D67" s="9"/>
      <c r="E67" s="9"/>
      <c r="F67" s="9"/>
    </row>
    <row r="68" spans="1:6" ht="12.75">
      <c r="A68" s="11"/>
      <c r="B68" s="11"/>
      <c r="C68" s="9"/>
      <c r="D68" s="9"/>
      <c r="E68" s="9"/>
      <c r="F68" s="9"/>
    </row>
    <row r="69" spans="1:6" ht="12.75">
      <c r="A69" s="11"/>
      <c r="B69" s="11"/>
      <c r="C69" s="9"/>
      <c r="D69" s="9"/>
      <c r="E69" s="9"/>
      <c r="F69" s="9"/>
    </row>
    <row r="70" spans="1:6" ht="12.75">
      <c r="A70" s="11"/>
      <c r="B70" s="11"/>
      <c r="C70" s="9"/>
      <c r="D70" s="9"/>
      <c r="E70" s="9"/>
      <c r="F70" s="9"/>
    </row>
    <row r="71" spans="1:6" ht="12.75">
      <c r="A71" s="11"/>
      <c r="B71" s="11"/>
      <c r="C71" s="9"/>
      <c r="D71" s="9"/>
      <c r="E71" s="9"/>
      <c r="F71" s="9"/>
    </row>
    <row r="72" spans="1:6" ht="12.75">
      <c r="A72" s="11"/>
      <c r="B72" s="11"/>
      <c r="C72" s="9"/>
      <c r="D72" s="9"/>
      <c r="E72" s="9"/>
      <c r="F72" s="9"/>
    </row>
    <row r="73" spans="1:6" ht="12.75">
      <c r="A73" s="11"/>
      <c r="B73" s="11"/>
      <c r="C73" s="9"/>
      <c r="D73" s="9"/>
      <c r="E73" s="9"/>
      <c r="F73" s="9"/>
    </row>
    <row r="74" spans="1:6" ht="12.75">
      <c r="A74" s="11"/>
      <c r="B74" s="11"/>
      <c r="C74" s="9"/>
      <c r="D74" s="9"/>
      <c r="E74" s="9"/>
      <c r="F74" s="9"/>
    </row>
    <row r="75" spans="1:6" ht="12.75">
      <c r="A75" s="11"/>
      <c r="B75" s="11"/>
      <c r="C75" s="9"/>
      <c r="D75" s="9"/>
      <c r="E75" s="9"/>
      <c r="F75" s="9"/>
    </row>
    <row r="76" spans="1:6" ht="12.75">
      <c r="A76" s="11"/>
      <c r="B76" s="11"/>
      <c r="C76" s="9"/>
      <c r="D76" s="9"/>
      <c r="E76" s="9"/>
      <c r="F76" s="9"/>
    </row>
  </sheetData>
  <sheetProtection/>
  <mergeCells count="1">
    <mergeCell ref="A2:F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" sqref="B1"/>
    </sheetView>
  </sheetViews>
  <sheetFormatPr defaultColWidth="25.125" defaultRowHeight="12.75"/>
  <cols>
    <col min="1" max="1" width="3.75390625" style="471" customWidth="1"/>
    <col min="2" max="2" width="24.75390625" style="420" customWidth="1"/>
    <col min="3" max="3" width="5.75390625" style="423" customWidth="1"/>
    <col min="4" max="4" width="6.875" style="423" customWidth="1"/>
    <col min="5" max="5" width="8.125" style="423" bestFit="1" customWidth="1"/>
    <col min="6" max="6" width="7.625" style="423" customWidth="1"/>
    <col min="7" max="9" width="8.125" style="423" bestFit="1" customWidth="1"/>
    <col min="10" max="12" width="7.375" style="423" customWidth="1"/>
    <col min="13" max="13" width="9.625" style="423" bestFit="1" customWidth="1"/>
    <col min="14" max="16384" width="25.125" style="420" customWidth="1"/>
  </cols>
  <sheetData>
    <row r="1" spans="1:7" ht="13.5">
      <c r="A1" s="470"/>
      <c r="B1" s="414" t="s">
        <v>585</v>
      </c>
      <c r="C1" s="470"/>
      <c r="D1" s="470"/>
      <c r="E1" s="470"/>
      <c r="F1" s="470"/>
      <c r="G1" s="470"/>
    </row>
    <row r="2" spans="2:13" ht="28.5" customHeight="1">
      <c r="B2" s="711" t="s">
        <v>301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</row>
    <row r="3" spans="2:13" ht="13.5">
      <c r="B3" s="711" t="s">
        <v>182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</row>
    <row r="4" spans="1:13" ht="27">
      <c r="A4" s="472" t="s">
        <v>4</v>
      </c>
      <c r="B4" s="419" t="s">
        <v>302</v>
      </c>
      <c r="C4" s="473" t="s">
        <v>303</v>
      </c>
      <c r="D4" s="474" t="s">
        <v>304</v>
      </c>
      <c r="E4" s="475" t="s">
        <v>305</v>
      </c>
      <c r="F4" s="475" t="s">
        <v>306</v>
      </c>
      <c r="G4" s="475" t="s">
        <v>307</v>
      </c>
      <c r="H4" s="475" t="s">
        <v>308</v>
      </c>
      <c r="I4" s="475" t="s">
        <v>309</v>
      </c>
      <c r="J4" s="475" t="s">
        <v>310</v>
      </c>
      <c r="K4" s="475" t="s">
        <v>311</v>
      </c>
      <c r="L4" s="475" t="s">
        <v>332</v>
      </c>
      <c r="M4" s="475" t="s">
        <v>3</v>
      </c>
    </row>
    <row r="5" spans="1:3" ht="13.5">
      <c r="A5" s="472"/>
      <c r="B5" s="476" t="s">
        <v>312</v>
      </c>
      <c r="C5" s="443"/>
    </row>
    <row r="6" spans="1:13" ht="13.5">
      <c r="A6" s="472"/>
      <c r="B6" s="420" t="s">
        <v>313</v>
      </c>
      <c r="E6" s="423">
        <v>130610</v>
      </c>
      <c r="F6" s="423">
        <v>122545</v>
      </c>
      <c r="G6" s="423">
        <v>429344</v>
      </c>
      <c r="H6" s="423">
        <v>136612</v>
      </c>
      <c r="I6" s="423">
        <v>41683</v>
      </c>
      <c r="J6" s="423">
        <v>70194</v>
      </c>
      <c r="K6" s="423">
        <v>-4087</v>
      </c>
      <c r="L6" s="423">
        <v>-4087</v>
      </c>
      <c r="M6" s="423">
        <f>SUM(C6:L6)</f>
        <v>922814</v>
      </c>
    </row>
    <row r="7" spans="1:13" ht="13.5">
      <c r="A7" s="472"/>
      <c r="B7" s="420" t="s">
        <v>314</v>
      </c>
      <c r="I7" s="423">
        <v>82300</v>
      </c>
      <c r="M7" s="423">
        <f>SUM(C7:L7)</f>
        <v>82300</v>
      </c>
    </row>
    <row r="8" spans="1:13" ht="13.5">
      <c r="A8" s="472"/>
      <c r="B8" s="420" t="s">
        <v>315</v>
      </c>
      <c r="E8" s="423">
        <v>4763</v>
      </c>
      <c r="F8" s="423">
        <v>7823</v>
      </c>
      <c r="G8" s="423">
        <v>3343</v>
      </c>
      <c r="H8" s="423">
        <v>2</v>
      </c>
      <c r="I8" s="423">
        <v>4</v>
      </c>
      <c r="J8" s="423">
        <v>1</v>
      </c>
      <c r="M8" s="423">
        <f>SUM(C8:L8)</f>
        <v>15936</v>
      </c>
    </row>
    <row r="9" spans="1:13" ht="13.5">
      <c r="A9" s="472"/>
      <c r="B9" s="420" t="s">
        <v>316</v>
      </c>
      <c r="H9" s="423">
        <v>51412</v>
      </c>
      <c r="I9" s="423">
        <v>0</v>
      </c>
      <c r="J9" s="423">
        <v>0</v>
      </c>
      <c r="M9" s="423">
        <f>SUM(C9:L9)</f>
        <v>51412</v>
      </c>
    </row>
    <row r="10" spans="1:13" ht="13.5">
      <c r="A10" s="472"/>
      <c r="B10" s="420" t="s">
        <v>317</v>
      </c>
      <c r="C10" s="423">
        <f>C18-C6-C7-C8</f>
        <v>480</v>
      </c>
      <c r="D10" s="423">
        <v>18500</v>
      </c>
      <c r="E10" s="423">
        <f>16939-135373</f>
        <v>-118434</v>
      </c>
      <c r="F10" s="423">
        <v>120831</v>
      </c>
      <c r="G10" s="423">
        <f>535449-G6-G7-G8</f>
        <v>102762</v>
      </c>
      <c r="H10" s="423">
        <f>H18-H6-H7-H8-H9</f>
        <v>65521</v>
      </c>
      <c r="I10" s="423">
        <f>I18-I6-I7-I8-I9</f>
        <v>2591</v>
      </c>
      <c r="J10" s="423">
        <f>J18-J6-J7-J8-J9</f>
        <v>-7374</v>
      </c>
      <c r="K10" s="423">
        <f>K18-K6-K7-K8-K9</f>
        <v>4087</v>
      </c>
      <c r="L10" s="423">
        <f>L18-L6-L7-L8-L9</f>
        <v>4087</v>
      </c>
      <c r="M10" s="423">
        <f>SUM(C10:L10)</f>
        <v>193051</v>
      </c>
    </row>
    <row r="11" spans="1:13" ht="13.5">
      <c r="A11" s="472"/>
      <c r="B11" s="476" t="s">
        <v>3</v>
      </c>
      <c r="C11" s="443">
        <f aca="true" t="shared" si="0" ref="C11:M11">SUM(C6:C10)</f>
        <v>480</v>
      </c>
      <c r="D11" s="443">
        <f t="shared" si="0"/>
        <v>18500</v>
      </c>
      <c r="E11" s="443">
        <f t="shared" si="0"/>
        <v>16939</v>
      </c>
      <c r="F11" s="443">
        <f t="shared" si="0"/>
        <v>251199</v>
      </c>
      <c r="G11" s="443">
        <f t="shared" si="0"/>
        <v>535449</v>
      </c>
      <c r="H11" s="443">
        <f t="shared" si="0"/>
        <v>253547</v>
      </c>
      <c r="I11" s="443">
        <f t="shared" si="0"/>
        <v>126578</v>
      </c>
      <c r="J11" s="443">
        <f t="shared" si="0"/>
        <v>62821</v>
      </c>
      <c r="K11" s="443">
        <f t="shared" si="0"/>
        <v>0</v>
      </c>
      <c r="L11" s="443">
        <f t="shared" si="0"/>
        <v>0</v>
      </c>
      <c r="M11" s="443">
        <f t="shared" si="0"/>
        <v>1265513</v>
      </c>
    </row>
    <row r="12" ht="6" customHeight="1">
      <c r="A12" s="472"/>
    </row>
    <row r="13" spans="1:3" ht="13.5">
      <c r="A13" s="472"/>
      <c r="B13" s="476" t="s">
        <v>318</v>
      </c>
      <c r="C13" s="443"/>
    </row>
    <row r="14" spans="1:2" ht="13.5">
      <c r="A14" s="472"/>
      <c r="B14" s="420" t="s">
        <v>17</v>
      </c>
    </row>
    <row r="15" spans="1:13" ht="13.5">
      <c r="A15" s="472"/>
      <c r="B15" s="420" t="s">
        <v>319</v>
      </c>
      <c r="C15" s="423">
        <v>480</v>
      </c>
      <c r="D15" s="423">
        <v>18500</v>
      </c>
      <c r="E15" s="423">
        <v>16939</v>
      </c>
      <c r="F15" s="423">
        <v>251199</v>
      </c>
      <c r="G15" s="423">
        <v>535449</v>
      </c>
      <c r="H15" s="423">
        <v>198632</v>
      </c>
      <c r="I15" s="423">
        <v>82295</v>
      </c>
      <c r="J15" s="423">
        <v>52091</v>
      </c>
      <c r="M15" s="423">
        <f>SUM(C15:L15)</f>
        <v>1155585</v>
      </c>
    </row>
    <row r="16" spans="1:13" ht="13.5">
      <c r="A16" s="472"/>
      <c r="B16" s="420" t="s">
        <v>320</v>
      </c>
      <c r="H16" s="423">
        <v>51412</v>
      </c>
      <c r="M16" s="423">
        <f>SUM(C16:L16)</f>
        <v>51412</v>
      </c>
    </row>
    <row r="17" spans="1:13" ht="13.5">
      <c r="A17" s="472"/>
      <c r="B17" s="420" t="s">
        <v>321</v>
      </c>
      <c r="H17" s="423">
        <v>3503</v>
      </c>
      <c r="I17" s="423">
        <v>44283</v>
      </c>
      <c r="J17" s="423">
        <f>270+135+10325</f>
        <v>10730</v>
      </c>
      <c r="M17" s="423">
        <f>SUM(C17:L17)</f>
        <v>58516</v>
      </c>
    </row>
    <row r="18" spans="1:13" ht="13.5">
      <c r="A18" s="472"/>
      <c r="B18" s="476" t="s">
        <v>3</v>
      </c>
      <c r="C18" s="443">
        <f aca="true" t="shared" si="1" ref="C18:M18">SUM(C14:C17)</f>
        <v>480</v>
      </c>
      <c r="D18" s="443">
        <f t="shared" si="1"/>
        <v>18500</v>
      </c>
      <c r="E18" s="443">
        <f t="shared" si="1"/>
        <v>16939</v>
      </c>
      <c r="F18" s="443">
        <f t="shared" si="1"/>
        <v>251199</v>
      </c>
      <c r="G18" s="443">
        <f t="shared" si="1"/>
        <v>535449</v>
      </c>
      <c r="H18" s="443">
        <f t="shared" si="1"/>
        <v>253547</v>
      </c>
      <c r="I18" s="443">
        <f t="shared" si="1"/>
        <v>126578</v>
      </c>
      <c r="J18" s="443">
        <f t="shared" si="1"/>
        <v>62821</v>
      </c>
      <c r="K18" s="443">
        <f t="shared" si="1"/>
        <v>0</v>
      </c>
      <c r="L18" s="443">
        <f t="shared" si="1"/>
        <v>0</v>
      </c>
      <c r="M18" s="443">
        <f t="shared" si="1"/>
        <v>1265513</v>
      </c>
    </row>
    <row r="19" spans="1:2" ht="15.75" customHeight="1">
      <c r="A19" s="472"/>
      <c r="B19" s="476"/>
    </row>
    <row r="20" spans="2:13" ht="21.75" customHeight="1">
      <c r="B20" s="476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</row>
    <row r="21" spans="2:5" ht="10.5" customHeight="1">
      <c r="B21" s="476"/>
      <c r="C21" s="420"/>
      <c r="D21" s="420"/>
      <c r="E21" s="420"/>
    </row>
    <row r="22" spans="1:13" ht="54">
      <c r="A22" s="472" t="s">
        <v>19</v>
      </c>
      <c r="B22" s="419" t="s">
        <v>322</v>
      </c>
      <c r="C22" s="473" t="s">
        <v>303</v>
      </c>
      <c r="D22" s="475" t="s">
        <v>304</v>
      </c>
      <c r="E22" s="473" t="s">
        <v>305</v>
      </c>
      <c r="F22" s="475" t="s">
        <v>306</v>
      </c>
      <c r="G22" s="475" t="s">
        <v>307</v>
      </c>
      <c r="H22" s="475" t="s">
        <v>308</v>
      </c>
      <c r="I22" s="475" t="s">
        <v>309</v>
      </c>
      <c r="J22" s="475" t="s">
        <v>310</v>
      </c>
      <c r="K22" s="475" t="s">
        <v>311</v>
      </c>
      <c r="L22" s="475" t="s">
        <v>332</v>
      </c>
      <c r="M22" s="475" t="s">
        <v>3</v>
      </c>
    </row>
    <row r="23" spans="2:5" ht="13.5">
      <c r="B23" s="476" t="s">
        <v>312</v>
      </c>
      <c r="C23" s="420"/>
      <c r="D23" s="420"/>
      <c r="E23" s="420"/>
    </row>
    <row r="24" spans="2:13" ht="13.5">
      <c r="B24" s="420" t="s">
        <v>313</v>
      </c>
      <c r="I24" s="420"/>
      <c r="J24" s="423">
        <v>13951</v>
      </c>
      <c r="K24" s="423">
        <v>7921</v>
      </c>
      <c r="L24" s="423">
        <v>7921</v>
      </c>
      <c r="M24" s="423">
        <f>SUM(C24:L24)</f>
        <v>29793</v>
      </c>
    </row>
    <row r="25" spans="2:13" ht="13.5">
      <c r="B25" s="420" t="s">
        <v>314</v>
      </c>
      <c r="I25" s="420"/>
      <c r="M25" s="423">
        <f>SUM(C25:L25)</f>
        <v>0</v>
      </c>
    </row>
    <row r="26" spans="2:13" ht="13.5">
      <c r="B26" s="420" t="s">
        <v>315</v>
      </c>
      <c r="I26" s="420"/>
      <c r="J26" s="423">
        <v>5499</v>
      </c>
      <c r="M26" s="423">
        <f>SUM(C26:L26)</f>
        <v>5499</v>
      </c>
    </row>
    <row r="27" spans="2:13" ht="13.5">
      <c r="B27" s="420" t="s">
        <v>317</v>
      </c>
      <c r="I27" s="420"/>
      <c r="J27" s="423">
        <f>J34-J24-J25-J26</f>
        <v>2424</v>
      </c>
      <c r="K27" s="423">
        <f>K34-K24-K25-K26</f>
        <v>-7921</v>
      </c>
      <c r="L27" s="423">
        <f>L34-L24-L25-L26</f>
        <v>-7921</v>
      </c>
      <c r="M27" s="423">
        <f>SUM(C27:L27)</f>
        <v>-13418</v>
      </c>
    </row>
    <row r="28" spans="2:13" ht="13.5">
      <c r="B28" s="476" t="s">
        <v>3</v>
      </c>
      <c r="C28" s="443">
        <f aca="true" t="shared" si="2" ref="C28:M28">SUM(C24:C27)</f>
        <v>0</v>
      </c>
      <c r="D28" s="443">
        <f t="shared" si="2"/>
        <v>0</v>
      </c>
      <c r="E28" s="443">
        <f t="shared" si="2"/>
        <v>0</v>
      </c>
      <c r="F28" s="443">
        <f t="shared" si="2"/>
        <v>0</v>
      </c>
      <c r="G28" s="443">
        <f t="shared" si="2"/>
        <v>0</v>
      </c>
      <c r="H28" s="443">
        <f t="shared" si="2"/>
        <v>0</v>
      </c>
      <c r="I28" s="443">
        <f t="shared" si="2"/>
        <v>0</v>
      </c>
      <c r="J28" s="443">
        <f t="shared" si="2"/>
        <v>21874</v>
      </c>
      <c r="K28" s="443">
        <f t="shared" si="2"/>
        <v>0</v>
      </c>
      <c r="L28" s="443">
        <f t="shared" si="2"/>
        <v>0</v>
      </c>
      <c r="M28" s="443">
        <f t="shared" si="2"/>
        <v>21874</v>
      </c>
    </row>
    <row r="29" spans="3:8" ht="4.5" customHeight="1">
      <c r="C29" s="420"/>
      <c r="D29" s="420"/>
      <c r="E29" s="420"/>
      <c r="H29" s="420"/>
    </row>
    <row r="30" spans="2:5" ht="13.5">
      <c r="B30" s="476" t="s">
        <v>318</v>
      </c>
      <c r="C30" s="420"/>
      <c r="D30" s="420"/>
      <c r="E30" s="420"/>
    </row>
    <row r="31" spans="2:5" ht="13.5">
      <c r="B31" s="420" t="s">
        <v>17</v>
      </c>
      <c r="C31" s="420"/>
      <c r="D31" s="420"/>
      <c r="E31" s="420"/>
    </row>
    <row r="32" spans="2:13" ht="13.5">
      <c r="B32" s="420" t="s">
        <v>319</v>
      </c>
      <c r="C32" s="420"/>
      <c r="D32" s="420"/>
      <c r="E32" s="420"/>
      <c r="I32" s="420"/>
      <c r="J32" s="423">
        <v>635</v>
      </c>
      <c r="M32" s="423">
        <f>SUM(C32:L32)</f>
        <v>635</v>
      </c>
    </row>
    <row r="33" spans="2:13" ht="13.5">
      <c r="B33" s="477" t="s">
        <v>323</v>
      </c>
      <c r="C33" s="420"/>
      <c r="D33" s="420"/>
      <c r="E33" s="420"/>
      <c r="H33" s="423">
        <v>0</v>
      </c>
      <c r="I33" s="420"/>
      <c r="J33" s="423">
        <f>5382+1361+14496</f>
        <v>21239</v>
      </c>
      <c r="M33" s="423">
        <f>SUM(C33:L33)</f>
        <v>21239</v>
      </c>
    </row>
    <row r="34" spans="2:13" ht="13.5">
      <c r="B34" s="476" t="s">
        <v>3</v>
      </c>
      <c r="C34" s="443">
        <f aca="true" t="shared" si="3" ref="C34:M34">SUM(C31:C33)</f>
        <v>0</v>
      </c>
      <c r="D34" s="443">
        <f t="shared" si="3"/>
        <v>0</v>
      </c>
      <c r="E34" s="443">
        <f t="shared" si="3"/>
        <v>0</v>
      </c>
      <c r="F34" s="443">
        <f t="shared" si="3"/>
        <v>0</v>
      </c>
      <c r="G34" s="443">
        <f t="shared" si="3"/>
        <v>0</v>
      </c>
      <c r="H34" s="443">
        <f t="shared" si="3"/>
        <v>0</v>
      </c>
      <c r="I34" s="443">
        <f t="shared" si="3"/>
        <v>0</v>
      </c>
      <c r="J34" s="443">
        <f t="shared" si="3"/>
        <v>21874</v>
      </c>
      <c r="K34" s="443">
        <f t="shared" si="3"/>
        <v>0</v>
      </c>
      <c r="L34" s="443">
        <f t="shared" si="3"/>
        <v>0</v>
      </c>
      <c r="M34" s="443">
        <f t="shared" si="3"/>
        <v>21874</v>
      </c>
    </row>
    <row r="35" spans="2:5" ht="12.75" customHeight="1">
      <c r="B35" s="476"/>
      <c r="C35" s="420"/>
      <c r="D35" s="420"/>
      <c r="E35" s="420"/>
    </row>
    <row r="36" spans="1:13" ht="13.5">
      <c r="A36" s="472" t="s">
        <v>21</v>
      </c>
      <c r="B36" s="419" t="s">
        <v>324</v>
      </c>
      <c r="C36" s="473" t="s">
        <v>303</v>
      </c>
      <c r="D36" s="475" t="s">
        <v>304</v>
      </c>
      <c r="E36" s="473" t="s">
        <v>305</v>
      </c>
      <c r="F36" s="475" t="s">
        <v>306</v>
      </c>
      <c r="G36" s="475" t="s">
        <v>307</v>
      </c>
      <c r="H36" s="475" t="s">
        <v>308</v>
      </c>
      <c r="I36" s="475" t="s">
        <v>309</v>
      </c>
      <c r="J36" s="475" t="s">
        <v>310</v>
      </c>
      <c r="K36" s="475" t="s">
        <v>311</v>
      </c>
      <c r="L36" s="475" t="s">
        <v>332</v>
      </c>
      <c r="M36" s="475" t="s">
        <v>3</v>
      </c>
    </row>
    <row r="37" spans="2:5" ht="13.5">
      <c r="B37" s="476" t="s">
        <v>312</v>
      </c>
      <c r="C37" s="420"/>
      <c r="D37" s="420"/>
      <c r="E37" s="420"/>
    </row>
    <row r="38" spans="2:13" ht="13.5">
      <c r="B38" s="420" t="s">
        <v>313</v>
      </c>
      <c r="I38" s="420"/>
      <c r="J38" s="423">
        <v>9787</v>
      </c>
      <c r="K38" s="423">
        <v>2410</v>
      </c>
      <c r="L38" s="423">
        <v>2410</v>
      </c>
      <c r="M38" s="423">
        <f>SUM(C38:L38)</f>
        <v>14607</v>
      </c>
    </row>
    <row r="39" spans="2:13" ht="13.5">
      <c r="B39" s="420" t="s">
        <v>314</v>
      </c>
      <c r="I39" s="420"/>
      <c r="M39" s="423">
        <f>SUM(C39:L39)</f>
        <v>0</v>
      </c>
    </row>
    <row r="40" spans="2:13" ht="13.5">
      <c r="B40" s="420" t="s">
        <v>315</v>
      </c>
      <c r="I40" s="420"/>
      <c r="J40" s="423">
        <v>0</v>
      </c>
      <c r="K40" s="423">
        <v>0</v>
      </c>
      <c r="L40" s="423">
        <v>0</v>
      </c>
      <c r="M40" s="423">
        <f>SUM(C40:L40)</f>
        <v>0</v>
      </c>
    </row>
    <row r="41" spans="2:13" ht="13.5">
      <c r="B41" s="420" t="s">
        <v>317</v>
      </c>
      <c r="I41" s="420"/>
      <c r="J41" s="423">
        <f>J48-J38-J39-J40</f>
        <v>-4091</v>
      </c>
      <c r="K41" s="423">
        <f>K48-K38-K39-K40</f>
        <v>4835</v>
      </c>
      <c r="L41" s="423">
        <f>L48-L38-L39-L40</f>
        <v>4835</v>
      </c>
      <c r="M41" s="423">
        <f>SUM(C41:L41)</f>
        <v>5579</v>
      </c>
    </row>
    <row r="42" spans="2:13" ht="13.5">
      <c r="B42" s="476" t="s">
        <v>3</v>
      </c>
      <c r="C42" s="443">
        <f aca="true" t="shared" si="4" ref="C42:M42">SUM(C38:C41)</f>
        <v>0</v>
      </c>
      <c r="D42" s="443">
        <f t="shared" si="4"/>
        <v>0</v>
      </c>
      <c r="E42" s="443">
        <f t="shared" si="4"/>
        <v>0</v>
      </c>
      <c r="F42" s="443">
        <f t="shared" si="4"/>
        <v>0</v>
      </c>
      <c r="G42" s="443">
        <f t="shared" si="4"/>
        <v>0</v>
      </c>
      <c r="H42" s="443">
        <f t="shared" si="4"/>
        <v>0</v>
      </c>
      <c r="I42" s="443">
        <f t="shared" si="4"/>
        <v>0</v>
      </c>
      <c r="J42" s="443">
        <f t="shared" si="4"/>
        <v>5696</v>
      </c>
      <c r="K42" s="443">
        <f t="shared" si="4"/>
        <v>7245</v>
      </c>
      <c r="L42" s="443">
        <f t="shared" si="4"/>
        <v>7245</v>
      </c>
      <c r="M42" s="443">
        <f t="shared" si="4"/>
        <v>20186</v>
      </c>
    </row>
    <row r="43" spans="3:8" ht="4.5" customHeight="1">
      <c r="C43" s="420"/>
      <c r="D43" s="420"/>
      <c r="E43" s="420"/>
      <c r="H43" s="420"/>
    </row>
    <row r="44" spans="2:5" ht="13.5">
      <c r="B44" s="476" t="s">
        <v>318</v>
      </c>
      <c r="C44" s="420"/>
      <c r="D44" s="420"/>
      <c r="E44" s="420"/>
    </row>
    <row r="45" spans="2:5" ht="13.5">
      <c r="B45" s="420" t="s">
        <v>17</v>
      </c>
      <c r="C45" s="420"/>
      <c r="D45" s="420"/>
      <c r="E45" s="420"/>
    </row>
    <row r="46" spans="2:13" ht="13.5">
      <c r="B46" s="420" t="s">
        <v>319</v>
      </c>
      <c r="C46" s="420"/>
      <c r="D46" s="420"/>
      <c r="E46" s="420"/>
      <c r="I46" s="420"/>
      <c r="M46" s="423">
        <f>SUM(C46:L46)</f>
        <v>0</v>
      </c>
    </row>
    <row r="47" spans="2:13" ht="13.5">
      <c r="B47" s="477" t="s">
        <v>323</v>
      </c>
      <c r="C47" s="420"/>
      <c r="D47" s="420"/>
      <c r="E47" s="420"/>
      <c r="H47" s="423">
        <v>0</v>
      </c>
      <c r="I47" s="420"/>
      <c r="J47" s="423">
        <v>5696</v>
      </c>
      <c r="K47" s="423">
        <f>7245</f>
        <v>7245</v>
      </c>
      <c r="L47" s="423">
        <f>7245</f>
        <v>7245</v>
      </c>
      <c r="M47" s="423">
        <f>SUM(C47:L47)</f>
        <v>20186</v>
      </c>
    </row>
    <row r="48" spans="2:13" ht="13.5">
      <c r="B48" s="476" t="s">
        <v>3</v>
      </c>
      <c r="C48" s="443">
        <f aca="true" t="shared" si="5" ref="C48:M48">SUM(C45:C47)</f>
        <v>0</v>
      </c>
      <c r="D48" s="443">
        <f t="shared" si="5"/>
        <v>0</v>
      </c>
      <c r="E48" s="443">
        <f t="shared" si="5"/>
        <v>0</v>
      </c>
      <c r="F48" s="443">
        <f t="shared" si="5"/>
        <v>0</v>
      </c>
      <c r="G48" s="443">
        <f t="shared" si="5"/>
        <v>0</v>
      </c>
      <c r="H48" s="443">
        <f t="shared" si="5"/>
        <v>0</v>
      </c>
      <c r="I48" s="443">
        <f t="shared" si="5"/>
        <v>0</v>
      </c>
      <c r="J48" s="443">
        <f t="shared" si="5"/>
        <v>5696</v>
      </c>
      <c r="K48" s="443">
        <f t="shared" si="5"/>
        <v>7245</v>
      </c>
      <c r="L48" s="443">
        <f t="shared" si="5"/>
        <v>7245</v>
      </c>
      <c r="M48" s="443">
        <f t="shared" si="5"/>
        <v>20186</v>
      </c>
    </row>
    <row r="49" spans="2:5" ht="10.5" customHeight="1">
      <c r="B49" s="476"/>
      <c r="C49" s="420"/>
      <c r="D49" s="420"/>
      <c r="E49" s="420"/>
    </row>
    <row r="50" spans="2:5" ht="12.75" customHeight="1">
      <c r="B50" s="476"/>
      <c r="C50" s="420"/>
      <c r="D50" s="420"/>
      <c r="E50" s="420"/>
    </row>
  </sheetData>
  <sheetProtection/>
  <mergeCells count="2">
    <mergeCell ref="B2:M2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zoomScale="98" zoomScaleNormal="98" zoomScaleSheetLayoutView="98" zoomScalePageLayoutView="0" workbookViewId="0" topLeftCell="A1">
      <selection activeCell="A1" sqref="A1"/>
    </sheetView>
  </sheetViews>
  <sheetFormatPr defaultColWidth="9.00390625" defaultRowHeight="12.75"/>
  <cols>
    <col min="1" max="1" width="52.625" style="3" customWidth="1"/>
    <col min="2" max="4" width="13.00390625" style="3" bestFit="1" customWidth="1"/>
    <col min="5" max="5" width="10.125" style="3" customWidth="1"/>
    <col min="6" max="6" width="1.25" style="3" customWidth="1"/>
    <col min="7" max="16384" width="9.125" style="3" customWidth="1"/>
  </cols>
  <sheetData>
    <row r="1" ht="15.75">
      <c r="A1" s="53" t="s">
        <v>577</v>
      </c>
    </row>
    <row r="2" spans="1:5" ht="15.75">
      <c r="A2" s="640" t="s">
        <v>23</v>
      </c>
      <c r="B2" s="640"/>
      <c r="C2" s="640"/>
      <c r="D2" s="640"/>
      <c r="E2" s="640"/>
    </row>
    <row r="3" spans="1:5" ht="15.75">
      <c r="A3" s="640" t="s">
        <v>358</v>
      </c>
      <c r="B3" s="640"/>
      <c r="C3" s="640"/>
      <c r="D3" s="640"/>
      <c r="E3" s="640"/>
    </row>
    <row r="4" spans="1:5" s="8" customFormat="1" ht="21" customHeight="1" thickBot="1">
      <c r="A4" s="641" t="s">
        <v>174</v>
      </c>
      <c r="B4" s="641"/>
      <c r="C4" s="641"/>
      <c r="D4" s="641"/>
      <c r="E4" s="641"/>
    </row>
    <row r="5" spans="1:5" s="8" customFormat="1" ht="42" customHeight="1" thickBot="1">
      <c r="A5" s="33" t="s">
        <v>24</v>
      </c>
      <c r="B5" s="29" t="s">
        <v>359</v>
      </c>
      <c r="C5" s="123" t="s">
        <v>492</v>
      </c>
      <c r="D5" s="123" t="s">
        <v>493</v>
      </c>
      <c r="E5" s="123" t="s">
        <v>179</v>
      </c>
    </row>
    <row r="6" spans="1:6" s="8" customFormat="1" ht="12.75">
      <c r="A6" s="25" t="s">
        <v>117</v>
      </c>
      <c r="B6" s="32">
        <f>B7+B8</f>
        <v>890978777</v>
      </c>
      <c r="C6" s="32">
        <f>C7+C8</f>
        <v>1031810379</v>
      </c>
      <c r="D6" s="32">
        <f>D7+D8</f>
        <v>1035601962</v>
      </c>
      <c r="E6" s="316">
        <f aca="true" t="shared" si="0" ref="E6:E23">ROUND(D6/C6*100,2)</f>
        <v>100.37</v>
      </c>
      <c r="F6" s="16"/>
    </row>
    <row r="7" spans="1:5" s="8" customFormat="1" ht="12.75">
      <c r="A7" s="312" t="s">
        <v>114</v>
      </c>
      <c r="B7" s="45">
        <f>'3. melléklet  '!BV6</f>
        <v>828336315</v>
      </c>
      <c r="C7" s="45">
        <f>'3. melléklet  '!BW6</f>
        <v>884925144</v>
      </c>
      <c r="D7" s="45">
        <f>'3. melléklet  '!BX6</f>
        <v>884925144</v>
      </c>
      <c r="E7" s="317">
        <f t="shared" si="0"/>
        <v>100</v>
      </c>
    </row>
    <row r="8" spans="1:5" s="8" customFormat="1" ht="12.75">
      <c r="A8" s="312" t="s">
        <v>115</v>
      </c>
      <c r="B8" s="45">
        <f>'3. melléklet  '!BV7</f>
        <v>62642462</v>
      </c>
      <c r="C8" s="45">
        <f>'3. melléklet  '!BW7</f>
        <v>146885235</v>
      </c>
      <c r="D8" s="45">
        <f>'3. melléklet  '!BX7</f>
        <v>150676818</v>
      </c>
      <c r="E8" s="317">
        <f t="shared" si="0"/>
        <v>102.58</v>
      </c>
    </row>
    <row r="9" spans="1:5" s="8" customFormat="1" ht="12.75">
      <c r="A9" s="34" t="s">
        <v>69</v>
      </c>
      <c r="B9" s="18">
        <f>'3. melléklet  '!BV8</f>
        <v>489859309</v>
      </c>
      <c r="C9" s="18">
        <f>'3. melléklet  '!BW8</f>
        <v>489877005</v>
      </c>
      <c r="D9" s="18">
        <f>'3. melléklet  '!BX8</f>
        <v>491926428</v>
      </c>
      <c r="E9" s="318">
        <f t="shared" si="0"/>
        <v>100.42</v>
      </c>
    </row>
    <row r="10" spans="1:5" s="8" customFormat="1" ht="12.75">
      <c r="A10" s="34" t="s">
        <v>70</v>
      </c>
      <c r="B10" s="18">
        <f>'3. melléklet  '!BV9</f>
        <v>258005190</v>
      </c>
      <c r="C10" s="18">
        <f>'3. melléklet  '!BW9</f>
        <v>296904103</v>
      </c>
      <c r="D10" s="18">
        <f>'3. melléklet  '!BX9</f>
        <v>273819258</v>
      </c>
      <c r="E10" s="318">
        <f t="shared" si="0"/>
        <v>92.22</v>
      </c>
    </row>
    <row r="11" spans="1:5" s="8" customFormat="1" ht="13.5" thickBot="1">
      <c r="A11" s="37" t="s">
        <v>72</v>
      </c>
      <c r="B11" s="36">
        <f>'3. melléklet  '!BV10</f>
        <v>28095435</v>
      </c>
      <c r="C11" s="36">
        <f>'3. melléklet  '!BW10</f>
        <v>27645798</v>
      </c>
      <c r="D11" s="36">
        <f>'3. melléklet  '!BX10</f>
        <v>16115507</v>
      </c>
      <c r="E11" s="319">
        <f t="shared" si="0"/>
        <v>58.29</v>
      </c>
    </row>
    <row r="12" spans="1:5" s="10" customFormat="1" ht="13.5" thickBot="1">
      <c r="A12" s="39" t="s">
        <v>102</v>
      </c>
      <c r="B12" s="20">
        <f>'3. melléklet  '!BV11</f>
        <v>1666938711</v>
      </c>
      <c r="C12" s="20">
        <f>'3. melléklet  '!BW11</f>
        <v>1846237285</v>
      </c>
      <c r="D12" s="20">
        <f>'3. melléklet  '!BX11</f>
        <v>1817463155</v>
      </c>
      <c r="E12" s="320">
        <f t="shared" si="0"/>
        <v>98.44</v>
      </c>
    </row>
    <row r="13" spans="1:5" s="8" customFormat="1" ht="12.75">
      <c r="A13" s="25" t="s">
        <v>84</v>
      </c>
      <c r="B13" s="17">
        <f>'3. melléklet  '!BV12</f>
        <v>41720075</v>
      </c>
      <c r="C13" s="17">
        <f>'3. melléklet  '!BW12</f>
        <v>263859105</v>
      </c>
      <c r="D13" s="17">
        <f>'3. melléklet  '!BX12</f>
        <v>312793082</v>
      </c>
      <c r="E13" s="321">
        <f t="shared" si="0"/>
        <v>118.55</v>
      </c>
    </row>
    <row r="14" spans="1:5" s="8" customFormat="1" ht="12.75">
      <c r="A14" s="313" t="s">
        <v>99</v>
      </c>
      <c r="B14" s="50">
        <f>'3. melléklet  '!BV13</f>
        <v>0</v>
      </c>
      <c r="C14" s="50">
        <f>'3. melléklet  '!BW13</f>
        <v>128801000</v>
      </c>
      <c r="D14" s="50">
        <f>'3. melléklet  '!BX13</f>
        <v>128801000</v>
      </c>
      <c r="E14" s="322">
        <f t="shared" si="0"/>
        <v>100</v>
      </c>
    </row>
    <row r="15" spans="1:5" s="8" customFormat="1" ht="12.75">
      <c r="A15" s="34" t="s">
        <v>71</v>
      </c>
      <c r="B15" s="18">
        <f>'3. melléklet  '!BV14</f>
        <v>205340627</v>
      </c>
      <c r="C15" s="18">
        <f>'3. melléklet  '!BW14</f>
        <v>183353173</v>
      </c>
      <c r="D15" s="18">
        <f>'3. melléklet  '!BX14</f>
        <v>188468847</v>
      </c>
      <c r="E15" s="318">
        <f t="shared" si="0"/>
        <v>102.79</v>
      </c>
    </row>
    <row r="16" spans="1:5" s="8" customFormat="1" ht="12.75">
      <c r="A16" s="34" t="s">
        <v>62</v>
      </c>
      <c r="B16" s="18">
        <f>SUM(B17:B18)</f>
        <v>14294359</v>
      </c>
      <c r="C16" s="18">
        <f>SUM(C17:C18)</f>
        <v>15183359</v>
      </c>
      <c r="D16" s="18">
        <f>SUM(D17:D18)</f>
        <v>25838929</v>
      </c>
      <c r="E16" s="318">
        <f t="shared" si="0"/>
        <v>170.18</v>
      </c>
    </row>
    <row r="17" spans="1:5" s="8" customFormat="1" ht="22.5">
      <c r="A17" s="314" t="s">
        <v>100</v>
      </c>
      <c r="B17" s="45">
        <f>'3. melléklet  '!BV16</f>
        <v>12815928</v>
      </c>
      <c r="C17" s="45">
        <f>'3. melléklet  '!BW16</f>
        <v>13704928</v>
      </c>
      <c r="D17" s="45">
        <f>'3. melléklet  '!BX16</f>
        <v>18283538</v>
      </c>
      <c r="E17" s="317">
        <f t="shared" si="0"/>
        <v>133.41</v>
      </c>
    </row>
    <row r="18" spans="1:5" s="8" customFormat="1" ht="13.5" thickBot="1">
      <c r="A18" s="314" t="s">
        <v>116</v>
      </c>
      <c r="B18" s="49">
        <f>'3. melléklet  '!BV17</f>
        <v>1478431</v>
      </c>
      <c r="C18" s="49">
        <f>'3. melléklet  '!BW17</f>
        <v>1478431</v>
      </c>
      <c r="D18" s="49">
        <f>'3. melléklet  '!BX17</f>
        <v>7555391</v>
      </c>
      <c r="E18" s="317">
        <f t="shared" si="0"/>
        <v>511.04</v>
      </c>
    </row>
    <row r="19" spans="1:5" s="10" customFormat="1" ht="14.25" customHeight="1" thickBot="1">
      <c r="A19" s="39" t="s">
        <v>103</v>
      </c>
      <c r="B19" s="20">
        <f>'3. melléklet  '!BV18</f>
        <v>261355061</v>
      </c>
      <c r="C19" s="20">
        <f>'3. melléklet  '!BW18</f>
        <v>462395637</v>
      </c>
      <c r="D19" s="20">
        <f>'3. melléklet  '!BX18</f>
        <v>527100858</v>
      </c>
      <c r="E19" s="320">
        <f t="shared" si="0"/>
        <v>113.99</v>
      </c>
    </row>
    <row r="20" spans="1:5" s="10" customFormat="1" ht="15.75" customHeight="1" thickBot="1">
      <c r="A20" s="41" t="s">
        <v>101</v>
      </c>
      <c r="B20" s="40">
        <f>'3. melléklet  '!BV19</f>
        <v>1928293772</v>
      </c>
      <c r="C20" s="40">
        <f>'3. melléklet  '!BW19</f>
        <v>2308632922</v>
      </c>
      <c r="D20" s="40">
        <f>'3. melléklet  '!BX19</f>
        <v>2344564013</v>
      </c>
      <c r="E20" s="324">
        <f t="shared" si="0"/>
        <v>101.56</v>
      </c>
    </row>
    <row r="21" spans="1:5" s="8" customFormat="1" ht="12.75">
      <c r="A21" s="42" t="s">
        <v>68</v>
      </c>
      <c r="B21" s="32">
        <f>SUM(B22:B23)</f>
        <v>1369911367</v>
      </c>
      <c r="C21" s="32">
        <f>SUM(C22:C23)</f>
        <v>1467173842</v>
      </c>
      <c r="D21" s="32">
        <f>SUM(D22:D23)</f>
        <v>1467173842</v>
      </c>
      <c r="E21" s="316">
        <f t="shared" si="0"/>
        <v>100</v>
      </c>
    </row>
    <row r="22" spans="1:5" s="8" customFormat="1" ht="12.75">
      <c r="A22" s="313" t="s">
        <v>104</v>
      </c>
      <c r="B22" s="45">
        <f>'3. melléklet  '!BV21</f>
        <v>229179577</v>
      </c>
      <c r="C22" s="45">
        <f>'3. melléklet  '!BW21</f>
        <v>327698871</v>
      </c>
      <c r="D22" s="45">
        <f>'3. melléklet  '!BX21</f>
        <v>327698871</v>
      </c>
      <c r="E22" s="317">
        <f t="shared" si="0"/>
        <v>100</v>
      </c>
    </row>
    <row r="23" spans="1:5" s="8" customFormat="1" ht="12.75">
      <c r="A23" s="313" t="s">
        <v>105</v>
      </c>
      <c r="B23" s="45">
        <f>'3. melléklet  '!BV22</f>
        <v>1140731790</v>
      </c>
      <c r="C23" s="45">
        <f>'3. melléklet  '!BW22</f>
        <v>1139474971</v>
      </c>
      <c r="D23" s="45">
        <f>'3. melléklet  '!BX22</f>
        <v>1139474971</v>
      </c>
      <c r="E23" s="317">
        <f t="shared" si="0"/>
        <v>100</v>
      </c>
    </row>
    <row r="24" spans="1:5" s="10" customFormat="1" ht="15.75" customHeight="1" thickBot="1">
      <c r="A24" s="619" t="s">
        <v>499</v>
      </c>
      <c r="B24" s="620">
        <f>'3. melléklet  '!BZ24</f>
        <v>0</v>
      </c>
      <c r="C24" s="620">
        <f>'3. melléklet  '!CA24</f>
        <v>0</v>
      </c>
      <c r="D24" s="620">
        <f>'3. melléklet  '!CB24</f>
        <v>29943218</v>
      </c>
      <c r="E24" s="621"/>
    </row>
    <row r="25" spans="1:5" s="10" customFormat="1" ht="15.75" customHeight="1" thickBot="1">
      <c r="A25" s="39" t="s">
        <v>106</v>
      </c>
      <c r="B25" s="20">
        <f>'3. melléklet  '!BZ25</f>
        <v>1369911367</v>
      </c>
      <c r="C25" s="20">
        <f>'3. melléklet  '!CA25</f>
        <v>1467173842</v>
      </c>
      <c r="D25" s="20">
        <f>'3. melléklet  '!CB25</f>
        <v>1497117060</v>
      </c>
      <c r="E25" s="320">
        <f>ROUND(D25/C25*100,2)</f>
        <v>102.04</v>
      </c>
    </row>
    <row r="26" spans="1:5" s="10" customFormat="1" ht="15.75" customHeight="1" thickBot="1">
      <c r="A26" s="35" t="s">
        <v>25</v>
      </c>
      <c r="B26" s="21">
        <f>B12+B19+B25</f>
        <v>3298205139</v>
      </c>
      <c r="C26" s="21">
        <f>C12+C19+C25</f>
        <v>3775806764</v>
      </c>
      <c r="D26" s="21">
        <f>D12+D19+D25</f>
        <v>3841681073</v>
      </c>
      <c r="E26" s="326">
        <f>ROUND(D26/C26*100,2)</f>
        <v>101.74</v>
      </c>
    </row>
    <row r="27" s="8" customFormat="1" ht="12.75"/>
    <row r="28" spans="1:5" s="8" customFormat="1" ht="13.5" thickBot="1">
      <c r="A28" s="641" t="s">
        <v>175</v>
      </c>
      <c r="B28" s="641"/>
      <c r="C28" s="641"/>
      <c r="D28" s="641"/>
      <c r="E28" s="641"/>
    </row>
    <row r="29" spans="1:5" s="8" customFormat="1" ht="43.5" customHeight="1" thickBot="1">
      <c r="A29" s="28" t="s">
        <v>24</v>
      </c>
      <c r="B29" s="123" t="s">
        <v>359</v>
      </c>
      <c r="C29" s="123" t="s">
        <v>492</v>
      </c>
      <c r="D29" s="123" t="s">
        <v>493</v>
      </c>
      <c r="E29" s="123" t="s">
        <v>179</v>
      </c>
    </row>
    <row r="30" spans="1:5" s="8" customFormat="1" ht="12.75">
      <c r="A30" s="25" t="s">
        <v>26</v>
      </c>
      <c r="B30" s="17">
        <f>'3. melléklet  '!BV30</f>
        <v>735842951</v>
      </c>
      <c r="C30" s="17">
        <f>'3. melléklet  '!BW30</f>
        <v>792668561</v>
      </c>
      <c r="D30" s="17">
        <f>'3. melléklet  '!BX30</f>
        <v>764474254</v>
      </c>
      <c r="E30" s="321">
        <f aca="true" t="shared" si="1" ref="E30:E49">ROUND(D30/C30*100,2)</f>
        <v>96.44</v>
      </c>
    </row>
    <row r="31" spans="1:5" s="8" customFormat="1" ht="12.75">
      <c r="A31" s="34" t="s">
        <v>27</v>
      </c>
      <c r="B31" s="18">
        <f>'3. melléklet  '!BV31</f>
        <v>164004809</v>
      </c>
      <c r="C31" s="18">
        <f>'3. melléklet  '!BW31</f>
        <v>174075420</v>
      </c>
      <c r="D31" s="18">
        <f>'3. melléklet  '!BX31</f>
        <v>161222646</v>
      </c>
      <c r="E31" s="318">
        <f t="shared" si="1"/>
        <v>92.62</v>
      </c>
    </row>
    <row r="32" spans="1:5" s="8" customFormat="1" ht="12.75">
      <c r="A32" s="34" t="s">
        <v>15</v>
      </c>
      <c r="B32" s="18">
        <f>'3. melléklet  '!BV32</f>
        <v>854234071</v>
      </c>
      <c r="C32" s="18">
        <f>'3. melléklet  '!BW32</f>
        <v>1030506866</v>
      </c>
      <c r="D32" s="18">
        <f>'3. melléklet  '!BX32</f>
        <v>876524539</v>
      </c>
      <c r="E32" s="318">
        <f t="shared" si="1"/>
        <v>85.06</v>
      </c>
    </row>
    <row r="33" spans="1:5" s="8" customFormat="1" ht="12.75">
      <c r="A33" s="34" t="s">
        <v>28</v>
      </c>
      <c r="B33" s="18">
        <f>'3. melléklet  '!BV33</f>
        <v>24500000</v>
      </c>
      <c r="C33" s="18">
        <f>'3. melléklet  '!BW33</f>
        <v>24923362</v>
      </c>
      <c r="D33" s="18">
        <f>'3. melléklet  '!BX33</f>
        <v>24750525</v>
      </c>
      <c r="E33" s="318">
        <f t="shared" si="1"/>
        <v>99.31</v>
      </c>
    </row>
    <row r="34" spans="1:6" s="8" customFormat="1" ht="12.75">
      <c r="A34" s="34" t="s">
        <v>118</v>
      </c>
      <c r="B34" s="18">
        <f>SUM(B35:B38)</f>
        <v>88986530</v>
      </c>
      <c r="C34" s="18">
        <f>SUM(C35:C38)</f>
        <v>161248792</v>
      </c>
      <c r="D34" s="18">
        <f>SUM(D35:D38)</f>
        <v>80518710</v>
      </c>
      <c r="E34" s="318">
        <f t="shared" si="1"/>
        <v>49.93</v>
      </c>
      <c r="F34" s="23"/>
    </row>
    <row r="35" spans="1:6" s="8" customFormat="1" ht="12.75">
      <c r="A35" s="313" t="s">
        <v>107</v>
      </c>
      <c r="B35" s="45">
        <f>'3. melléklet  '!BV35</f>
        <v>0</v>
      </c>
      <c r="C35" s="45">
        <f>'3. melléklet  '!BW35</f>
        <v>21943991</v>
      </c>
      <c r="D35" s="45">
        <f>'3. melléklet  '!BX35</f>
        <v>21918991</v>
      </c>
      <c r="E35" s="317">
        <f t="shared" si="1"/>
        <v>99.89</v>
      </c>
      <c r="F35" s="23"/>
    </row>
    <row r="36" spans="1:6" s="8" customFormat="1" ht="12.75">
      <c r="A36" s="313" t="s">
        <v>109</v>
      </c>
      <c r="B36" s="45">
        <f>'3. melléklet  '!BV36</f>
        <v>4103300</v>
      </c>
      <c r="C36" s="45">
        <f>'3. melléklet  '!BW36</f>
        <v>4583260</v>
      </c>
      <c r="D36" s="45">
        <f>'3. melléklet  '!BX36</f>
        <v>2754683</v>
      </c>
      <c r="E36" s="317">
        <f t="shared" si="1"/>
        <v>60.1</v>
      </c>
      <c r="F36" s="23"/>
    </row>
    <row r="37" spans="1:5" s="8" customFormat="1" ht="12.75">
      <c r="A37" s="313" t="s">
        <v>108</v>
      </c>
      <c r="B37" s="45">
        <f>'3. melléklet  '!BV37</f>
        <v>53083516</v>
      </c>
      <c r="C37" s="45">
        <f>'3. melléklet  '!BW37</f>
        <v>55848036</v>
      </c>
      <c r="D37" s="45">
        <f>'3. melléklet  '!BX37</f>
        <v>55845036</v>
      </c>
      <c r="E37" s="317">
        <f t="shared" si="1"/>
        <v>99.99</v>
      </c>
    </row>
    <row r="38" spans="1:5" s="8" customFormat="1" ht="13.5" thickBot="1">
      <c r="A38" s="313" t="s">
        <v>119</v>
      </c>
      <c r="B38" s="19">
        <f>'3. melléklet  '!BV38</f>
        <v>31799714</v>
      </c>
      <c r="C38" s="19">
        <f>'3. melléklet  '!BW38</f>
        <v>78873505</v>
      </c>
      <c r="D38" s="19">
        <f>'3. melléklet  '!BX38</f>
        <v>0</v>
      </c>
      <c r="E38" s="327">
        <f t="shared" si="1"/>
        <v>0</v>
      </c>
    </row>
    <row r="39" spans="1:6" s="8" customFormat="1" ht="13.5" thickBot="1">
      <c r="A39" s="39" t="s">
        <v>110</v>
      </c>
      <c r="B39" s="20">
        <f>B30+B31+B32+B33+B34</f>
        <v>1867568361</v>
      </c>
      <c r="C39" s="20">
        <f>C30+C31+C32+C33+C34</f>
        <v>2183423001</v>
      </c>
      <c r="D39" s="20">
        <f>D30+D31+D32+D33+D34</f>
        <v>1907490674</v>
      </c>
      <c r="E39" s="320">
        <f t="shared" si="1"/>
        <v>87.36</v>
      </c>
      <c r="F39" s="23"/>
    </row>
    <row r="40" spans="1:5" s="8" customFormat="1" ht="12.75">
      <c r="A40" s="25" t="s">
        <v>61</v>
      </c>
      <c r="B40" s="18">
        <f>'3. melléklet  '!BV40</f>
        <v>1285231319</v>
      </c>
      <c r="C40" s="18">
        <f>'3. melléklet  '!BW40</f>
        <v>1312246220</v>
      </c>
      <c r="D40" s="18">
        <f>'3. melléklet  '!BX40</f>
        <v>454757739</v>
      </c>
      <c r="E40" s="318">
        <f t="shared" si="1"/>
        <v>34.65</v>
      </c>
    </row>
    <row r="41" spans="1:5" s="8" customFormat="1" ht="12.75">
      <c r="A41" s="43" t="s">
        <v>17</v>
      </c>
      <c r="B41" s="17">
        <f>'3. melléklet  '!BV41</f>
        <v>104421475</v>
      </c>
      <c r="C41" s="17">
        <f>'3. melléklet  '!BW41</f>
        <v>232710905</v>
      </c>
      <c r="D41" s="17">
        <f>'3. melléklet  '!BX41</f>
        <v>128456704</v>
      </c>
      <c r="E41" s="321">
        <f t="shared" si="1"/>
        <v>55.2</v>
      </c>
    </row>
    <row r="42" spans="1:5" s="8" customFormat="1" ht="12.75">
      <c r="A42" s="34" t="s">
        <v>90</v>
      </c>
      <c r="B42" s="18">
        <f>SUM(B43:B45)</f>
        <v>12434057</v>
      </c>
      <c r="C42" s="18">
        <f>SUM(C43:C45)</f>
        <v>18876711</v>
      </c>
      <c r="D42" s="18">
        <f>SUM(D43:D45)</f>
        <v>11909504</v>
      </c>
      <c r="E42" s="318">
        <f t="shared" si="1"/>
        <v>63.09</v>
      </c>
    </row>
    <row r="43" spans="1:5" s="8" customFormat="1" ht="12.75">
      <c r="A43" s="315" t="s">
        <v>176</v>
      </c>
      <c r="B43" s="45">
        <f>'3. melléklet  '!BV43</f>
        <v>1165207</v>
      </c>
      <c r="C43" s="45">
        <f>'3. melléklet  '!BW43</f>
        <v>1165207</v>
      </c>
      <c r="D43" s="45">
        <f>'3. melléklet  '!BX43</f>
        <v>0</v>
      </c>
      <c r="E43" s="317">
        <f t="shared" si="1"/>
        <v>0</v>
      </c>
    </row>
    <row r="44" spans="1:5" s="8" customFormat="1" ht="12.75">
      <c r="A44" s="315" t="s">
        <v>177</v>
      </c>
      <c r="B44" s="45">
        <f>'3. melléklet  '!BV44</f>
        <v>5802000</v>
      </c>
      <c r="C44" s="45">
        <f>'3. melléklet  '!BW44</f>
        <v>5802000</v>
      </c>
      <c r="D44" s="45">
        <f>'3. melléklet  '!BX44</f>
        <v>0</v>
      </c>
      <c r="E44" s="317">
        <f t="shared" si="1"/>
        <v>0</v>
      </c>
    </row>
    <row r="45" spans="1:5" s="8" customFormat="1" ht="13.5" thickBot="1">
      <c r="A45" s="315" t="s">
        <v>178</v>
      </c>
      <c r="B45" s="46">
        <f>'3. melléklet  '!BV45</f>
        <v>5466850</v>
      </c>
      <c r="C45" s="46">
        <f>'3. melléklet  '!BW45</f>
        <v>11909504</v>
      </c>
      <c r="D45" s="46">
        <f>'3. melléklet  '!BX45</f>
        <v>11909504</v>
      </c>
      <c r="E45" s="325">
        <f t="shared" si="1"/>
        <v>100</v>
      </c>
    </row>
    <row r="46" spans="1:5" s="8" customFormat="1" ht="13.5" thickBot="1">
      <c r="A46" s="39" t="s">
        <v>111</v>
      </c>
      <c r="B46" s="20">
        <f>B40+B41+B42</f>
        <v>1402086851</v>
      </c>
      <c r="C46" s="20">
        <f>C40+C41+C42</f>
        <v>1563833836</v>
      </c>
      <c r="D46" s="20">
        <f>D40+D41+D42</f>
        <v>595123947</v>
      </c>
      <c r="E46" s="320">
        <f t="shared" si="1"/>
        <v>38.06</v>
      </c>
    </row>
    <row r="47" spans="1:5" s="10" customFormat="1" ht="15.75" customHeight="1" thickBot="1">
      <c r="A47" s="41" t="s">
        <v>112</v>
      </c>
      <c r="B47" s="40">
        <f>B46+B39</f>
        <v>3269655212</v>
      </c>
      <c r="C47" s="40">
        <f>C46+C39</f>
        <v>3747256837</v>
      </c>
      <c r="D47" s="40">
        <f>D46+D39</f>
        <v>2502614621</v>
      </c>
      <c r="E47" s="324">
        <f t="shared" si="1"/>
        <v>66.79</v>
      </c>
    </row>
    <row r="48" spans="1:5" s="8" customFormat="1" ht="15.75" customHeight="1" thickBot="1">
      <c r="A48" s="52" t="s">
        <v>113</v>
      </c>
      <c r="B48" s="51">
        <f>'3. melléklet  '!BZ48</f>
        <v>28549927</v>
      </c>
      <c r="C48" s="51">
        <f>'3. melléklet  '!CA48</f>
        <v>28549927</v>
      </c>
      <c r="D48" s="51">
        <f>'3. melléklet  '!CB48</f>
        <v>28549927</v>
      </c>
      <c r="E48" s="328">
        <f t="shared" si="1"/>
        <v>100</v>
      </c>
    </row>
    <row r="49" spans="1:5" s="10" customFormat="1" ht="15.75" customHeight="1" thickBot="1">
      <c r="A49" s="35" t="s">
        <v>29</v>
      </c>
      <c r="B49" s="21">
        <f>B48+B47</f>
        <v>3298205139</v>
      </c>
      <c r="C49" s="21">
        <f>C48+C47</f>
        <v>3775806764</v>
      </c>
      <c r="D49" s="21">
        <f>D48+D47</f>
        <v>2531164548</v>
      </c>
      <c r="E49" s="326">
        <f t="shared" si="1"/>
        <v>67.04</v>
      </c>
    </row>
    <row r="52" spans="1:5" ht="15.75">
      <c r="A52" s="4"/>
      <c r="B52" s="4"/>
      <c r="C52" s="4"/>
      <c r="D52" s="4"/>
      <c r="E52" s="4"/>
    </row>
  </sheetData>
  <sheetProtection/>
  <mergeCells count="4">
    <mergeCell ref="A2:E2"/>
    <mergeCell ref="A3:E3"/>
    <mergeCell ref="A4:E4"/>
    <mergeCell ref="A28:E28"/>
  </mergeCells>
  <printOptions/>
  <pageMargins left="0.5118110236220472" right="0.5118110236220472" top="0.4724409448818898" bottom="0.5118110236220472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2.875" style="494" customWidth="1"/>
    <col min="2" max="2" width="74.375" style="494" customWidth="1"/>
    <col min="3" max="3" width="13.75390625" style="504" customWidth="1"/>
    <col min="4" max="4" width="14.25390625" style="504" bestFit="1" customWidth="1"/>
    <col min="5" max="5" width="15.625" style="504" customWidth="1"/>
    <col min="6" max="6" width="11.25390625" style="504" customWidth="1"/>
    <col min="7" max="7" width="2.625" style="494" customWidth="1"/>
    <col min="8" max="16384" width="9.125" style="494" customWidth="1"/>
  </cols>
  <sheetData>
    <row r="1" spans="1:6" s="493" customFormat="1" ht="15" customHeight="1">
      <c r="A1" s="491"/>
      <c r="B1" s="53" t="s">
        <v>578</v>
      </c>
      <c r="C1" s="492"/>
      <c r="D1" s="492"/>
      <c r="E1" s="492"/>
      <c r="F1" s="492"/>
    </row>
    <row r="2" spans="1:6" s="493" customFormat="1" ht="15" customHeight="1">
      <c r="A2" s="491"/>
      <c r="B2" s="490"/>
      <c r="C2" s="492"/>
      <c r="D2" s="492"/>
      <c r="E2" s="492"/>
      <c r="F2" s="492"/>
    </row>
    <row r="3" spans="1:6" ht="15.75">
      <c r="A3" s="642" t="s">
        <v>360</v>
      </c>
      <c r="B3" s="642"/>
      <c r="C3" s="642"/>
      <c r="D3" s="642"/>
      <c r="E3" s="642"/>
      <c r="F3" s="642"/>
    </row>
    <row r="4" spans="2:6" s="495" customFormat="1" ht="34.5">
      <c r="B4" s="495" t="s">
        <v>0</v>
      </c>
      <c r="C4" s="496" t="s">
        <v>361</v>
      </c>
      <c r="D4" s="496" t="s">
        <v>487</v>
      </c>
      <c r="E4" s="496" t="s">
        <v>488</v>
      </c>
      <c r="F4" s="496" t="s">
        <v>179</v>
      </c>
    </row>
    <row r="5" spans="1:7" s="498" customFormat="1" ht="12.75">
      <c r="A5" s="497" t="s">
        <v>362</v>
      </c>
      <c r="B5" s="497"/>
      <c r="C5" s="497"/>
      <c r="D5" s="497"/>
      <c r="E5" s="497"/>
      <c r="F5" s="497"/>
      <c r="G5" s="497"/>
    </row>
    <row r="6" spans="2:6" s="499" customFormat="1" ht="12.75" customHeight="1">
      <c r="B6" s="500" t="s">
        <v>40</v>
      </c>
      <c r="C6" s="501">
        <f>C7+C8+C13+C16+C14+C15+C18+C17</f>
        <v>251927795</v>
      </c>
      <c r="D6" s="501">
        <f>D7+D8+D13+D16+D14+D15+D18+D17</f>
        <v>252452151</v>
      </c>
      <c r="E6" s="501">
        <f>E7+E8+E13+E16+E14+E15+E18+E17</f>
        <v>252452151</v>
      </c>
      <c r="F6" s="502">
        <f aca="true" t="shared" si="0" ref="F6:F12">ROUND(E6/D6*100,2)</f>
        <v>100</v>
      </c>
    </row>
    <row r="7" spans="2:6" ht="12.75" customHeight="1">
      <c r="B7" s="503" t="s">
        <v>36</v>
      </c>
      <c r="C7" s="504">
        <v>160666400</v>
      </c>
      <c r="D7" s="504">
        <v>160666400</v>
      </c>
      <c r="E7" s="504">
        <f>D7*100%</f>
        <v>160666400</v>
      </c>
      <c r="F7" s="505">
        <f t="shared" si="0"/>
        <v>100</v>
      </c>
    </row>
    <row r="8" spans="2:6" ht="12.75" customHeight="1">
      <c r="B8" s="506" t="s">
        <v>37</v>
      </c>
      <c r="C8" s="504">
        <f>C9+C10+C11+C12</f>
        <v>73192055</v>
      </c>
      <c r="D8" s="504">
        <f>D9+D10+D11+D12</f>
        <v>73192055</v>
      </c>
      <c r="E8" s="504">
        <f>E9+E10+E11+E12</f>
        <v>73192055</v>
      </c>
      <c r="F8" s="505">
        <f t="shared" si="0"/>
        <v>100</v>
      </c>
    </row>
    <row r="9" spans="2:6" ht="12.75" customHeight="1">
      <c r="B9" s="507" t="s">
        <v>59</v>
      </c>
      <c r="C9" s="504">
        <v>3213027</v>
      </c>
      <c r="D9" s="504">
        <v>3213027</v>
      </c>
      <c r="E9" s="504">
        <f aca="true" t="shared" si="1" ref="E9:E15">D9*100%</f>
        <v>3213027</v>
      </c>
      <c r="F9" s="505">
        <f t="shared" si="0"/>
        <v>100</v>
      </c>
    </row>
    <row r="10" spans="2:6" ht="12.75" customHeight="1">
      <c r="B10" s="508" t="s">
        <v>58</v>
      </c>
      <c r="C10" s="504">
        <v>45640000</v>
      </c>
      <c r="D10" s="504">
        <v>45640000</v>
      </c>
      <c r="E10" s="504">
        <f t="shared" si="1"/>
        <v>45640000</v>
      </c>
      <c r="F10" s="505">
        <f t="shared" si="0"/>
        <v>100</v>
      </c>
    </row>
    <row r="11" spans="2:6" ht="12.75" customHeight="1">
      <c r="B11" s="508" t="s">
        <v>57</v>
      </c>
      <c r="C11" s="504">
        <v>3588728</v>
      </c>
      <c r="D11" s="504">
        <v>3588728</v>
      </c>
      <c r="E11" s="504">
        <f t="shared" si="1"/>
        <v>3588728</v>
      </c>
      <c r="F11" s="505">
        <f t="shared" si="0"/>
        <v>100</v>
      </c>
    </row>
    <row r="12" spans="2:6" ht="12.75" customHeight="1">
      <c r="B12" s="508" t="s">
        <v>75</v>
      </c>
      <c r="C12" s="504">
        <v>20750300</v>
      </c>
      <c r="D12" s="504">
        <v>20750300</v>
      </c>
      <c r="E12" s="504">
        <f t="shared" si="1"/>
        <v>20750300</v>
      </c>
      <c r="F12" s="505">
        <f t="shared" si="0"/>
        <v>100</v>
      </c>
    </row>
    <row r="13" spans="2:6" ht="12.75" customHeight="1">
      <c r="B13" s="503" t="s">
        <v>76</v>
      </c>
      <c r="C13" s="504">
        <v>0</v>
      </c>
      <c r="D13" s="504">
        <v>0</v>
      </c>
      <c r="E13" s="504">
        <f t="shared" si="1"/>
        <v>0</v>
      </c>
      <c r="F13" s="505"/>
    </row>
    <row r="14" spans="2:6" ht="12.75" customHeight="1">
      <c r="B14" s="503" t="s">
        <v>77</v>
      </c>
      <c r="C14" s="504">
        <v>0</v>
      </c>
      <c r="D14" s="504">
        <v>0</v>
      </c>
      <c r="E14" s="504">
        <f t="shared" si="1"/>
        <v>0</v>
      </c>
      <c r="F14" s="505"/>
    </row>
    <row r="15" spans="2:6" ht="12.75" customHeight="1">
      <c r="B15" s="503" t="s">
        <v>78</v>
      </c>
      <c r="C15" s="504">
        <v>16020640</v>
      </c>
      <c r="D15" s="504">
        <v>16020640</v>
      </c>
      <c r="E15" s="504">
        <f t="shared" si="1"/>
        <v>16020640</v>
      </c>
      <c r="F15" s="505">
        <f>ROUND(E15/D15*100,2)</f>
        <v>100</v>
      </c>
    </row>
    <row r="16" spans="2:6" ht="12.75" customHeight="1">
      <c r="B16" s="503" t="s">
        <v>52</v>
      </c>
      <c r="C16" s="504">
        <v>0</v>
      </c>
      <c r="D16" s="504">
        <v>0</v>
      </c>
      <c r="F16" s="505"/>
    </row>
    <row r="17" spans="2:6" ht="12.75" customHeight="1">
      <c r="B17" s="503" t="s">
        <v>363</v>
      </c>
      <c r="C17" s="504">
        <v>0</v>
      </c>
      <c r="D17" s="504">
        <v>524356</v>
      </c>
      <c r="E17" s="504">
        <v>524356</v>
      </c>
      <c r="F17" s="505">
        <f aca="true" t="shared" si="2" ref="F17:F37">ROUND(E17/D17*100,2)</f>
        <v>100</v>
      </c>
    </row>
    <row r="18" spans="2:6" ht="12.75" customHeight="1">
      <c r="B18" s="503" t="s">
        <v>364</v>
      </c>
      <c r="C18" s="504">
        <v>2048700</v>
      </c>
      <c r="D18" s="504">
        <v>2048700</v>
      </c>
      <c r="E18" s="504">
        <f>D18*100%</f>
        <v>2048700</v>
      </c>
      <c r="F18" s="505">
        <f t="shared" si="2"/>
        <v>100</v>
      </c>
    </row>
    <row r="19" spans="2:6" ht="12.75" customHeight="1">
      <c r="B19" s="509" t="s">
        <v>41</v>
      </c>
      <c r="C19" s="510">
        <f>C20+C21+C22</f>
        <v>243584034</v>
      </c>
      <c r="D19" s="510">
        <f>D20+D21+D22</f>
        <v>244204452</v>
      </c>
      <c r="E19" s="510">
        <f>E20+E21+E22</f>
        <v>244204452</v>
      </c>
      <c r="F19" s="511">
        <f t="shared" si="2"/>
        <v>100</v>
      </c>
    </row>
    <row r="20" spans="2:6" ht="22.5">
      <c r="B20" s="512" t="s">
        <v>79</v>
      </c>
      <c r="C20" s="504">
        <v>206406600</v>
      </c>
      <c r="D20" s="504">
        <v>206554500</v>
      </c>
      <c r="E20" s="504">
        <v>206554500</v>
      </c>
      <c r="F20" s="505">
        <f t="shared" si="2"/>
        <v>100</v>
      </c>
    </row>
    <row r="21" spans="2:6" ht="12.75" customHeight="1">
      <c r="B21" s="513" t="s">
        <v>50</v>
      </c>
      <c r="C21" s="504">
        <v>31563434</v>
      </c>
      <c r="D21" s="504">
        <v>31454500</v>
      </c>
      <c r="E21" s="504">
        <v>31454500</v>
      </c>
      <c r="F21" s="505">
        <f t="shared" si="2"/>
        <v>100</v>
      </c>
    </row>
    <row r="22" spans="2:6" ht="12.75" customHeight="1">
      <c r="B22" s="503" t="s">
        <v>138</v>
      </c>
      <c r="C22" s="504">
        <v>5614000</v>
      </c>
      <c r="D22" s="504">
        <v>6195452</v>
      </c>
      <c r="E22" s="504">
        <v>6195452</v>
      </c>
      <c r="F22" s="505">
        <f t="shared" si="2"/>
        <v>100</v>
      </c>
    </row>
    <row r="23" spans="2:6" ht="12.75" customHeight="1">
      <c r="B23" s="509" t="s">
        <v>42</v>
      </c>
      <c r="C23" s="510">
        <f>SUM(C24:C31)</f>
        <v>289515396</v>
      </c>
      <c r="D23" s="510">
        <f>SUM(D24:D31)</f>
        <v>297005701</v>
      </c>
      <c r="E23" s="510">
        <f>SUM(E24:E31)</f>
        <v>297005701</v>
      </c>
      <c r="F23" s="511">
        <f t="shared" si="2"/>
        <v>100</v>
      </c>
    </row>
    <row r="24" spans="2:6" ht="12.75" customHeight="1">
      <c r="B24" s="503" t="s">
        <v>80</v>
      </c>
      <c r="C24" s="504">
        <v>34272000</v>
      </c>
      <c r="D24" s="504">
        <v>34272000</v>
      </c>
      <c r="E24" s="504">
        <v>34272000</v>
      </c>
      <c r="F24" s="505">
        <f t="shared" si="2"/>
        <v>100</v>
      </c>
    </row>
    <row r="25" spans="2:6" ht="12.75" customHeight="1">
      <c r="B25" s="503" t="s">
        <v>81</v>
      </c>
      <c r="C25" s="504">
        <v>58526720</v>
      </c>
      <c r="D25" s="504">
        <v>59785464</v>
      </c>
      <c r="E25" s="504">
        <v>59785464</v>
      </c>
      <c r="F25" s="505">
        <f t="shared" si="2"/>
        <v>100</v>
      </c>
    </row>
    <row r="26" spans="2:6" ht="26.25" customHeight="1">
      <c r="B26" s="503" t="s">
        <v>82</v>
      </c>
      <c r="C26" s="504">
        <v>26381000</v>
      </c>
      <c r="D26" s="504">
        <v>27251000</v>
      </c>
      <c r="E26" s="504">
        <v>27251000</v>
      </c>
      <c r="F26" s="505">
        <f t="shared" si="2"/>
        <v>100</v>
      </c>
    </row>
    <row r="27" spans="2:6" ht="12.75" customHeight="1">
      <c r="B27" s="503" t="s">
        <v>54</v>
      </c>
      <c r="C27" s="504">
        <v>58482000</v>
      </c>
      <c r="D27" s="504">
        <v>58482000</v>
      </c>
      <c r="E27" s="504">
        <v>58482000</v>
      </c>
      <c r="F27" s="505">
        <f t="shared" si="2"/>
        <v>100</v>
      </c>
    </row>
    <row r="28" spans="2:6" ht="12.75" customHeight="1">
      <c r="B28" s="503" t="s">
        <v>53</v>
      </c>
      <c r="C28" s="504">
        <v>88945076</v>
      </c>
      <c r="D28" s="504">
        <v>94176637</v>
      </c>
      <c r="E28" s="504">
        <v>94176637</v>
      </c>
      <c r="F28" s="505">
        <f t="shared" si="2"/>
        <v>100</v>
      </c>
    </row>
    <row r="29" spans="2:6" ht="12.75" customHeight="1">
      <c r="B29" s="503" t="s">
        <v>365</v>
      </c>
      <c r="C29" s="504">
        <v>8838000</v>
      </c>
      <c r="D29" s="504">
        <v>8838000</v>
      </c>
      <c r="E29" s="504">
        <f>D29*100%</f>
        <v>8838000</v>
      </c>
      <c r="F29" s="505">
        <f t="shared" si="2"/>
        <v>100</v>
      </c>
    </row>
    <row r="30" spans="2:6" ht="12.75" customHeight="1">
      <c r="B30" s="503" t="s">
        <v>366</v>
      </c>
      <c r="C30" s="504">
        <v>6584600</v>
      </c>
      <c r="D30" s="504">
        <v>6584600</v>
      </c>
      <c r="E30" s="504">
        <f>D30*100%</f>
        <v>6584600</v>
      </c>
      <c r="F30" s="505">
        <f t="shared" si="2"/>
        <v>100</v>
      </c>
    </row>
    <row r="31" spans="2:6" ht="12.75" customHeight="1">
      <c r="B31" s="503" t="s">
        <v>367</v>
      </c>
      <c r="C31" s="504">
        <v>7486000</v>
      </c>
      <c r="D31" s="504">
        <v>7616000</v>
      </c>
      <c r="E31" s="504">
        <v>7616000</v>
      </c>
      <c r="F31" s="505">
        <f t="shared" si="2"/>
        <v>100</v>
      </c>
    </row>
    <row r="32" spans="2:6" ht="12.75" customHeight="1">
      <c r="B32" s="509" t="s">
        <v>55</v>
      </c>
      <c r="C32" s="510">
        <f>SUM(C33:C35)</f>
        <v>43309090</v>
      </c>
      <c r="D32" s="510">
        <f>SUM(D33:D35)</f>
        <v>45204525</v>
      </c>
      <c r="E32" s="510">
        <f>SUM(E33:E35)</f>
        <v>45204525</v>
      </c>
      <c r="F32" s="511">
        <f t="shared" si="2"/>
        <v>100</v>
      </c>
    </row>
    <row r="33" spans="2:6" ht="12.75" customHeight="1">
      <c r="B33" s="503" t="s">
        <v>60</v>
      </c>
      <c r="C33" s="504">
        <v>13829090</v>
      </c>
      <c r="D33" s="504">
        <v>13829090</v>
      </c>
      <c r="E33" s="504">
        <v>13829090</v>
      </c>
      <c r="F33" s="505">
        <f t="shared" si="2"/>
        <v>100</v>
      </c>
    </row>
    <row r="34" spans="2:6" ht="12.75" customHeight="1">
      <c r="B34" s="503" t="s">
        <v>43</v>
      </c>
      <c r="C34" s="504">
        <v>29480000</v>
      </c>
      <c r="D34" s="504">
        <v>29480000</v>
      </c>
      <c r="E34" s="504">
        <v>29480000</v>
      </c>
      <c r="F34" s="505">
        <f t="shared" si="2"/>
        <v>100</v>
      </c>
    </row>
    <row r="35" spans="2:6" ht="12.75" customHeight="1">
      <c r="B35" s="503" t="s">
        <v>156</v>
      </c>
      <c r="D35" s="504">
        <v>1895435</v>
      </c>
      <c r="E35" s="504">
        <v>1895435</v>
      </c>
      <c r="F35" s="505">
        <f t="shared" si="2"/>
        <v>100</v>
      </c>
    </row>
    <row r="36" spans="2:6" ht="12.75" customHeight="1">
      <c r="B36" s="509" t="s">
        <v>51</v>
      </c>
      <c r="C36" s="510">
        <v>-41507133</v>
      </c>
      <c r="D36" s="510">
        <v>-41507133</v>
      </c>
      <c r="E36" s="510">
        <v>-41507133</v>
      </c>
      <c r="F36" s="511">
        <f t="shared" si="2"/>
        <v>100</v>
      </c>
    </row>
    <row r="37" spans="2:6" s="514" customFormat="1" ht="30.75" customHeight="1">
      <c r="B37" s="515" t="s">
        <v>38</v>
      </c>
      <c r="C37" s="516">
        <f>C6+C19+C23+C32</f>
        <v>828336315</v>
      </c>
      <c r="D37" s="516">
        <f>D6+D19+D23+D32</f>
        <v>838866829</v>
      </c>
      <c r="E37" s="516">
        <f>E6+E19+E23+E32</f>
        <v>838866829</v>
      </c>
      <c r="F37" s="517">
        <f t="shared" si="2"/>
        <v>100</v>
      </c>
    </row>
    <row r="38" spans="1:7" ht="17.25" customHeight="1">
      <c r="A38" s="643"/>
      <c r="B38" s="643"/>
      <c r="C38" s="643"/>
      <c r="D38" s="643"/>
      <c r="E38" s="643"/>
      <c r="F38" s="643"/>
      <c r="G38" s="643"/>
    </row>
    <row r="39" spans="1:7" ht="17.25" customHeight="1">
      <c r="A39" s="518"/>
      <c r="B39" s="518"/>
      <c r="C39" s="518"/>
      <c r="D39" s="518"/>
      <c r="E39" s="518"/>
      <c r="F39" s="518"/>
      <c r="G39" s="518"/>
    </row>
    <row r="40" spans="1:7" s="522" customFormat="1" ht="17.25" customHeight="1">
      <c r="A40" s="497" t="s">
        <v>368</v>
      </c>
      <c r="B40" s="519"/>
      <c r="C40" s="520">
        <f>SUM(C42:C49)</f>
        <v>0</v>
      </c>
      <c r="D40" s="520">
        <f>D41</f>
        <v>46058315</v>
      </c>
      <c r="E40" s="520">
        <f>E41</f>
        <v>46058315</v>
      </c>
      <c r="F40" s="521">
        <f aca="true" t="shared" si="3" ref="F40:F50">ROUND(E40/D40*100,2)</f>
        <v>100</v>
      </c>
      <c r="G40" s="519"/>
    </row>
    <row r="41" spans="2:6" s="499" customFormat="1" ht="12.75" customHeight="1">
      <c r="B41" s="500" t="s">
        <v>159</v>
      </c>
      <c r="C41" s="501">
        <f>SUM(C42:C49)</f>
        <v>0</v>
      </c>
      <c r="D41" s="501">
        <f>SUM(D42:D49)</f>
        <v>46058315</v>
      </c>
      <c r="E41" s="501">
        <f>SUM(E42:E49)</f>
        <v>46058315</v>
      </c>
      <c r="F41" s="523">
        <f t="shared" si="3"/>
        <v>100</v>
      </c>
    </row>
    <row r="42" spans="1:7" s="522" customFormat="1" ht="15">
      <c r="A42" s="497"/>
      <c r="B42" s="503" t="s">
        <v>369</v>
      </c>
      <c r="C42" s="504">
        <v>0</v>
      </c>
      <c r="D42" s="504">
        <v>4237950</v>
      </c>
      <c r="E42" s="504">
        <v>4237950</v>
      </c>
      <c r="F42" s="524">
        <f t="shared" si="3"/>
        <v>100</v>
      </c>
      <c r="G42" s="519"/>
    </row>
    <row r="43" spans="1:7" s="522" customFormat="1" ht="15">
      <c r="A43" s="497"/>
      <c r="B43" s="503" t="s">
        <v>370</v>
      </c>
      <c r="C43" s="504">
        <v>0</v>
      </c>
      <c r="D43" s="504">
        <v>1400400</v>
      </c>
      <c r="E43" s="504">
        <v>1400400</v>
      </c>
      <c r="F43" s="524">
        <f t="shared" si="3"/>
        <v>100</v>
      </c>
      <c r="G43" s="519"/>
    </row>
    <row r="44" spans="1:7" s="522" customFormat="1" ht="15">
      <c r="A44" s="497"/>
      <c r="B44" s="503" t="s">
        <v>371</v>
      </c>
      <c r="C44" s="504">
        <v>0</v>
      </c>
      <c r="D44" s="504">
        <v>21839400</v>
      </c>
      <c r="E44" s="504">
        <v>21839400</v>
      </c>
      <c r="F44" s="524">
        <f t="shared" si="3"/>
        <v>100</v>
      </c>
      <c r="G44" s="519"/>
    </row>
    <row r="45" spans="1:7" s="522" customFormat="1" ht="15">
      <c r="A45" s="497"/>
      <c r="B45" s="503" t="s">
        <v>157</v>
      </c>
      <c r="C45" s="504">
        <v>0</v>
      </c>
      <c r="D45" s="504">
        <v>7647498</v>
      </c>
      <c r="E45" s="504">
        <v>7647498</v>
      </c>
      <c r="F45" s="524">
        <f t="shared" si="3"/>
        <v>100</v>
      </c>
      <c r="G45" s="519"/>
    </row>
    <row r="46" spans="1:7" s="522" customFormat="1" ht="15">
      <c r="A46" s="497"/>
      <c r="B46" s="503" t="s">
        <v>372</v>
      </c>
      <c r="C46" s="504">
        <v>0</v>
      </c>
      <c r="D46" s="504">
        <v>924000</v>
      </c>
      <c r="E46" s="504">
        <v>924000</v>
      </c>
      <c r="F46" s="524">
        <f t="shared" si="3"/>
        <v>100</v>
      </c>
      <c r="G46" s="519"/>
    </row>
    <row r="47" spans="1:7" s="522" customFormat="1" ht="15">
      <c r="A47" s="497"/>
      <c r="B47" s="503" t="s">
        <v>489</v>
      </c>
      <c r="C47" s="504">
        <v>0</v>
      </c>
      <c r="D47" s="504">
        <v>1780000</v>
      </c>
      <c r="E47" s="504">
        <v>1780000</v>
      </c>
      <c r="F47" s="524">
        <f t="shared" si="3"/>
        <v>100</v>
      </c>
      <c r="G47" s="519"/>
    </row>
    <row r="48" spans="1:7" s="522" customFormat="1" ht="15">
      <c r="A48" s="497"/>
      <c r="B48" s="503" t="s">
        <v>490</v>
      </c>
      <c r="C48" s="504">
        <v>0</v>
      </c>
      <c r="D48" s="504">
        <v>6612000</v>
      </c>
      <c r="E48" s="504">
        <v>6612000</v>
      </c>
      <c r="F48" s="524">
        <f t="shared" si="3"/>
        <v>100</v>
      </c>
      <c r="G48" s="519"/>
    </row>
    <row r="49" spans="1:7" s="522" customFormat="1" ht="15">
      <c r="A49" s="497"/>
      <c r="B49" s="503" t="s">
        <v>373</v>
      </c>
      <c r="C49" s="504">
        <v>0</v>
      </c>
      <c r="D49" s="504">
        <v>1617067</v>
      </c>
      <c r="E49" s="504">
        <v>1617067</v>
      </c>
      <c r="F49" s="524">
        <f t="shared" si="3"/>
        <v>100</v>
      </c>
      <c r="G49" s="519"/>
    </row>
    <row r="50" spans="1:6" s="529" customFormat="1" ht="31.5">
      <c r="A50" s="525"/>
      <c r="B50" s="526" t="s">
        <v>374</v>
      </c>
      <c r="C50" s="527">
        <f>C40+C37</f>
        <v>828336315</v>
      </c>
      <c r="D50" s="527">
        <f>D40+D37</f>
        <v>884925144</v>
      </c>
      <c r="E50" s="527">
        <f>E40+E37</f>
        <v>884925144</v>
      </c>
      <c r="F50" s="528">
        <f t="shared" si="3"/>
        <v>100</v>
      </c>
    </row>
    <row r="51" ht="33.75" customHeight="1"/>
    <row r="52" spans="1:7" s="522" customFormat="1" ht="17.25" customHeight="1">
      <c r="A52" s="497" t="s">
        <v>375</v>
      </c>
      <c r="B52" s="519"/>
      <c r="C52" s="520">
        <f>SUM(C53)</f>
        <v>0</v>
      </c>
      <c r="D52" s="520">
        <f>SUM(D53)</f>
        <v>128801000</v>
      </c>
      <c r="E52" s="520">
        <f>SUM(E53)</f>
        <v>128801000</v>
      </c>
      <c r="F52" s="530">
        <f aca="true" t="shared" si="4" ref="F52:F58">ROUND(E52/D52*100,2)</f>
        <v>100</v>
      </c>
      <c r="G52" s="519"/>
    </row>
    <row r="53" spans="2:6" s="499" customFormat="1" ht="12.75" customHeight="1">
      <c r="B53" s="500" t="s">
        <v>158</v>
      </c>
      <c r="C53" s="501">
        <f>SUM(C54:C57)</f>
        <v>0</v>
      </c>
      <c r="D53" s="501">
        <f>SUM(D54:D57)</f>
        <v>128801000</v>
      </c>
      <c r="E53" s="501">
        <f>SUM(E54:E57)</f>
        <v>128801000</v>
      </c>
      <c r="F53" s="502">
        <f t="shared" si="4"/>
        <v>100</v>
      </c>
    </row>
    <row r="54" spans="1:7" s="522" customFormat="1" ht="15">
      <c r="A54" s="497"/>
      <c r="B54" s="503" t="s">
        <v>376</v>
      </c>
      <c r="C54" s="504">
        <v>0</v>
      </c>
      <c r="D54" s="504">
        <v>85750000</v>
      </c>
      <c r="E54" s="504">
        <v>85750000</v>
      </c>
      <c r="F54" s="505">
        <f t="shared" si="4"/>
        <v>100</v>
      </c>
      <c r="G54" s="519"/>
    </row>
    <row r="55" spans="1:7" s="522" customFormat="1" ht="15">
      <c r="A55" s="497"/>
      <c r="B55" s="503" t="s">
        <v>377</v>
      </c>
      <c r="C55" s="504">
        <v>0</v>
      </c>
      <c r="D55" s="504">
        <v>10551000</v>
      </c>
      <c r="E55" s="504">
        <v>10551000</v>
      </c>
      <c r="F55" s="505">
        <f t="shared" si="4"/>
        <v>100</v>
      </c>
      <c r="G55" s="519"/>
    </row>
    <row r="56" spans="1:7" s="522" customFormat="1" ht="15">
      <c r="A56" s="497"/>
      <c r="B56" s="503" t="s">
        <v>491</v>
      </c>
      <c r="C56" s="504">
        <v>0</v>
      </c>
      <c r="D56" s="504">
        <v>2500000</v>
      </c>
      <c r="E56" s="504">
        <v>2500000</v>
      </c>
      <c r="F56" s="505">
        <f t="shared" si="4"/>
        <v>100</v>
      </c>
      <c r="G56" s="519"/>
    </row>
    <row r="57" spans="1:7" s="522" customFormat="1" ht="15">
      <c r="A57" s="497"/>
      <c r="B57" s="311" t="s">
        <v>378</v>
      </c>
      <c r="C57" s="504">
        <v>0</v>
      </c>
      <c r="D57" s="504">
        <v>30000000</v>
      </c>
      <c r="E57" s="504">
        <v>30000000</v>
      </c>
      <c r="F57" s="505">
        <f t="shared" si="4"/>
        <v>100</v>
      </c>
      <c r="G57" s="519"/>
    </row>
    <row r="58" spans="1:6" s="529" customFormat="1" ht="32.25" customHeight="1">
      <c r="A58" s="525"/>
      <c r="B58" s="526" t="s">
        <v>379</v>
      </c>
      <c r="C58" s="527">
        <f>C52</f>
        <v>0</v>
      </c>
      <c r="D58" s="527">
        <f>D52</f>
        <v>128801000</v>
      </c>
      <c r="E58" s="527">
        <f>E52</f>
        <v>128801000</v>
      </c>
      <c r="F58" s="531">
        <f t="shared" si="4"/>
        <v>100</v>
      </c>
    </row>
    <row r="59" spans="3:6" s="529" customFormat="1" ht="18" customHeight="1">
      <c r="C59" s="532"/>
      <c r="D59" s="532"/>
      <c r="E59" s="532"/>
      <c r="F59" s="532"/>
    </row>
    <row r="60" spans="1:7" s="522" customFormat="1" ht="15">
      <c r="A60" s="497"/>
      <c r="B60" s="503"/>
      <c r="C60" s="504"/>
      <c r="D60" s="504"/>
      <c r="E60" s="504"/>
      <c r="F60" s="504"/>
      <c r="G60" s="519"/>
    </row>
    <row r="61" spans="1:7" s="522" customFormat="1" ht="15.75">
      <c r="A61" s="497"/>
      <c r="B61" s="503"/>
      <c r="C61" s="533">
        <f>C58+C50</f>
        <v>828336315</v>
      </c>
      <c r="D61" s="533">
        <f>D58+D50</f>
        <v>1013726144</v>
      </c>
      <c r="E61" s="533">
        <f>E58+E50</f>
        <v>1013726144</v>
      </c>
      <c r="F61" s="534">
        <f>ROUND(E61/D61*100,2)</f>
        <v>100</v>
      </c>
      <c r="G61" s="519"/>
    </row>
    <row r="62" ht="12.75" customHeight="1">
      <c r="B62" s="535"/>
    </row>
    <row r="63" spans="2:6" s="498" customFormat="1" ht="12.75" customHeight="1">
      <c r="B63" s="536"/>
      <c r="C63" s="537"/>
      <c r="D63" s="537"/>
      <c r="E63" s="537"/>
      <c r="F63" s="537"/>
    </row>
    <row r="64" spans="2:6" s="498" customFormat="1" ht="12.75" customHeight="1">
      <c r="B64" s="538"/>
      <c r="C64" s="537"/>
      <c r="D64" s="537"/>
      <c r="E64" s="537"/>
      <c r="F64" s="537"/>
    </row>
    <row r="65" spans="2:6" s="498" customFormat="1" ht="12.75" customHeight="1">
      <c r="B65" s="536"/>
      <c r="C65" s="537"/>
      <c r="D65" s="537"/>
      <c r="E65" s="537"/>
      <c r="F65" s="537"/>
    </row>
    <row r="66" ht="12.75" customHeight="1"/>
  </sheetData>
  <sheetProtection/>
  <mergeCells count="2">
    <mergeCell ref="A3:F3"/>
    <mergeCell ref="A38:G38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D54"/>
  <sheetViews>
    <sheetView zoomScaleSheetLayoutView="100" zoomScalePageLayoutView="0" workbookViewId="0" topLeftCell="A1">
      <pane xSplit="1" ySplit="3" topLeftCell="BU4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4" width="12.625" style="3" customWidth="1"/>
    <col min="5" max="5" width="10.25390625" style="3" customWidth="1"/>
    <col min="6" max="6" width="10.875" style="3" customWidth="1"/>
    <col min="7" max="8" width="14.00390625" style="3" customWidth="1"/>
    <col min="9" max="9" width="10.25390625" style="3" customWidth="1"/>
    <col min="10" max="10" width="12.75390625" style="3" customWidth="1"/>
    <col min="11" max="12" width="13.25390625" style="3" customWidth="1"/>
    <col min="13" max="13" width="10.125" style="3" customWidth="1"/>
    <col min="14" max="14" width="11.25390625" style="3" customWidth="1"/>
    <col min="15" max="16" width="13.625" style="3" customWidth="1"/>
    <col min="17" max="17" width="9.625" style="3" customWidth="1"/>
    <col min="18" max="18" width="12.625" style="3" customWidth="1"/>
    <col min="19" max="20" width="13.75390625" style="3" customWidth="1"/>
    <col min="21" max="21" width="10.25390625" style="3" customWidth="1"/>
    <col min="22" max="22" width="12.625" style="3" customWidth="1"/>
    <col min="23" max="24" width="14.125" style="3" customWidth="1"/>
    <col min="25" max="25" width="9.375" style="3" customWidth="1"/>
    <col min="26" max="26" width="12.625" style="3" customWidth="1"/>
    <col min="27" max="28" width="14.125" style="3" customWidth="1"/>
    <col min="29" max="29" width="11.75390625" style="3" customWidth="1"/>
    <col min="30" max="30" width="12.625" style="3" customWidth="1"/>
    <col min="31" max="32" width="14.125" style="3" customWidth="1"/>
    <col min="33" max="33" width="11.75390625" style="3" customWidth="1"/>
    <col min="34" max="34" width="12.625" style="3" customWidth="1"/>
    <col min="35" max="36" width="14.125" style="3" customWidth="1"/>
    <col min="37" max="37" width="11.75390625" style="3" customWidth="1"/>
    <col min="38" max="38" width="12.625" style="3" customWidth="1"/>
    <col min="39" max="40" width="14.125" style="3" customWidth="1"/>
    <col min="41" max="41" width="11.75390625" style="3" customWidth="1"/>
    <col min="42" max="42" width="12.625" style="3" customWidth="1"/>
    <col min="43" max="43" width="13.375" style="3" customWidth="1"/>
    <col min="44" max="44" width="14.125" style="3" customWidth="1"/>
    <col min="45" max="46" width="11.75390625" style="3" customWidth="1"/>
    <col min="47" max="48" width="13.75390625" style="3" customWidth="1"/>
    <col min="49" max="49" width="11.00390625" style="3" customWidth="1"/>
    <col min="50" max="50" width="11.75390625" style="3" customWidth="1"/>
    <col min="51" max="52" width="13.75390625" style="3" customWidth="1"/>
    <col min="53" max="53" width="11.00390625" style="3" customWidth="1"/>
    <col min="54" max="54" width="11.75390625" style="3" customWidth="1"/>
    <col min="55" max="56" width="13.75390625" style="3" customWidth="1"/>
    <col min="57" max="57" width="11.875" style="3" customWidth="1"/>
    <col min="58" max="58" width="11.75390625" style="3" customWidth="1"/>
    <col min="59" max="60" width="13.75390625" style="3" customWidth="1"/>
    <col min="61" max="61" width="10.625" style="3" customWidth="1"/>
    <col min="62" max="62" width="11.75390625" style="3" customWidth="1"/>
    <col min="63" max="63" width="13.00390625" style="3" customWidth="1"/>
    <col min="64" max="64" width="13.75390625" style="3" customWidth="1"/>
    <col min="65" max="65" width="10.25390625" style="3" customWidth="1"/>
    <col min="66" max="66" width="12.75390625" style="58" customWidth="1"/>
    <col min="67" max="67" width="13.125" style="3" customWidth="1"/>
    <col min="68" max="68" width="13.625" style="3" customWidth="1"/>
    <col min="69" max="69" width="11.875" style="3" customWidth="1"/>
    <col min="70" max="70" width="12.75390625" style="3" customWidth="1"/>
    <col min="71" max="72" width="13.375" style="3" customWidth="1"/>
    <col min="73" max="73" width="11.75390625" style="3" customWidth="1"/>
    <col min="74" max="74" width="13.25390625" style="56" customWidth="1"/>
    <col min="75" max="76" width="13.25390625" style="3" customWidth="1"/>
    <col min="77" max="77" width="11.875" style="3" customWidth="1"/>
    <col min="78" max="78" width="13.00390625" style="3" bestFit="1" customWidth="1"/>
    <col min="79" max="80" width="13.00390625" style="3" customWidth="1"/>
    <col min="81" max="81" width="12.375" style="3" customWidth="1"/>
    <col min="82" max="16384" width="9.125" style="3" customWidth="1"/>
  </cols>
  <sheetData>
    <row r="1" ht="15.75">
      <c r="A1" s="53" t="s">
        <v>579</v>
      </c>
    </row>
    <row r="2" ht="16.5" thickBot="1">
      <c r="A2" s="55" t="s">
        <v>380</v>
      </c>
    </row>
    <row r="3" spans="1:81" s="54" customFormat="1" ht="27" customHeight="1">
      <c r="A3" s="644" t="s">
        <v>174</v>
      </c>
      <c r="B3" s="646" t="s">
        <v>56</v>
      </c>
      <c r="C3" s="647"/>
      <c r="D3" s="648"/>
      <c r="E3" s="649"/>
      <c r="F3" s="650" t="s">
        <v>121</v>
      </c>
      <c r="G3" s="651"/>
      <c r="H3" s="652"/>
      <c r="I3" s="653"/>
      <c r="J3" s="654" t="s">
        <v>67</v>
      </c>
      <c r="K3" s="655"/>
      <c r="L3" s="656"/>
      <c r="M3" s="657"/>
      <c r="N3" s="650" t="s">
        <v>39</v>
      </c>
      <c r="O3" s="651"/>
      <c r="P3" s="652"/>
      <c r="Q3" s="653"/>
      <c r="R3" s="650" t="s">
        <v>137</v>
      </c>
      <c r="S3" s="651"/>
      <c r="T3" s="652"/>
      <c r="U3" s="653"/>
      <c r="V3" s="658" t="s">
        <v>167</v>
      </c>
      <c r="W3" s="659"/>
      <c r="X3" s="660"/>
      <c r="Y3" s="661"/>
      <c r="Z3" s="658" t="s">
        <v>168</v>
      </c>
      <c r="AA3" s="659"/>
      <c r="AB3" s="660"/>
      <c r="AC3" s="661"/>
      <c r="AD3" s="658" t="s">
        <v>163</v>
      </c>
      <c r="AE3" s="659"/>
      <c r="AF3" s="660"/>
      <c r="AG3" s="661"/>
      <c r="AH3" s="658" t="s">
        <v>169</v>
      </c>
      <c r="AI3" s="659"/>
      <c r="AJ3" s="660"/>
      <c r="AK3" s="661"/>
      <c r="AL3" s="662" t="s">
        <v>170</v>
      </c>
      <c r="AM3" s="663"/>
      <c r="AN3" s="663"/>
      <c r="AO3" s="664"/>
      <c r="AP3" s="658" t="s">
        <v>164</v>
      </c>
      <c r="AQ3" s="659"/>
      <c r="AR3" s="660"/>
      <c r="AS3" s="661"/>
      <c r="AT3" s="665" t="s">
        <v>165</v>
      </c>
      <c r="AU3" s="666"/>
      <c r="AV3" s="667"/>
      <c r="AW3" s="668"/>
      <c r="AX3" s="665" t="s">
        <v>171</v>
      </c>
      <c r="AY3" s="666"/>
      <c r="AZ3" s="667"/>
      <c r="BA3" s="668"/>
      <c r="BB3" s="665" t="s">
        <v>173</v>
      </c>
      <c r="BC3" s="666"/>
      <c r="BD3" s="667"/>
      <c r="BE3" s="668"/>
      <c r="BF3" s="665" t="s">
        <v>172</v>
      </c>
      <c r="BG3" s="666"/>
      <c r="BH3" s="667"/>
      <c r="BI3" s="668"/>
      <c r="BJ3" s="665" t="s">
        <v>166</v>
      </c>
      <c r="BK3" s="666"/>
      <c r="BL3" s="667"/>
      <c r="BM3" s="668"/>
      <c r="BN3" s="669" t="s">
        <v>16</v>
      </c>
      <c r="BO3" s="670"/>
      <c r="BP3" s="671"/>
      <c r="BQ3" s="672"/>
      <c r="BR3" s="650" t="s">
        <v>34</v>
      </c>
      <c r="BS3" s="651"/>
      <c r="BT3" s="652"/>
      <c r="BU3" s="653"/>
      <c r="BV3" s="673" t="s">
        <v>127</v>
      </c>
      <c r="BW3" s="674"/>
      <c r="BX3" s="675"/>
      <c r="BY3" s="676"/>
      <c r="BZ3" s="677" t="s">
        <v>134</v>
      </c>
      <c r="CA3" s="678"/>
      <c r="CB3" s="679"/>
      <c r="CC3" s="680"/>
    </row>
    <row r="4" spans="1:81" s="54" customFormat="1" ht="39" customHeight="1" thickBot="1">
      <c r="A4" s="645"/>
      <c r="B4" s="539" t="s">
        <v>155</v>
      </c>
      <c r="C4" s="540" t="s">
        <v>494</v>
      </c>
      <c r="D4" s="540" t="s">
        <v>495</v>
      </c>
      <c r="E4" s="541" t="s">
        <v>180</v>
      </c>
      <c r="F4" s="539" t="s">
        <v>155</v>
      </c>
      <c r="G4" s="540" t="s">
        <v>494</v>
      </c>
      <c r="H4" s="540" t="s">
        <v>495</v>
      </c>
      <c r="I4" s="541" t="s">
        <v>180</v>
      </c>
      <c r="J4" s="542" t="s">
        <v>155</v>
      </c>
      <c r="K4" s="540" t="s">
        <v>494</v>
      </c>
      <c r="L4" s="540" t="s">
        <v>495</v>
      </c>
      <c r="M4" s="541" t="s">
        <v>180</v>
      </c>
      <c r="N4" s="543" t="s">
        <v>155</v>
      </c>
      <c r="O4" s="540" t="s">
        <v>494</v>
      </c>
      <c r="P4" s="540" t="s">
        <v>495</v>
      </c>
      <c r="Q4" s="541" t="s">
        <v>180</v>
      </c>
      <c r="R4" s="543" t="s">
        <v>155</v>
      </c>
      <c r="S4" s="540" t="s">
        <v>494</v>
      </c>
      <c r="T4" s="540" t="s">
        <v>495</v>
      </c>
      <c r="U4" s="541" t="s">
        <v>180</v>
      </c>
      <c r="V4" s="616" t="s">
        <v>155</v>
      </c>
      <c r="W4" s="617" t="s">
        <v>494</v>
      </c>
      <c r="X4" s="617" t="s">
        <v>495</v>
      </c>
      <c r="Y4" s="618" t="s">
        <v>180</v>
      </c>
      <c r="Z4" s="616" t="s">
        <v>155</v>
      </c>
      <c r="AA4" s="617" t="s">
        <v>494</v>
      </c>
      <c r="AB4" s="617" t="s">
        <v>495</v>
      </c>
      <c r="AC4" s="618" t="s">
        <v>180</v>
      </c>
      <c r="AD4" s="616" t="s">
        <v>155</v>
      </c>
      <c r="AE4" s="617" t="s">
        <v>494</v>
      </c>
      <c r="AF4" s="617" t="s">
        <v>495</v>
      </c>
      <c r="AG4" s="618" t="s">
        <v>180</v>
      </c>
      <c r="AH4" s="616" t="s">
        <v>155</v>
      </c>
      <c r="AI4" s="617" t="s">
        <v>494</v>
      </c>
      <c r="AJ4" s="617" t="s">
        <v>495</v>
      </c>
      <c r="AK4" s="618" t="s">
        <v>180</v>
      </c>
      <c r="AL4" s="616" t="s">
        <v>155</v>
      </c>
      <c r="AM4" s="617" t="s">
        <v>494</v>
      </c>
      <c r="AN4" s="617" t="s">
        <v>495</v>
      </c>
      <c r="AO4" s="618" t="s">
        <v>180</v>
      </c>
      <c r="AP4" s="234" t="s">
        <v>155</v>
      </c>
      <c r="AQ4" s="235" t="s">
        <v>494</v>
      </c>
      <c r="AR4" s="235" t="s">
        <v>495</v>
      </c>
      <c r="AS4" s="236" t="s">
        <v>180</v>
      </c>
      <c r="AT4" s="616" t="s">
        <v>155</v>
      </c>
      <c r="AU4" s="617" t="s">
        <v>494</v>
      </c>
      <c r="AV4" s="617" t="s">
        <v>495</v>
      </c>
      <c r="AW4" s="618" t="s">
        <v>180</v>
      </c>
      <c r="AX4" s="616" t="s">
        <v>155</v>
      </c>
      <c r="AY4" s="617" t="s">
        <v>494</v>
      </c>
      <c r="AZ4" s="617" t="s">
        <v>495</v>
      </c>
      <c r="BA4" s="618" t="s">
        <v>180</v>
      </c>
      <c r="BB4" s="616" t="s">
        <v>155</v>
      </c>
      <c r="BC4" s="617" t="s">
        <v>494</v>
      </c>
      <c r="BD4" s="617" t="s">
        <v>495</v>
      </c>
      <c r="BE4" s="618" t="s">
        <v>180</v>
      </c>
      <c r="BF4" s="616" t="s">
        <v>155</v>
      </c>
      <c r="BG4" s="617" t="s">
        <v>494</v>
      </c>
      <c r="BH4" s="617" t="s">
        <v>495</v>
      </c>
      <c r="BI4" s="618" t="s">
        <v>180</v>
      </c>
      <c r="BJ4" s="276" t="s">
        <v>155</v>
      </c>
      <c r="BK4" s="277" t="s">
        <v>494</v>
      </c>
      <c r="BL4" s="277" t="s">
        <v>495</v>
      </c>
      <c r="BM4" s="278" t="s">
        <v>180</v>
      </c>
      <c r="BN4" s="229" t="s">
        <v>155</v>
      </c>
      <c r="BO4" s="230" t="s">
        <v>494</v>
      </c>
      <c r="BP4" s="230" t="s">
        <v>495</v>
      </c>
      <c r="BQ4" s="231" t="s">
        <v>180</v>
      </c>
      <c r="BR4" s="543" t="s">
        <v>155</v>
      </c>
      <c r="BS4" s="540" t="s">
        <v>494</v>
      </c>
      <c r="BT4" s="540" t="s">
        <v>495</v>
      </c>
      <c r="BU4" s="541" t="s">
        <v>180</v>
      </c>
      <c r="BV4" s="232" t="s">
        <v>155</v>
      </c>
      <c r="BW4" s="230" t="s">
        <v>494</v>
      </c>
      <c r="BX4" s="230" t="s">
        <v>495</v>
      </c>
      <c r="BY4" s="231" t="s">
        <v>180</v>
      </c>
      <c r="BZ4" s="233" t="s">
        <v>155</v>
      </c>
      <c r="CA4" s="226" t="s">
        <v>494</v>
      </c>
      <c r="CB4" s="226" t="s">
        <v>495</v>
      </c>
      <c r="CC4" s="227" t="s">
        <v>180</v>
      </c>
    </row>
    <row r="5" spans="1:81" s="8" customFormat="1" ht="26.25" customHeight="1">
      <c r="A5" s="124" t="s">
        <v>117</v>
      </c>
      <c r="B5" s="88">
        <f>B6+B7</f>
        <v>0</v>
      </c>
      <c r="C5" s="89">
        <f>C6+C7</f>
        <v>3356740</v>
      </c>
      <c r="D5" s="89">
        <f>D6+D7</f>
        <v>3356740</v>
      </c>
      <c r="E5" s="321">
        <f>ROUND(D5/C5*100,2)</f>
        <v>100</v>
      </c>
      <c r="F5" s="88">
        <f>F6+F7</f>
        <v>0</v>
      </c>
      <c r="G5" s="89">
        <f>G6+G7</f>
        <v>51610412</v>
      </c>
      <c r="H5" s="89">
        <f>H6+H7</f>
        <v>56877887</v>
      </c>
      <c r="I5" s="321">
        <f>ROUND(H5/G5*100,2)</f>
        <v>110.21</v>
      </c>
      <c r="J5" s="88">
        <f>J6+J7</f>
        <v>0</v>
      </c>
      <c r="K5" s="89">
        <f>K6+K7</f>
        <v>618419</v>
      </c>
      <c r="L5" s="89">
        <f>L6+L7</f>
        <v>618415</v>
      </c>
      <c r="M5" s="321">
        <f>ROUND(L5/K5*100,2)</f>
        <v>100</v>
      </c>
      <c r="N5" s="88">
        <f>N6+N7</f>
        <v>0</v>
      </c>
      <c r="O5" s="89">
        <f>O6+O7</f>
        <v>8935435</v>
      </c>
      <c r="P5" s="89">
        <f>P6+P7</f>
        <v>8935435</v>
      </c>
      <c r="Q5" s="321">
        <f>ROUND(P5/O5*100,2)</f>
        <v>100</v>
      </c>
      <c r="R5" s="88">
        <f>R6+R7</f>
        <v>38220000</v>
      </c>
      <c r="S5" s="89">
        <f>S6+S7</f>
        <v>38220000</v>
      </c>
      <c r="T5" s="89">
        <f>T6+T7</f>
        <v>38206800</v>
      </c>
      <c r="U5" s="321">
        <f>ROUND(T5/S5*100,2)</f>
        <v>99.97</v>
      </c>
      <c r="V5" s="88">
        <f>V6+V7</f>
        <v>0</v>
      </c>
      <c r="W5" s="89">
        <f>W6+W7</f>
        <v>1915595</v>
      </c>
      <c r="X5" s="89">
        <f>X6+X7</f>
        <v>1890103</v>
      </c>
      <c r="Y5" s="321">
        <f>ROUND(X5/W5*100,2)</f>
        <v>98.67</v>
      </c>
      <c r="Z5" s="88">
        <f>Z6+Z7</f>
        <v>0</v>
      </c>
      <c r="AA5" s="89">
        <f>AA6+AA7</f>
        <v>0</v>
      </c>
      <c r="AB5" s="89">
        <f>AB6+AB7</f>
        <v>0</v>
      </c>
      <c r="AC5" s="321"/>
      <c r="AD5" s="88">
        <f>AD6+AD7</f>
        <v>0</v>
      </c>
      <c r="AE5" s="89">
        <f>AE6+AE7</f>
        <v>20000</v>
      </c>
      <c r="AF5" s="89">
        <f>AF6+AF7</f>
        <v>20000</v>
      </c>
      <c r="AG5" s="321">
        <f>ROUND(AF5/AE5*100,2)</f>
        <v>100</v>
      </c>
      <c r="AH5" s="88">
        <f>AH6+AH7</f>
        <v>0</v>
      </c>
      <c r="AI5" s="89">
        <f>AI6+AI7</f>
        <v>0</v>
      </c>
      <c r="AJ5" s="89">
        <f>AJ6+AJ7</f>
        <v>0</v>
      </c>
      <c r="AK5" s="321"/>
      <c r="AL5" s="88">
        <f>AL6+AL7</f>
        <v>0</v>
      </c>
      <c r="AM5" s="89">
        <f>AM6+AM7</f>
        <v>0</v>
      </c>
      <c r="AN5" s="89">
        <f>AN6+AN7</f>
        <v>0</v>
      </c>
      <c r="AO5" s="321"/>
      <c r="AP5" s="237">
        <f aca="true" t="shared" si="0" ref="AP5:AP26">V5+Z5+AD5+AH5+AL5</f>
        <v>0</v>
      </c>
      <c r="AQ5" s="238">
        <f aca="true" t="shared" si="1" ref="AQ5:AQ26">W5+AA5+AE5+AI5+AM5</f>
        <v>1935595</v>
      </c>
      <c r="AR5" s="238">
        <f aca="true" t="shared" si="2" ref="AR5:AR26">X5+AB5+AF5+AJ5+AN5</f>
        <v>1910103</v>
      </c>
      <c r="AS5" s="342"/>
      <c r="AT5" s="88">
        <f>AT6+AT7</f>
        <v>0</v>
      </c>
      <c r="AU5" s="89">
        <f>AU6+AU7</f>
        <v>1398536</v>
      </c>
      <c r="AV5" s="89">
        <f>AV6+AV7</f>
        <v>1396498</v>
      </c>
      <c r="AW5" s="321">
        <f>ROUND(AV5/AU5*100,2)</f>
        <v>99.85</v>
      </c>
      <c r="AX5" s="88">
        <f>AX6+AX7</f>
        <v>0</v>
      </c>
      <c r="AY5" s="89">
        <f>AY6+AY7</f>
        <v>0</v>
      </c>
      <c r="AZ5" s="89">
        <f>AZ6+AZ7</f>
        <v>0</v>
      </c>
      <c r="BA5" s="321"/>
      <c r="BB5" s="88">
        <f>BB6+BB7</f>
        <v>0</v>
      </c>
      <c r="BC5" s="89">
        <f>BC6+BC7</f>
        <v>0</v>
      </c>
      <c r="BD5" s="89">
        <f>BD6+BD7</f>
        <v>0</v>
      </c>
      <c r="BE5" s="321"/>
      <c r="BF5" s="88">
        <f>BF6+BF7</f>
        <v>0</v>
      </c>
      <c r="BG5" s="89">
        <f>BG6+BG7</f>
        <v>0</v>
      </c>
      <c r="BH5" s="89">
        <f>BH6+BH7</f>
        <v>0</v>
      </c>
      <c r="BI5" s="321"/>
      <c r="BJ5" s="279">
        <f aca="true" t="shared" si="3" ref="BJ5:BJ26">AT5+AX5+BF5+BB5</f>
        <v>0</v>
      </c>
      <c r="BK5" s="280">
        <f aca="true" t="shared" si="4" ref="BK5:BK26">AU5+AY5+BG5+BC5</f>
        <v>1398536</v>
      </c>
      <c r="BL5" s="280">
        <f aca="true" t="shared" si="5" ref="BL5:BL26">AV5+AZ5+BH5+BD5</f>
        <v>1396498</v>
      </c>
      <c r="BM5" s="354">
        <f>ROUND(BL5/BK5*100,2)</f>
        <v>99.85</v>
      </c>
      <c r="BN5" s="187">
        <f>BN6+BN7</f>
        <v>38220000</v>
      </c>
      <c r="BO5" s="196">
        <f>BO6+BO7</f>
        <v>106075137</v>
      </c>
      <c r="BP5" s="196">
        <f>BP6+BP7</f>
        <v>111301878</v>
      </c>
      <c r="BQ5" s="366">
        <f>ROUND(BP5/BO5*100,2)</f>
        <v>104.93</v>
      </c>
      <c r="BR5" s="88">
        <f>BR6+BR7</f>
        <v>852758777</v>
      </c>
      <c r="BS5" s="205">
        <f>BS6+BS7</f>
        <v>925735242</v>
      </c>
      <c r="BT5" s="205">
        <f>BT6+BT7</f>
        <v>924300084</v>
      </c>
      <c r="BU5" s="377">
        <f aca="true" t="shared" si="6" ref="BU5:BU16">ROUND(BT5/BS5*100,2)</f>
        <v>99.84</v>
      </c>
      <c r="BV5" s="211">
        <f>BV6+BV7</f>
        <v>890978777</v>
      </c>
      <c r="BW5" s="217">
        <f>BW6+BW7</f>
        <v>1031810379</v>
      </c>
      <c r="BX5" s="217">
        <f>BX6+BX7</f>
        <v>1035601962</v>
      </c>
      <c r="BY5" s="366">
        <f aca="true" t="shared" si="7" ref="BY5:BY16">ROUND(BX5/BW5*100,2)</f>
        <v>100.37</v>
      </c>
      <c r="BZ5" s="137">
        <f>BZ6+BZ7</f>
        <v>890978777</v>
      </c>
      <c r="CA5" s="137">
        <f>CA6+CA7</f>
        <v>1031810379</v>
      </c>
      <c r="CB5" s="137">
        <f>CB6+CB7</f>
        <v>1035601962</v>
      </c>
      <c r="CC5" s="330">
        <f aca="true" t="shared" si="8" ref="CC5:CC16">ROUND(CB5/CA5*100,2)</f>
        <v>100.37</v>
      </c>
    </row>
    <row r="6" spans="1:81" s="8" customFormat="1" ht="13.5">
      <c r="A6" s="125" t="s">
        <v>114</v>
      </c>
      <c r="B6" s="85"/>
      <c r="C6" s="47"/>
      <c r="D6" s="47"/>
      <c r="E6" s="317"/>
      <c r="F6" s="143"/>
      <c r="G6" s="47"/>
      <c r="H6" s="47"/>
      <c r="I6" s="317"/>
      <c r="J6" s="47"/>
      <c r="K6" s="47"/>
      <c r="L6" s="47"/>
      <c r="M6" s="317"/>
      <c r="N6" s="85"/>
      <c r="O6" s="143"/>
      <c r="P6" s="143"/>
      <c r="Q6" s="317"/>
      <c r="R6" s="85"/>
      <c r="S6" s="143"/>
      <c r="T6" s="143"/>
      <c r="U6" s="317"/>
      <c r="V6" s="85"/>
      <c r="W6" s="143"/>
      <c r="X6" s="143"/>
      <c r="Y6" s="317"/>
      <c r="Z6" s="85"/>
      <c r="AA6" s="143"/>
      <c r="AB6" s="143"/>
      <c r="AC6" s="317"/>
      <c r="AD6" s="85"/>
      <c r="AE6" s="143"/>
      <c r="AF6" s="143"/>
      <c r="AG6" s="317"/>
      <c r="AH6" s="85"/>
      <c r="AI6" s="143"/>
      <c r="AJ6" s="143"/>
      <c r="AK6" s="317"/>
      <c r="AL6" s="85"/>
      <c r="AM6" s="143"/>
      <c r="AN6" s="143"/>
      <c r="AO6" s="317"/>
      <c r="AP6" s="239">
        <f t="shared" si="0"/>
        <v>0</v>
      </c>
      <c r="AQ6" s="240">
        <f t="shared" si="1"/>
        <v>0</v>
      </c>
      <c r="AR6" s="240">
        <f t="shared" si="2"/>
        <v>0</v>
      </c>
      <c r="AS6" s="343"/>
      <c r="AT6" s="85"/>
      <c r="AU6" s="143"/>
      <c r="AV6" s="143"/>
      <c r="AW6" s="317"/>
      <c r="AX6" s="85"/>
      <c r="AY6" s="143"/>
      <c r="AZ6" s="143"/>
      <c r="BA6" s="317"/>
      <c r="BB6" s="85"/>
      <c r="BC6" s="143"/>
      <c r="BD6" s="143"/>
      <c r="BE6" s="317"/>
      <c r="BF6" s="85"/>
      <c r="BG6" s="143"/>
      <c r="BH6" s="143"/>
      <c r="BI6" s="317"/>
      <c r="BJ6" s="281">
        <f t="shared" si="3"/>
        <v>0</v>
      </c>
      <c r="BK6" s="282">
        <f t="shared" si="4"/>
        <v>0</v>
      </c>
      <c r="BL6" s="282">
        <f t="shared" si="5"/>
        <v>0</v>
      </c>
      <c r="BM6" s="355"/>
      <c r="BN6" s="185">
        <f aca="true" t="shared" si="9" ref="BN6:BP10">B6+F6+J6+N6+R6+BJ6+AP6</f>
        <v>0</v>
      </c>
      <c r="BO6" s="185">
        <f t="shared" si="9"/>
        <v>0</v>
      </c>
      <c r="BP6" s="185">
        <f t="shared" si="9"/>
        <v>0</v>
      </c>
      <c r="BQ6" s="367"/>
      <c r="BR6" s="85">
        <v>828336315</v>
      </c>
      <c r="BS6" s="47">
        <v>884925144</v>
      </c>
      <c r="BT6" s="47">
        <v>884925144</v>
      </c>
      <c r="BU6" s="378">
        <f t="shared" si="6"/>
        <v>100</v>
      </c>
      <c r="BV6" s="201">
        <f aca="true" t="shared" si="10" ref="BV6:BX10">BR6+BN6</f>
        <v>828336315</v>
      </c>
      <c r="BW6" s="200">
        <f t="shared" si="10"/>
        <v>884925144</v>
      </c>
      <c r="BX6" s="200">
        <f t="shared" si="10"/>
        <v>884925144</v>
      </c>
      <c r="BY6" s="367">
        <f t="shared" si="7"/>
        <v>100</v>
      </c>
      <c r="BZ6" s="134">
        <f aca="true" t="shared" si="11" ref="BZ6:CB10">BV6</f>
        <v>828336315</v>
      </c>
      <c r="CA6" s="134">
        <f t="shared" si="11"/>
        <v>884925144</v>
      </c>
      <c r="CB6" s="134">
        <f t="shared" si="11"/>
        <v>884925144</v>
      </c>
      <c r="CC6" s="332">
        <f t="shared" si="8"/>
        <v>100</v>
      </c>
    </row>
    <row r="7" spans="1:81" s="8" customFormat="1" ht="13.5">
      <c r="A7" s="125" t="s">
        <v>122</v>
      </c>
      <c r="B7" s="85"/>
      <c r="C7" s="47">
        <v>3356740</v>
      </c>
      <c r="D7" s="47">
        <v>3356740</v>
      </c>
      <c r="E7" s="317">
        <f>ROUND(D7/C7*100,2)</f>
        <v>100</v>
      </c>
      <c r="F7" s="143"/>
      <c r="G7" s="47">
        <v>51610412</v>
      </c>
      <c r="H7" s="47">
        <v>56877887</v>
      </c>
      <c r="I7" s="317">
        <f>ROUND(H7/G7*100,2)</f>
        <v>110.21</v>
      </c>
      <c r="J7" s="47"/>
      <c r="K7" s="47">
        <v>618419</v>
      </c>
      <c r="L7" s="47">
        <v>618415</v>
      </c>
      <c r="M7" s="317">
        <f>ROUND(L7/K7*100,2)</f>
        <v>100</v>
      </c>
      <c r="N7" s="85">
        <v>0</v>
      </c>
      <c r="O7" s="143">
        <v>8935435</v>
      </c>
      <c r="P7" s="143">
        <v>8935435</v>
      </c>
      <c r="Q7" s="317">
        <f>ROUND(P7/O7*100,2)</f>
        <v>100</v>
      </c>
      <c r="R7" s="85">
        <v>38220000</v>
      </c>
      <c r="S7" s="143">
        <v>38220000</v>
      </c>
      <c r="T7" s="143">
        <v>38206800</v>
      </c>
      <c r="U7" s="317">
        <f>ROUND(T7/S7*100,2)</f>
        <v>99.97</v>
      </c>
      <c r="V7" s="85"/>
      <c r="W7" s="143">
        <v>1915595</v>
      </c>
      <c r="X7" s="143">
        <v>1890103</v>
      </c>
      <c r="Y7" s="317">
        <f>ROUND(X7/W7*100,2)</f>
        <v>98.67</v>
      </c>
      <c r="Z7" s="85">
        <v>0</v>
      </c>
      <c r="AA7" s="143"/>
      <c r="AB7" s="143"/>
      <c r="AC7" s="317"/>
      <c r="AD7" s="85">
        <v>0</v>
      </c>
      <c r="AE7" s="143">
        <v>20000</v>
      </c>
      <c r="AF7" s="143">
        <v>20000</v>
      </c>
      <c r="AG7" s="317">
        <f>ROUND(AF7/AE7*100,2)</f>
        <v>100</v>
      </c>
      <c r="AH7" s="85"/>
      <c r="AI7" s="143"/>
      <c r="AJ7" s="143"/>
      <c r="AK7" s="317"/>
      <c r="AL7" s="85">
        <v>0</v>
      </c>
      <c r="AM7" s="143"/>
      <c r="AN7" s="143"/>
      <c r="AO7" s="317"/>
      <c r="AP7" s="239">
        <f t="shared" si="0"/>
        <v>0</v>
      </c>
      <c r="AQ7" s="240">
        <f t="shared" si="1"/>
        <v>1935595</v>
      </c>
      <c r="AR7" s="240">
        <f t="shared" si="2"/>
        <v>1910103</v>
      </c>
      <c r="AS7" s="343"/>
      <c r="AT7" s="85">
        <v>0</v>
      </c>
      <c r="AU7" s="143">
        <v>1398536</v>
      </c>
      <c r="AV7" s="143">
        <v>1396498</v>
      </c>
      <c r="AW7" s="317">
        <f>ROUND(AV7/AU7*100,2)</f>
        <v>99.85</v>
      </c>
      <c r="AX7" s="85">
        <v>0</v>
      </c>
      <c r="AY7" s="143"/>
      <c r="AZ7" s="143"/>
      <c r="BA7" s="317"/>
      <c r="BB7" s="85">
        <v>0</v>
      </c>
      <c r="BC7" s="143">
        <v>0</v>
      </c>
      <c r="BD7" s="143">
        <v>0</v>
      </c>
      <c r="BE7" s="317"/>
      <c r="BF7" s="85"/>
      <c r="BG7" s="143"/>
      <c r="BH7" s="143"/>
      <c r="BI7" s="317"/>
      <c r="BJ7" s="281">
        <f t="shared" si="3"/>
        <v>0</v>
      </c>
      <c r="BK7" s="282">
        <f t="shared" si="4"/>
        <v>1398536</v>
      </c>
      <c r="BL7" s="282">
        <f t="shared" si="5"/>
        <v>1396498</v>
      </c>
      <c r="BM7" s="355"/>
      <c r="BN7" s="185">
        <f t="shared" si="9"/>
        <v>38220000</v>
      </c>
      <c r="BO7" s="194">
        <f t="shared" si="9"/>
        <v>106075137</v>
      </c>
      <c r="BP7" s="194">
        <f t="shared" si="9"/>
        <v>111301878</v>
      </c>
      <c r="BQ7" s="367">
        <f>ROUND(BP7/BO7*100,2)</f>
        <v>104.93</v>
      </c>
      <c r="BR7" s="85">
        <v>24422462</v>
      </c>
      <c r="BS7" s="47">
        <f>11987454+28822644</f>
        <v>40810098</v>
      </c>
      <c r="BT7" s="47">
        <v>39374940</v>
      </c>
      <c r="BU7" s="378">
        <f t="shared" si="6"/>
        <v>96.48</v>
      </c>
      <c r="BV7" s="201">
        <f t="shared" si="10"/>
        <v>62642462</v>
      </c>
      <c r="BW7" s="200">
        <f t="shared" si="10"/>
        <v>146885235</v>
      </c>
      <c r="BX7" s="200">
        <f t="shared" si="10"/>
        <v>150676818</v>
      </c>
      <c r="BY7" s="367">
        <f t="shared" si="7"/>
        <v>102.58</v>
      </c>
      <c r="BZ7" s="134">
        <f t="shared" si="11"/>
        <v>62642462</v>
      </c>
      <c r="CA7" s="134">
        <f t="shared" si="11"/>
        <v>146885235</v>
      </c>
      <c r="CB7" s="134">
        <f t="shared" si="11"/>
        <v>150676818</v>
      </c>
      <c r="CC7" s="332">
        <f t="shared" si="8"/>
        <v>102.58</v>
      </c>
    </row>
    <row r="8" spans="1:81" s="8" customFormat="1" ht="13.5">
      <c r="A8" s="126" t="s">
        <v>69</v>
      </c>
      <c r="B8" s="86"/>
      <c r="C8" s="30"/>
      <c r="D8" s="30"/>
      <c r="E8" s="318"/>
      <c r="F8" s="144"/>
      <c r="G8" s="30"/>
      <c r="H8" s="30"/>
      <c r="I8" s="318"/>
      <c r="J8" s="30"/>
      <c r="K8" s="30"/>
      <c r="L8" s="30"/>
      <c r="M8" s="318"/>
      <c r="N8" s="86"/>
      <c r="O8" s="144"/>
      <c r="P8" s="144"/>
      <c r="Q8" s="318"/>
      <c r="R8" s="86"/>
      <c r="S8" s="144"/>
      <c r="T8" s="144"/>
      <c r="U8" s="318"/>
      <c r="V8" s="86"/>
      <c r="W8" s="144"/>
      <c r="X8" s="144"/>
      <c r="Y8" s="318"/>
      <c r="Z8" s="86"/>
      <c r="AA8" s="144"/>
      <c r="AB8" s="144"/>
      <c r="AC8" s="318"/>
      <c r="AD8" s="86"/>
      <c r="AE8" s="144"/>
      <c r="AF8" s="144"/>
      <c r="AG8" s="318"/>
      <c r="AH8" s="86"/>
      <c r="AI8" s="144"/>
      <c r="AJ8" s="144"/>
      <c r="AK8" s="318"/>
      <c r="AL8" s="86"/>
      <c r="AM8" s="144"/>
      <c r="AN8" s="144"/>
      <c r="AO8" s="318"/>
      <c r="AP8" s="241">
        <f t="shared" si="0"/>
        <v>0</v>
      </c>
      <c r="AQ8" s="242">
        <f t="shared" si="1"/>
        <v>0</v>
      </c>
      <c r="AR8" s="242">
        <f t="shared" si="2"/>
        <v>0</v>
      </c>
      <c r="AS8" s="344"/>
      <c r="AT8" s="86"/>
      <c r="AU8" s="144"/>
      <c r="AV8" s="144"/>
      <c r="AW8" s="318"/>
      <c r="AX8" s="86"/>
      <c r="AY8" s="144"/>
      <c r="AZ8" s="144"/>
      <c r="BA8" s="318"/>
      <c r="BB8" s="86"/>
      <c r="BC8" s="144"/>
      <c r="BD8" s="144"/>
      <c r="BE8" s="318"/>
      <c r="BF8" s="86"/>
      <c r="BG8" s="144"/>
      <c r="BH8" s="144"/>
      <c r="BI8" s="318"/>
      <c r="BJ8" s="283">
        <f t="shared" si="3"/>
        <v>0</v>
      </c>
      <c r="BK8" s="284">
        <f t="shared" si="4"/>
        <v>0</v>
      </c>
      <c r="BL8" s="284">
        <f t="shared" si="5"/>
        <v>0</v>
      </c>
      <c r="BM8" s="356"/>
      <c r="BN8" s="185">
        <f t="shared" si="9"/>
        <v>0</v>
      </c>
      <c r="BO8" s="194">
        <f t="shared" si="9"/>
        <v>0</v>
      </c>
      <c r="BP8" s="194">
        <f t="shared" si="9"/>
        <v>0</v>
      </c>
      <c r="BQ8" s="367"/>
      <c r="BR8" s="86">
        <v>489859309</v>
      </c>
      <c r="BS8" s="203">
        <v>489877005</v>
      </c>
      <c r="BT8" s="203">
        <v>491926428</v>
      </c>
      <c r="BU8" s="378">
        <f t="shared" si="6"/>
        <v>100.42</v>
      </c>
      <c r="BV8" s="201">
        <f t="shared" si="10"/>
        <v>489859309</v>
      </c>
      <c r="BW8" s="200">
        <f t="shared" si="10"/>
        <v>489877005</v>
      </c>
      <c r="BX8" s="200">
        <f t="shared" si="10"/>
        <v>491926428</v>
      </c>
      <c r="BY8" s="367">
        <f t="shared" si="7"/>
        <v>100.42</v>
      </c>
      <c r="BZ8" s="135">
        <f t="shared" si="11"/>
        <v>489859309</v>
      </c>
      <c r="CA8" s="135">
        <f t="shared" si="11"/>
        <v>489877005</v>
      </c>
      <c r="CB8" s="135">
        <f t="shared" si="11"/>
        <v>491926428</v>
      </c>
      <c r="CC8" s="331">
        <f t="shared" si="8"/>
        <v>100.42</v>
      </c>
    </row>
    <row r="9" spans="1:81" s="8" customFormat="1" ht="13.5">
      <c r="A9" s="126" t="s">
        <v>70</v>
      </c>
      <c r="B9" s="86">
        <v>1500000</v>
      </c>
      <c r="C9" s="30">
        <v>1500000</v>
      </c>
      <c r="D9" s="30">
        <v>1351234</v>
      </c>
      <c r="E9" s="318">
        <f>ROUND(D9/C9*100,2)</f>
        <v>90.08</v>
      </c>
      <c r="F9" s="144">
        <v>80740000</v>
      </c>
      <c r="G9" s="30">
        <v>80740000</v>
      </c>
      <c r="H9" s="30">
        <v>83235706</v>
      </c>
      <c r="I9" s="318">
        <f>ROUND(H9/G9*100,2)</f>
        <v>103.09</v>
      </c>
      <c r="J9" s="30">
        <v>4000000</v>
      </c>
      <c r="K9" s="30">
        <v>4260000</v>
      </c>
      <c r="L9" s="30">
        <v>6761476</v>
      </c>
      <c r="M9" s="318">
        <f>ROUND(L9/K9*100,2)</f>
        <v>158.72</v>
      </c>
      <c r="N9" s="86">
        <v>1700000</v>
      </c>
      <c r="O9" s="144">
        <v>2167605</v>
      </c>
      <c r="P9" s="144">
        <v>2140321</v>
      </c>
      <c r="Q9" s="318">
        <f>ROUND(P9/O9*100,2)</f>
        <v>98.74</v>
      </c>
      <c r="R9" s="86">
        <v>56233710</v>
      </c>
      <c r="S9" s="144">
        <v>56233710</v>
      </c>
      <c r="T9" s="144">
        <v>55203060</v>
      </c>
      <c r="U9" s="318">
        <f>ROUND(T9/S9*100,2)</f>
        <v>98.17</v>
      </c>
      <c r="V9" s="86">
        <v>450000</v>
      </c>
      <c r="W9" s="144">
        <v>450000</v>
      </c>
      <c r="X9" s="144">
        <v>413098</v>
      </c>
      <c r="Y9" s="318">
        <f>ROUND(X9/W9*100,2)</f>
        <v>91.8</v>
      </c>
      <c r="Z9" s="86"/>
      <c r="AA9" s="144">
        <v>28159</v>
      </c>
      <c r="AB9" s="144">
        <v>28159</v>
      </c>
      <c r="AC9" s="318">
        <f>ROUND(AB9/AA9*100,2)</f>
        <v>100</v>
      </c>
      <c r="AD9" s="86">
        <v>472000</v>
      </c>
      <c r="AE9" s="144">
        <v>500159</v>
      </c>
      <c r="AF9" s="144">
        <v>433565</v>
      </c>
      <c r="AG9" s="318">
        <f>ROUND(AF9/AE9*100,2)</f>
        <v>86.69</v>
      </c>
      <c r="AH9" s="86"/>
      <c r="AI9" s="144"/>
      <c r="AJ9" s="144"/>
      <c r="AK9" s="318"/>
      <c r="AL9" s="86"/>
      <c r="AM9" s="144"/>
      <c r="AN9" s="144"/>
      <c r="AO9" s="318"/>
      <c r="AP9" s="241">
        <f t="shared" si="0"/>
        <v>922000</v>
      </c>
      <c r="AQ9" s="242">
        <f t="shared" si="1"/>
        <v>978318</v>
      </c>
      <c r="AR9" s="242">
        <f t="shared" si="2"/>
        <v>874822</v>
      </c>
      <c r="AS9" s="344">
        <f>ROUND(AR9/AQ9*100,2)</f>
        <v>89.42</v>
      </c>
      <c r="AT9" s="86">
        <v>1400000</v>
      </c>
      <c r="AU9" s="144">
        <v>1762905</v>
      </c>
      <c r="AV9" s="144">
        <f>3015805+9</f>
        <v>3015814</v>
      </c>
      <c r="AW9" s="318">
        <f>ROUND(AV9/AU9*100,2)</f>
        <v>171.07</v>
      </c>
      <c r="AX9" s="86">
        <v>150000</v>
      </c>
      <c r="AY9" s="144">
        <v>150000</v>
      </c>
      <c r="AZ9" s="144">
        <v>195575</v>
      </c>
      <c r="BA9" s="318">
        <f>ROUND(AZ9/AY9*100,2)</f>
        <v>130.38</v>
      </c>
      <c r="BB9" s="86"/>
      <c r="BC9" s="144"/>
      <c r="BD9" s="144"/>
      <c r="BE9" s="318"/>
      <c r="BF9" s="86">
        <v>61600</v>
      </c>
      <c r="BG9" s="144">
        <v>61600</v>
      </c>
      <c r="BH9" s="144">
        <f>90660+3720</f>
        <v>94380</v>
      </c>
      <c r="BI9" s="318">
        <f>ROUND(BH9/BG9*100,2)</f>
        <v>153.21</v>
      </c>
      <c r="BJ9" s="283">
        <f t="shared" si="3"/>
        <v>1611600</v>
      </c>
      <c r="BK9" s="284">
        <f t="shared" si="4"/>
        <v>1974505</v>
      </c>
      <c r="BL9" s="284">
        <f t="shared" si="5"/>
        <v>3305769</v>
      </c>
      <c r="BM9" s="356">
        <f>ROUND(BL9/BK9*100,2)</f>
        <v>167.42</v>
      </c>
      <c r="BN9" s="185">
        <f t="shared" si="9"/>
        <v>146707310</v>
      </c>
      <c r="BO9" s="194">
        <f t="shared" si="9"/>
        <v>147854138</v>
      </c>
      <c r="BP9" s="194">
        <f t="shared" si="9"/>
        <v>152872388</v>
      </c>
      <c r="BQ9" s="367">
        <f>ROUND(BP9/BO9*100,2)</f>
        <v>103.39</v>
      </c>
      <c r="BR9" s="86">
        <v>111297880</v>
      </c>
      <c r="BS9" s="203">
        <v>149049965</v>
      </c>
      <c r="BT9" s="203">
        <v>120946870</v>
      </c>
      <c r="BU9" s="378">
        <f t="shared" si="6"/>
        <v>81.15</v>
      </c>
      <c r="BV9" s="201">
        <f t="shared" si="10"/>
        <v>258005190</v>
      </c>
      <c r="BW9" s="200">
        <f t="shared" si="10"/>
        <v>296904103</v>
      </c>
      <c r="BX9" s="200">
        <f t="shared" si="10"/>
        <v>273819258</v>
      </c>
      <c r="BY9" s="367">
        <f t="shared" si="7"/>
        <v>92.22</v>
      </c>
      <c r="BZ9" s="135">
        <f t="shared" si="11"/>
        <v>258005190</v>
      </c>
      <c r="CA9" s="135">
        <f t="shared" si="11"/>
        <v>296904103</v>
      </c>
      <c r="CB9" s="135">
        <f t="shared" si="11"/>
        <v>273819258</v>
      </c>
      <c r="CC9" s="331">
        <f t="shared" si="8"/>
        <v>92.22</v>
      </c>
    </row>
    <row r="10" spans="1:81" s="8" customFormat="1" ht="14.25" thickBot="1">
      <c r="A10" s="127" t="s">
        <v>72</v>
      </c>
      <c r="B10" s="87"/>
      <c r="C10" s="38"/>
      <c r="D10" s="38"/>
      <c r="E10" s="319"/>
      <c r="F10" s="145">
        <v>28095435</v>
      </c>
      <c r="G10" s="38">
        <v>26230486</v>
      </c>
      <c r="H10" s="38">
        <v>14158466</v>
      </c>
      <c r="I10" s="319">
        <f>ROUND(H10/G10*100,2)</f>
        <v>53.98</v>
      </c>
      <c r="J10" s="38"/>
      <c r="K10" s="38"/>
      <c r="L10" s="38"/>
      <c r="M10" s="319"/>
      <c r="N10" s="87"/>
      <c r="O10" s="145"/>
      <c r="P10" s="145"/>
      <c r="Q10" s="319"/>
      <c r="R10" s="87"/>
      <c r="S10" s="145">
        <f>R10</f>
        <v>0</v>
      </c>
      <c r="T10" s="145">
        <f>S10</f>
        <v>0</v>
      </c>
      <c r="U10" s="319"/>
      <c r="V10" s="87"/>
      <c r="W10" s="145"/>
      <c r="X10" s="145"/>
      <c r="Y10" s="319"/>
      <c r="Z10" s="87"/>
      <c r="AA10" s="145"/>
      <c r="AB10" s="145"/>
      <c r="AC10" s="319"/>
      <c r="AD10" s="87"/>
      <c r="AE10" s="145">
        <v>0</v>
      </c>
      <c r="AF10" s="145">
        <v>0</v>
      </c>
      <c r="AG10" s="319"/>
      <c r="AH10" s="87"/>
      <c r="AI10" s="145"/>
      <c r="AJ10" s="145"/>
      <c r="AK10" s="319"/>
      <c r="AL10" s="87"/>
      <c r="AM10" s="145"/>
      <c r="AN10" s="145"/>
      <c r="AO10" s="319"/>
      <c r="AP10" s="243">
        <f t="shared" si="0"/>
        <v>0</v>
      </c>
      <c r="AQ10" s="244">
        <f t="shared" si="1"/>
        <v>0</v>
      </c>
      <c r="AR10" s="244">
        <f t="shared" si="2"/>
        <v>0</v>
      </c>
      <c r="AS10" s="345"/>
      <c r="AT10" s="87"/>
      <c r="AU10" s="145"/>
      <c r="AV10" s="145"/>
      <c r="AW10" s="319"/>
      <c r="AX10" s="87"/>
      <c r="AY10" s="145"/>
      <c r="AZ10" s="145"/>
      <c r="BA10" s="319"/>
      <c r="BB10" s="87"/>
      <c r="BC10" s="145"/>
      <c r="BD10" s="145"/>
      <c r="BE10" s="319"/>
      <c r="BF10" s="87"/>
      <c r="BG10" s="145"/>
      <c r="BH10" s="145"/>
      <c r="BI10" s="319"/>
      <c r="BJ10" s="285">
        <f t="shared" si="3"/>
        <v>0</v>
      </c>
      <c r="BK10" s="286">
        <f t="shared" si="4"/>
        <v>0</v>
      </c>
      <c r="BL10" s="286">
        <f t="shared" si="5"/>
        <v>0</v>
      </c>
      <c r="BM10" s="357"/>
      <c r="BN10" s="185">
        <f t="shared" si="9"/>
        <v>28095435</v>
      </c>
      <c r="BO10" s="195">
        <f t="shared" si="9"/>
        <v>26230486</v>
      </c>
      <c r="BP10" s="195">
        <f t="shared" si="9"/>
        <v>14158466</v>
      </c>
      <c r="BQ10" s="368">
        <f>ROUND(BP10/BO10*100,2)</f>
        <v>53.98</v>
      </c>
      <c r="BR10" s="87"/>
      <c r="BS10" s="204">
        <v>1415312</v>
      </c>
      <c r="BT10" s="204">
        <v>1957041</v>
      </c>
      <c r="BU10" s="379">
        <f t="shared" si="6"/>
        <v>138.28</v>
      </c>
      <c r="BV10" s="210">
        <f t="shared" si="10"/>
        <v>28095435</v>
      </c>
      <c r="BW10" s="216">
        <f t="shared" si="10"/>
        <v>27645798</v>
      </c>
      <c r="BX10" s="216">
        <f t="shared" si="10"/>
        <v>16115507</v>
      </c>
      <c r="BY10" s="368">
        <f t="shared" si="7"/>
        <v>58.29</v>
      </c>
      <c r="BZ10" s="136">
        <f t="shared" si="11"/>
        <v>28095435</v>
      </c>
      <c r="CA10" s="136">
        <f t="shared" si="11"/>
        <v>27645798</v>
      </c>
      <c r="CB10" s="136">
        <f t="shared" si="11"/>
        <v>16115507</v>
      </c>
      <c r="CC10" s="385">
        <f t="shared" si="8"/>
        <v>58.29</v>
      </c>
    </row>
    <row r="11" spans="1:81" s="10" customFormat="1" ht="14.25" thickBot="1">
      <c r="A11" s="156" t="s">
        <v>102</v>
      </c>
      <c r="B11" s="157">
        <f>B5+B8+B9+B10</f>
        <v>1500000</v>
      </c>
      <c r="C11" s="157">
        <f>C5+C8+C9+C10</f>
        <v>4856740</v>
      </c>
      <c r="D11" s="157">
        <f>D5+D8+D9+D10</f>
        <v>4707974</v>
      </c>
      <c r="E11" s="329">
        <f>ROUND(D11/C11*100,2)</f>
        <v>96.94</v>
      </c>
      <c r="F11" s="160">
        <f>F5+F8+F9+F10</f>
        <v>108835435</v>
      </c>
      <c r="G11" s="158">
        <f>G5+G8+G9+G10</f>
        <v>158580898</v>
      </c>
      <c r="H11" s="158">
        <f>H5+H8+H9+H10</f>
        <v>154272059</v>
      </c>
      <c r="I11" s="329">
        <f>ROUND(H11/G11*100,2)</f>
        <v>97.28</v>
      </c>
      <c r="J11" s="158">
        <f>J5+J8+J9+J10</f>
        <v>4000000</v>
      </c>
      <c r="K11" s="158">
        <f>K5+K8+K9+K10</f>
        <v>4878419</v>
      </c>
      <c r="L11" s="158">
        <f>L5+L8+L9+L10</f>
        <v>7379891</v>
      </c>
      <c r="M11" s="329">
        <f>ROUND(L11/K11*100,2)</f>
        <v>151.28</v>
      </c>
      <c r="N11" s="157">
        <f>N5+N8+N9+N10</f>
        <v>1700000</v>
      </c>
      <c r="O11" s="160">
        <f>O5+O8+O9+O10</f>
        <v>11103040</v>
      </c>
      <c r="P11" s="160">
        <f>P5+P8+P9+P10</f>
        <v>11075756</v>
      </c>
      <c r="Q11" s="329">
        <f>ROUND(P11/O11*100,2)</f>
        <v>99.75</v>
      </c>
      <c r="R11" s="157">
        <f>R5+R8+R9+R10</f>
        <v>94453710</v>
      </c>
      <c r="S11" s="160">
        <f>S5+S8+S9+S10</f>
        <v>94453710</v>
      </c>
      <c r="T11" s="160">
        <f>T5+T8+T9+T10</f>
        <v>93409860</v>
      </c>
      <c r="U11" s="329">
        <f>ROUND(T11/S11*100,2)</f>
        <v>98.89</v>
      </c>
      <c r="V11" s="157">
        <f>V5+V8+V9+V10</f>
        <v>450000</v>
      </c>
      <c r="W11" s="160">
        <f>W5+W8+W9+W10</f>
        <v>2365595</v>
      </c>
      <c r="X11" s="160">
        <f>X5+X8+X9+X10</f>
        <v>2303201</v>
      </c>
      <c r="Y11" s="329">
        <f>ROUND(X11/W11*100,2)</f>
        <v>97.36</v>
      </c>
      <c r="Z11" s="157">
        <f>Z5+Z8+Z9+Z10</f>
        <v>0</v>
      </c>
      <c r="AA11" s="160">
        <f>AA5+AA8+AA9+AA10</f>
        <v>28159</v>
      </c>
      <c r="AB11" s="160">
        <f>AB5+AB8+AB9+AB10</f>
        <v>28159</v>
      </c>
      <c r="AC11" s="329">
        <f>ROUND(AB11/AA11*100,2)</f>
        <v>100</v>
      </c>
      <c r="AD11" s="157">
        <f>AD5+AD8+AD9+AD10</f>
        <v>472000</v>
      </c>
      <c r="AE11" s="160">
        <f>AE5+AE8+AE9+AE10</f>
        <v>520159</v>
      </c>
      <c r="AF11" s="160">
        <f>AF5+AF8+AF9+AF10</f>
        <v>453565</v>
      </c>
      <c r="AG11" s="329">
        <f>ROUND(AF11/AE11*100,2)</f>
        <v>87.2</v>
      </c>
      <c r="AH11" s="157">
        <f>AH5+AH8+AH9+AH10</f>
        <v>0</v>
      </c>
      <c r="AI11" s="160">
        <f>AI5+AI8+AI9+AI10</f>
        <v>0</v>
      </c>
      <c r="AJ11" s="160">
        <f>AJ5+AJ8+AJ9+AJ10</f>
        <v>0</v>
      </c>
      <c r="AK11" s="329"/>
      <c r="AL11" s="157">
        <f>AL5+AL8+AL9+AL10</f>
        <v>0</v>
      </c>
      <c r="AM11" s="160">
        <f>AM5+AM8+AM9+AM10</f>
        <v>0</v>
      </c>
      <c r="AN11" s="160">
        <f>AN5+AN8+AN9+AN10</f>
        <v>0</v>
      </c>
      <c r="AO11" s="329"/>
      <c r="AP11" s="245">
        <f t="shared" si="0"/>
        <v>922000</v>
      </c>
      <c r="AQ11" s="246">
        <f t="shared" si="1"/>
        <v>2913913</v>
      </c>
      <c r="AR11" s="246">
        <f t="shared" si="2"/>
        <v>2784925</v>
      </c>
      <c r="AS11" s="346">
        <f>ROUND(AR11/AQ11*100,2)</f>
        <v>95.57</v>
      </c>
      <c r="AT11" s="157">
        <f>AT5+AT8+AT9+AT10</f>
        <v>1400000</v>
      </c>
      <c r="AU11" s="160">
        <f>AU5+AU8+AU9+AU10</f>
        <v>3161441</v>
      </c>
      <c r="AV11" s="160">
        <f>AV5+AV8+AV9+AV10</f>
        <v>4412312</v>
      </c>
      <c r="AW11" s="329">
        <f>ROUND(AV11/AU11*100,2)</f>
        <v>139.57</v>
      </c>
      <c r="AX11" s="157">
        <f>AX5+AX8+AX9+AX10</f>
        <v>150000</v>
      </c>
      <c r="AY11" s="160">
        <f>AY5+AY8+AY9+AY10</f>
        <v>150000</v>
      </c>
      <c r="AZ11" s="160">
        <f>AZ5+AZ8+AZ9+AZ10</f>
        <v>195575</v>
      </c>
      <c r="BA11" s="329">
        <f>ROUND(AZ11/AY11*100,2)</f>
        <v>130.38</v>
      </c>
      <c r="BB11" s="157">
        <f>BB5+BB8+BB9+BB10</f>
        <v>0</v>
      </c>
      <c r="BC11" s="160">
        <f>BC5+BC8+BC9+BC10</f>
        <v>0</v>
      </c>
      <c r="BD11" s="160">
        <f>BD5+BD8+BD9+BD10</f>
        <v>0</v>
      </c>
      <c r="BE11" s="329"/>
      <c r="BF11" s="157">
        <f>BF5+BF8+BF9+BF10</f>
        <v>61600</v>
      </c>
      <c r="BG11" s="160">
        <f>BG5+BG8+BG9+BG10</f>
        <v>61600</v>
      </c>
      <c r="BH11" s="160">
        <f>BH5+BH8+BH9+BH10</f>
        <v>94380</v>
      </c>
      <c r="BI11" s="329">
        <f>ROUND(BH11/BG11*100,2)</f>
        <v>153.21</v>
      </c>
      <c r="BJ11" s="287">
        <f t="shared" si="3"/>
        <v>1611600</v>
      </c>
      <c r="BK11" s="288">
        <f t="shared" si="4"/>
        <v>3373041</v>
      </c>
      <c r="BL11" s="288">
        <f t="shared" si="5"/>
        <v>4702267</v>
      </c>
      <c r="BM11" s="358">
        <f>ROUND(BL11/BK11*100,2)</f>
        <v>139.41</v>
      </c>
      <c r="BN11" s="186">
        <f>BN5+BN8+BN9+BN10</f>
        <v>213022745</v>
      </c>
      <c r="BO11" s="192">
        <f>BO5+BO8+BO9+BO10</f>
        <v>280159761</v>
      </c>
      <c r="BP11" s="192">
        <f>BP5+BP8+BP9+BP10</f>
        <v>278332732</v>
      </c>
      <c r="BQ11" s="369">
        <f>ROUND(BP11/BO11*100,2)</f>
        <v>99.35</v>
      </c>
      <c r="BR11" s="157">
        <f>BR5+BR8+BR9+BR10</f>
        <v>1453915966</v>
      </c>
      <c r="BS11" s="178">
        <f>BS5+BS8+BS9+BS10</f>
        <v>1566077524</v>
      </c>
      <c r="BT11" s="178">
        <f>BT5+BT8+BT9+BT10</f>
        <v>1539130423</v>
      </c>
      <c r="BU11" s="340">
        <f t="shared" si="6"/>
        <v>98.28</v>
      </c>
      <c r="BV11" s="177">
        <f>BV5+BV8+BV9+BV10</f>
        <v>1666938711</v>
      </c>
      <c r="BW11" s="178">
        <f>BW5+BW8+BW9+BW10</f>
        <v>1846237285</v>
      </c>
      <c r="BX11" s="178">
        <f>BX5+BX8+BX9+BX10</f>
        <v>1817463155</v>
      </c>
      <c r="BY11" s="340">
        <f t="shared" si="7"/>
        <v>98.44</v>
      </c>
      <c r="BZ11" s="173">
        <f>BZ5+BZ8+BZ9+BZ10</f>
        <v>1666938711</v>
      </c>
      <c r="CA11" s="173">
        <f>CA5+CA8+CA9+CA10</f>
        <v>1846237285</v>
      </c>
      <c r="CB11" s="173">
        <f>CB5+CB8+CB9+CB10</f>
        <v>1817463155</v>
      </c>
      <c r="CC11" s="334">
        <f t="shared" si="8"/>
        <v>98.44</v>
      </c>
    </row>
    <row r="12" spans="1:81" s="8" customFormat="1" ht="13.5">
      <c r="A12" s="124" t="s">
        <v>84</v>
      </c>
      <c r="B12" s="88"/>
      <c r="C12" s="89">
        <v>32478274</v>
      </c>
      <c r="D12" s="89">
        <v>32478274</v>
      </c>
      <c r="E12" s="321">
        <f>ROUND(D12/C12*100,2)</f>
        <v>100</v>
      </c>
      <c r="F12" s="146"/>
      <c r="G12" s="89"/>
      <c r="H12" s="89"/>
      <c r="I12" s="321"/>
      <c r="J12" s="89"/>
      <c r="K12" s="89"/>
      <c r="L12" s="89"/>
      <c r="M12" s="321"/>
      <c r="N12" s="88"/>
      <c r="O12" s="146"/>
      <c r="P12" s="146"/>
      <c r="Q12" s="321"/>
      <c r="R12" s="88"/>
      <c r="S12" s="146"/>
      <c r="T12" s="146"/>
      <c r="U12" s="321"/>
      <c r="V12" s="88"/>
      <c r="W12" s="146"/>
      <c r="X12" s="146"/>
      <c r="Y12" s="321"/>
      <c r="Z12" s="88"/>
      <c r="AA12" s="146"/>
      <c r="AB12" s="146"/>
      <c r="AC12" s="321"/>
      <c r="AD12" s="88"/>
      <c r="AE12" s="146"/>
      <c r="AF12" s="146"/>
      <c r="AG12" s="321"/>
      <c r="AH12" s="88"/>
      <c r="AI12" s="146"/>
      <c r="AJ12" s="146"/>
      <c r="AK12" s="321"/>
      <c r="AL12" s="88"/>
      <c r="AM12" s="146"/>
      <c r="AN12" s="146"/>
      <c r="AO12" s="321"/>
      <c r="AP12" s="237">
        <f t="shared" si="0"/>
        <v>0</v>
      </c>
      <c r="AQ12" s="247">
        <f t="shared" si="1"/>
        <v>0</v>
      </c>
      <c r="AR12" s="247">
        <f t="shared" si="2"/>
        <v>0</v>
      </c>
      <c r="AS12" s="342"/>
      <c r="AT12" s="88"/>
      <c r="AU12" s="146"/>
      <c r="AV12" s="146"/>
      <c r="AW12" s="321"/>
      <c r="AX12" s="88"/>
      <c r="AY12" s="146"/>
      <c r="AZ12" s="146"/>
      <c r="BA12" s="321"/>
      <c r="BB12" s="88"/>
      <c r="BC12" s="146"/>
      <c r="BD12" s="146"/>
      <c r="BE12" s="321"/>
      <c r="BF12" s="88"/>
      <c r="BG12" s="146"/>
      <c r="BH12" s="146"/>
      <c r="BI12" s="321"/>
      <c r="BJ12" s="279">
        <f t="shared" si="3"/>
        <v>0</v>
      </c>
      <c r="BK12" s="289">
        <f t="shared" si="4"/>
        <v>0</v>
      </c>
      <c r="BL12" s="289">
        <f t="shared" si="5"/>
        <v>0</v>
      </c>
      <c r="BM12" s="354"/>
      <c r="BN12" s="187">
        <f aca="true" t="shared" si="12" ref="BN12:BP14">B12+F12+J12+N12+R12+BJ12+AP12</f>
        <v>0</v>
      </c>
      <c r="BO12" s="196">
        <f t="shared" si="12"/>
        <v>32478274</v>
      </c>
      <c r="BP12" s="196">
        <f t="shared" si="12"/>
        <v>32478274</v>
      </c>
      <c r="BQ12" s="366"/>
      <c r="BR12" s="88">
        <v>41720075</v>
      </c>
      <c r="BS12" s="205">
        <v>231380831</v>
      </c>
      <c r="BT12" s="205">
        <v>280314808</v>
      </c>
      <c r="BU12" s="377">
        <f t="shared" si="6"/>
        <v>121.15</v>
      </c>
      <c r="BV12" s="211">
        <f aca="true" t="shared" si="13" ref="BV12:BX14">BR12+BN12</f>
        <v>41720075</v>
      </c>
      <c r="BW12" s="217">
        <f t="shared" si="13"/>
        <v>263859105</v>
      </c>
      <c r="BX12" s="217">
        <f t="shared" si="13"/>
        <v>312793082</v>
      </c>
      <c r="BY12" s="366">
        <f t="shared" si="7"/>
        <v>118.55</v>
      </c>
      <c r="BZ12" s="137">
        <f aca="true" t="shared" si="14" ref="BZ12:CB14">BV12</f>
        <v>41720075</v>
      </c>
      <c r="CA12" s="137">
        <f t="shared" si="14"/>
        <v>263859105</v>
      </c>
      <c r="CB12" s="137">
        <f t="shared" si="14"/>
        <v>312793082</v>
      </c>
      <c r="CC12" s="330">
        <f t="shared" si="8"/>
        <v>118.55</v>
      </c>
    </row>
    <row r="13" spans="1:81" s="8" customFormat="1" ht="13.5">
      <c r="A13" s="128" t="s">
        <v>99</v>
      </c>
      <c r="B13" s="85"/>
      <c r="C13" s="47"/>
      <c r="D13" s="47"/>
      <c r="E13" s="317"/>
      <c r="F13" s="147"/>
      <c r="G13" s="47"/>
      <c r="H13" s="47"/>
      <c r="I13" s="317"/>
      <c r="J13" s="91"/>
      <c r="K13" s="47"/>
      <c r="L13" s="47"/>
      <c r="M13" s="317"/>
      <c r="N13" s="90"/>
      <c r="O13" s="143"/>
      <c r="P13" s="143"/>
      <c r="Q13" s="317"/>
      <c r="R13" s="90"/>
      <c r="S13" s="143"/>
      <c r="T13" s="143"/>
      <c r="U13" s="317"/>
      <c r="V13" s="90"/>
      <c r="W13" s="143"/>
      <c r="X13" s="143"/>
      <c r="Y13" s="317"/>
      <c r="Z13" s="90"/>
      <c r="AA13" s="143"/>
      <c r="AB13" s="143"/>
      <c r="AC13" s="317"/>
      <c r="AD13" s="90"/>
      <c r="AE13" s="143"/>
      <c r="AF13" s="143"/>
      <c r="AG13" s="317"/>
      <c r="AH13" s="90"/>
      <c r="AI13" s="143"/>
      <c r="AJ13" s="143"/>
      <c r="AK13" s="317"/>
      <c r="AL13" s="90"/>
      <c r="AM13" s="143"/>
      <c r="AN13" s="143"/>
      <c r="AO13" s="317"/>
      <c r="AP13" s="248">
        <f t="shared" si="0"/>
        <v>0</v>
      </c>
      <c r="AQ13" s="240">
        <f t="shared" si="1"/>
        <v>0</v>
      </c>
      <c r="AR13" s="240">
        <f t="shared" si="2"/>
        <v>0</v>
      </c>
      <c r="AS13" s="343"/>
      <c r="AT13" s="90"/>
      <c r="AU13" s="143"/>
      <c r="AV13" s="143"/>
      <c r="AW13" s="317"/>
      <c r="AX13" s="90"/>
      <c r="AY13" s="143"/>
      <c r="AZ13" s="143"/>
      <c r="BA13" s="317"/>
      <c r="BB13" s="90"/>
      <c r="BC13" s="143"/>
      <c r="BD13" s="143"/>
      <c r="BE13" s="317"/>
      <c r="BF13" s="90"/>
      <c r="BG13" s="143"/>
      <c r="BH13" s="143"/>
      <c r="BI13" s="317"/>
      <c r="BJ13" s="290">
        <f t="shared" si="3"/>
        <v>0</v>
      </c>
      <c r="BK13" s="282">
        <f t="shared" si="4"/>
        <v>0</v>
      </c>
      <c r="BL13" s="282">
        <f t="shared" si="5"/>
        <v>0</v>
      </c>
      <c r="BM13" s="355"/>
      <c r="BN13" s="187">
        <f t="shared" si="12"/>
        <v>0</v>
      </c>
      <c r="BO13" s="194">
        <f t="shared" si="12"/>
        <v>0</v>
      </c>
      <c r="BP13" s="194">
        <f t="shared" si="12"/>
        <v>0</v>
      </c>
      <c r="BQ13" s="367"/>
      <c r="BR13" s="90">
        <v>0</v>
      </c>
      <c r="BS13" s="47">
        <v>128801000</v>
      </c>
      <c r="BT13" s="47">
        <v>128801000</v>
      </c>
      <c r="BU13" s="378">
        <f t="shared" si="6"/>
        <v>100</v>
      </c>
      <c r="BV13" s="211">
        <f t="shared" si="13"/>
        <v>0</v>
      </c>
      <c r="BW13" s="200">
        <f t="shared" si="13"/>
        <v>128801000</v>
      </c>
      <c r="BX13" s="200">
        <f t="shared" si="13"/>
        <v>128801000</v>
      </c>
      <c r="BY13" s="367">
        <f t="shared" si="7"/>
        <v>100</v>
      </c>
      <c r="BZ13" s="138">
        <f t="shared" si="14"/>
        <v>0</v>
      </c>
      <c r="CA13" s="138">
        <f t="shared" si="14"/>
        <v>128801000</v>
      </c>
      <c r="CB13" s="138">
        <f t="shared" si="14"/>
        <v>128801000</v>
      </c>
      <c r="CC13" s="386">
        <f t="shared" si="8"/>
        <v>100</v>
      </c>
    </row>
    <row r="14" spans="1:81" s="8" customFormat="1" ht="13.5">
      <c r="A14" s="126" t="s">
        <v>71</v>
      </c>
      <c r="B14" s="86"/>
      <c r="C14" s="30"/>
      <c r="D14" s="30"/>
      <c r="E14" s="318"/>
      <c r="F14" s="144"/>
      <c r="G14" s="30"/>
      <c r="H14" s="30"/>
      <c r="I14" s="318"/>
      <c r="J14" s="30"/>
      <c r="K14" s="30"/>
      <c r="L14" s="30"/>
      <c r="M14" s="318"/>
      <c r="N14" s="86"/>
      <c r="O14" s="144"/>
      <c r="P14" s="144"/>
      <c r="Q14" s="318"/>
      <c r="R14" s="86"/>
      <c r="S14" s="144"/>
      <c r="T14" s="144"/>
      <c r="U14" s="318"/>
      <c r="V14" s="86"/>
      <c r="W14" s="144"/>
      <c r="X14" s="144"/>
      <c r="Y14" s="318"/>
      <c r="Z14" s="86"/>
      <c r="AA14" s="144"/>
      <c r="AB14" s="144"/>
      <c r="AC14" s="318"/>
      <c r="AD14" s="86"/>
      <c r="AE14" s="144"/>
      <c r="AF14" s="144"/>
      <c r="AG14" s="318"/>
      <c r="AH14" s="86"/>
      <c r="AI14" s="144"/>
      <c r="AJ14" s="144"/>
      <c r="AK14" s="318"/>
      <c r="AL14" s="86"/>
      <c r="AM14" s="144"/>
      <c r="AN14" s="144"/>
      <c r="AO14" s="318"/>
      <c r="AP14" s="241">
        <f t="shared" si="0"/>
        <v>0</v>
      </c>
      <c r="AQ14" s="242">
        <f t="shared" si="1"/>
        <v>0</v>
      </c>
      <c r="AR14" s="242">
        <f t="shared" si="2"/>
        <v>0</v>
      </c>
      <c r="AS14" s="344"/>
      <c r="AT14" s="86"/>
      <c r="AU14" s="144"/>
      <c r="AV14" s="144"/>
      <c r="AW14" s="318"/>
      <c r="AX14" s="86"/>
      <c r="AY14" s="144"/>
      <c r="AZ14" s="144"/>
      <c r="BA14" s="318"/>
      <c r="BB14" s="86"/>
      <c r="BC14" s="144"/>
      <c r="BD14" s="144"/>
      <c r="BE14" s="318"/>
      <c r="BF14" s="86"/>
      <c r="BG14" s="144"/>
      <c r="BH14" s="144"/>
      <c r="BI14" s="318"/>
      <c r="BJ14" s="283">
        <f t="shared" si="3"/>
        <v>0</v>
      </c>
      <c r="BK14" s="284">
        <f t="shared" si="4"/>
        <v>0</v>
      </c>
      <c r="BL14" s="284">
        <f t="shared" si="5"/>
        <v>0</v>
      </c>
      <c r="BM14" s="356"/>
      <c r="BN14" s="187">
        <f t="shared" si="12"/>
        <v>0</v>
      </c>
      <c r="BO14" s="194">
        <f t="shared" si="12"/>
        <v>0</v>
      </c>
      <c r="BP14" s="194">
        <f t="shared" si="12"/>
        <v>0</v>
      </c>
      <c r="BQ14" s="367"/>
      <c r="BR14" s="86">
        <v>205340627</v>
      </c>
      <c r="BS14" s="203">
        <v>183353173</v>
      </c>
      <c r="BT14" s="203">
        <v>188468847</v>
      </c>
      <c r="BU14" s="378">
        <f t="shared" si="6"/>
        <v>102.79</v>
      </c>
      <c r="BV14" s="201">
        <f t="shared" si="13"/>
        <v>205340627</v>
      </c>
      <c r="BW14" s="200">
        <f t="shared" si="13"/>
        <v>183353173</v>
      </c>
      <c r="BX14" s="200">
        <f t="shared" si="13"/>
        <v>188468847</v>
      </c>
      <c r="BY14" s="367">
        <f t="shared" si="7"/>
        <v>102.79</v>
      </c>
      <c r="BZ14" s="135">
        <f t="shared" si="14"/>
        <v>205340627</v>
      </c>
      <c r="CA14" s="135">
        <f t="shared" si="14"/>
        <v>183353173</v>
      </c>
      <c r="CB14" s="135">
        <f t="shared" si="14"/>
        <v>188468847</v>
      </c>
      <c r="CC14" s="331">
        <f t="shared" si="8"/>
        <v>102.79</v>
      </c>
    </row>
    <row r="15" spans="1:81" s="8" customFormat="1" ht="13.5">
      <c r="A15" s="126" t="s">
        <v>62</v>
      </c>
      <c r="B15" s="86">
        <f>SUM(B16:B17)</f>
        <v>0</v>
      </c>
      <c r="C15" s="30">
        <f>SUM(C16:C17)</f>
        <v>0</v>
      </c>
      <c r="D15" s="30">
        <f>SUM(D16:D17)</f>
        <v>0</v>
      </c>
      <c r="E15" s="318"/>
      <c r="F15" s="144">
        <f>SUM(F16:F17)</f>
        <v>1478431</v>
      </c>
      <c r="G15" s="30">
        <f>SUM(G16:G17)</f>
        <v>1478431</v>
      </c>
      <c r="H15" s="30">
        <f>SUM(H16:H17)</f>
        <v>0</v>
      </c>
      <c r="I15" s="318">
        <f>ROUND(H15/G15*100,2)</f>
        <v>0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18"/>
      <c r="N15" s="86">
        <f>SUM(N16:N17)</f>
        <v>0</v>
      </c>
      <c r="O15" s="144">
        <f>SUM(O16:O17)</f>
        <v>0</v>
      </c>
      <c r="P15" s="144">
        <f>SUM(P16:P17)</f>
        <v>0</v>
      </c>
      <c r="Q15" s="318"/>
      <c r="R15" s="86">
        <f>SUM(R16:R17)</f>
        <v>0</v>
      </c>
      <c r="S15" s="144">
        <f>SUM(S16:S17)</f>
        <v>0</v>
      </c>
      <c r="T15" s="144">
        <f>SUM(T16:T17)</f>
        <v>0</v>
      </c>
      <c r="U15" s="318"/>
      <c r="V15" s="86">
        <f>SUM(V16:V17)</f>
        <v>0</v>
      </c>
      <c r="W15" s="144">
        <f>SUM(W16:W17)</f>
        <v>0</v>
      </c>
      <c r="X15" s="144">
        <f>SUM(X16:X17)</f>
        <v>0</v>
      </c>
      <c r="Y15" s="318"/>
      <c r="Z15" s="86">
        <f>SUM(Z16:Z17)</f>
        <v>0</v>
      </c>
      <c r="AA15" s="144">
        <f>SUM(AA16:AA17)</f>
        <v>0</v>
      </c>
      <c r="AB15" s="144">
        <f>SUM(AB16:AB17)</f>
        <v>0</v>
      </c>
      <c r="AC15" s="318"/>
      <c r="AD15" s="86">
        <f>SUM(AD16:AD17)</f>
        <v>0</v>
      </c>
      <c r="AE15" s="144">
        <f>SUM(AE16:AE17)</f>
        <v>0</v>
      </c>
      <c r="AF15" s="144">
        <f>SUM(AF16:AF17)</f>
        <v>0</v>
      </c>
      <c r="AG15" s="318"/>
      <c r="AH15" s="86">
        <f>SUM(AH16:AH17)</f>
        <v>0</v>
      </c>
      <c r="AI15" s="144">
        <f>SUM(AI16:AI17)</f>
        <v>0</v>
      </c>
      <c r="AJ15" s="144">
        <f>SUM(AJ16:AJ17)</f>
        <v>0</v>
      </c>
      <c r="AK15" s="318"/>
      <c r="AL15" s="86">
        <f>SUM(AL16:AL17)</f>
        <v>0</v>
      </c>
      <c r="AM15" s="144">
        <f>SUM(AM16:AM17)</f>
        <v>0</v>
      </c>
      <c r="AN15" s="144">
        <f>SUM(AN16:AN17)</f>
        <v>0</v>
      </c>
      <c r="AO15" s="318"/>
      <c r="AP15" s="241">
        <f t="shared" si="0"/>
        <v>0</v>
      </c>
      <c r="AQ15" s="242">
        <f t="shared" si="1"/>
        <v>0</v>
      </c>
      <c r="AR15" s="242">
        <f t="shared" si="2"/>
        <v>0</v>
      </c>
      <c r="AS15" s="344"/>
      <c r="AT15" s="275">
        <f>SUM(AT16:AT17)</f>
        <v>0</v>
      </c>
      <c r="AU15" s="144">
        <f>SUM(AU16:AU17)</f>
        <v>0</v>
      </c>
      <c r="AV15" s="144">
        <f>SUM(AV16:AV17)</f>
        <v>0</v>
      </c>
      <c r="AW15" s="318"/>
      <c r="AX15" s="275">
        <f>SUM(AX16:AX17)</f>
        <v>0</v>
      </c>
      <c r="AY15" s="30">
        <f>SUM(AY16:AY17)</f>
        <v>0</v>
      </c>
      <c r="AZ15" s="144">
        <f>SUM(AZ16:AZ17)</f>
        <v>0</v>
      </c>
      <c r="BA15" s="318"/>
      <c r="BB15" s="275">
        <f>SUM(BB16:BB17)</f>
        <v>0</v>
      </c>
      <c r="BC15" s="30">
        <f>SUM(BC16:BC17)</f>
        <v>0</v>
      </c>
      <c r="BD15" s="144">
        <f>SUM(BD16:BD17)</f>
        <v>0</v>
      </c>
      <c r="BE15" s="318"/>
      <c r="BF15" s="275">
        <f>SUM(BF16:BF17)</f>
        <v>0</v>
      </c>
      <c r="BG15" s="144">
        <f>SUM(BG16:BG17)</f>
        <v>0</v>
      </c>
      <c r="BH15" s="144">
        <f>SUM(BH16:BH17)</f>
        <v>0</v>
      </c>
      <c r="BI15" s="318"/>
      <c r="BJ15" s="283">
        <f t="shared" si="3"/>
        <v>0</v>
      </c>
      <c r="BK15" s="284">
        <f t="shared" si="4"/>
        <v>0</v>
      </c>
      <c r="BL15" s="284">
        <f t="shared" si="5"/>
        <v>0</v>
      </c>
      <c r="BM15" s="356"/>
      <c r="BN15" s="185">
        <f>SUM(BN16:BN17)</f>
        <v>1478431</v>
      </c>
      <c r="BO15" s="194">
        <f>SUM(BO16:BO17)</f>
        <v>1478431</v>
      </c>
      <c r="BP15" s="194">
        <f>SUM(BP16:BP17)</f>
        <v>0</v>
      </c>
      <c r="BQ15" s="367"/>
      <c r="BR15" s="86">
        <f>SUM(BR16:BR17)</f>
        <v>12815928</v>
      </c>
      <c r="BS15" s="203">
        <f>SUM(BS16:BS17)</f>
        <v>13704928</v>
      </c>
      <c r="BT15" s="203">
        <f>SUM(BT16:BT17)</f>
        <v>25838929</v>
      </c>
      <c r="BU15" s="378">
        <f t="shared" si="6"/>
        <v>188.54</v>
      </c>
      <c r="BV15" s="201">
        <f>SUM(BV16:BV17)</f>
        <v>14294359</v>
      </c>
      <c r="BW15" s="200">
        <f>SUM(BW16:BW17)</f>
        <v>15183359</v>
      </c>
      <c r="BX15" s="200">
        <f>SUM(BX16:BX17)</f>
        <v>25838929</v>
      </c>
      <c r="BY15" s="367">
        <f t="shared" si="7"/>
        <v>170.18</v>
      </c>
      <c r="BZ15" s="135">
        <f>SUM(BZ16:BZ17)</f>
        <v>14294359</v>
      </c>
      <c r="CA15" s="135">
        <f>SUM(CA16:CA17)</f>
        <v>15183359</v>
      </c>
      <c r="CB15" s="135">
        <f>SUM(CB16:CB17)</f>
        <v>25838929</v>
      </c>
      <c r="CC15" s="331">
        <f t="shared" si="8"/>
        <v>170.18</v>
      </c>
    </row>
    <row r="16" spans="1:81" s="8" customFormat="1" ht="26.25">
      <c r="A16" s="129" t="s">
        <v>128</v>
      </c>
      <c r="B16" s="85"/>
      <c r="C16" s="47"/>
      <c r="D16" s="47"/>
      <c r="E16" s="317"/>
      <c r="F16" s="143"/>
      <c r="G16" s="47"/>
      <c r="H16" s="47"/>
      <c r="I16" s="317"/>
      <c r="J16" s="47"/>
      <c r="K16" s="47"/>
      <c r="L16" s="47"/>
      <c r="M16" s="317"/>
      <c r="N16" s="85"/>
      <c r="O16" s="143"/>
      <c r="P16" s="143"/>
      <c r="Q16" s="317"/>
      <c r="R16" s="85"/>
      <c r="S16" s="143"/>
      <c r="T16" s="143"/>
      <c r="U16" s="317"/>
      <c r="V16" s="85"/>
      <c r="W16" s="143"/>
      <c r="X16" s="143"/>
      <c r="Y16" s="317"/>
      <c r="Z16" s="85"/>
      <c r="AA16" s="143"/>
      <c r="AB16" s="143"/>
      <c r="AC16" s="317"/>
      <c r="AD16" s="85"/>
      <c r="AE16" s="143"/>
      <c r="AF16" s="143"/>
      <c r="AG16" s="317"/>
      <c r="AH16" s="85"/>
      <c r="AI16" s="143"/>
      <c r="AJ16" s="143"/>
      <c r="AK16" s="317"/>
      <c r="AL16" s="85"/>
      <c r="AM16" s="143"/>
      <c r="AN16" s="143"/>
      <c r="AO16" s="317"/>
      <c r="AP16" s="239">
        <f t="shared" si="0"/>
        <v>0</v>
      </c>
      <c r="AQ16" s="240">
        <f t="shared" si="1"/>
        <v>0</v>
      </c>
      <c r="AR16" s="240">
        <f t="shared" si="2"/>
        <v>0</v>
      </c>
      <c r="AS16" s="343"/>
      <c r="AT16" s="85"/>
      <c r="AU16" s="143"/>
      <c r="AV16" s="143"/>
      <c r="AW16" s="317"/>
      <c r="AX16" s="85"/>
      <c r="AY16" s="143"/>
      <c r="AZ16" s="143"/>
      <c r="BA16" s="317"/>
      <c r="BB16" s="85"/>
      <c r="BC16" s="143"/>
      <c r="BD16" s="143"/>
      <c r="BE16" s="317"/>
      <c r="BF16" s="85"/>
      <c r="BG16" s="143"/>
      <c r="BH16" s="143"/>
      <c r="BI16" s="317"/>
      <c r="BJ16" s="281">
        <f t="shared" si="3"/>
        <v>0</v>
      </c>
      <c r="BK16" s="282">
        <f t="shared" si="4"/>
        <v>0</v>
      </c>
      <c r="BL16" s="282">
        <f t="shared" si="5"/>
        <v>0</v>
      </c>
      <c r="BM16" s="355"/>
      <c r="BN16" s="185">
        <f aca="true" t="shared" si="15" ref="BN16:BP17">B16+F16+J16+N16+R16+BJ16+AP16</f>
        <v>0</v>
      </c>
      <c r="BO16" s="194">
        <f t="shared" si="15"/>
        <v>0</v>
      </c>
      <c r="BP16" s="194">
        <f t="shared" si="15"/>
        <v>0</v>
      </c>
      <c r="BQ16" s="367"/>
      <c r="BR16" s="85">
        <v>12815928</v>
      </c>
      <c r="BS16" s="47">
        <v>13704928</v>
      </c>
      <c r="BT16" s="47">
        <v>18283538</v>
      </c>
      <c r="BU16" s="378">
        <f t="shared" si="6"/>
        <v>133.41</v>
      </c>
      <c r="BV16" s="201">
        <f aca="true" t="shared" si="16" ref="BV16:BX17">BR16+BN16</f>
        <v>12815928</v>
      </c>
      <c r="BW16" s="200">
        <f t="shared" si="16"/>
        <v>13704928</v>
      </c>
      <c r="BX16" s="200">
        <f t="shared" si="16"/>
        <v>18283538</v>
      </c>
      <c r="BY16" s="367">
        <f t="shared" si="7"/>
        <v>133.41</v>
      </c>
      <c r="BZ16" s="134">
        <f aca="true" t="shared" si="17" ref="BZ16:CB17">BV16</f>
        <v>12815928</v>
      </c>
      <c r="CA16" s="134">
        <f t="shared" si="17"/>
        <v>13704928</v>
      </c>
      <c r="CB16" s="134">
        <f t="shared" si="17"/>
        <v>18283538</v>
      </c>
      <c r="CC16" s="332">
        <f t="shared" si="8"/>
        <v>133.41</v>
      </c>
    </row>
    <row r="17" spans="1:81" s="8" customFormat="1" ht="14.25" thickBot="1">
      <c r="A17" s="129" t="s">
        <v>129</v>
      </c>
      <c r="B17" s="92"/>
      <c r="C17" s="93"/>
      <c r="D17" s="93"/>
      <c r="E17" s="323"/>
      <c r="F17" s="148">
        <v>1478431</v>
      </c>
      <c r="G17" s="93">
        <v>1478431</v>
      </c>
      <c r="H17" s="93"/>
      <c r="I17" s="323"/>
      <c r="J17" s="93"/>
      <c r="K17" s="93"/>
      <c r="L17" s="93"/>
      <c r="M17" s="323"/>
      <c r="N17" s="92"/>
      <c r="O17" s="148"/>
      <c r="P17" s="148"/>
      <c r="Q17" s="323"/>
      <c r="R17" s="92"/>
      <c r="S17" s="148"/>
      <c r="T17" s="148"/>
      <c r="U17" s="323"/>
      <c r="V17" s="92"/>
      <c r="W17" s="148"/>
      <c r="X17" s="148"/>
      <c r="Y17" s="323"/>
      <c r="Z17" s="92"/>
      <c r="AA17" s="148"/>
      <c r="AB17" s="148"/>
      <c r="AC17" s="323"/>
      <c r="AD17" s="92"/>
      <c r="AE17" s="148"/>
      <c r="AF17" s="148"/>
      <c r="AG17" s="323"/>
      <c r="AH17" s="92"/>
      <c r="AI17" s="148"/>
      <c r="AJ17" s="148"/>
      <c r="AK17" s="323"/>
      <c r="AL17" s="92"/>
      <c r="AM17" s="148"/>
      <c r="AN17" s="148"/>
      <c r="AO17" s="323"/>
      <c r="AP17" s="249">
        <f t="shared" si="0"/>
        <v>0</v>
      </c>
      <c r="AQ17" s="250">
        <f t="shared" si="1"/>
        <v>0</v>
      </c>
      <c r="AR17" s="250">
        <f t="shared" si="2"/>
        <v>0</v>
      </c>
      <c r="AS17" s="347"/>
      <c r="AT17" s="92"/>
      <c r="AU17" s="148"/>
      <c r="AV17" s="148"/>
      <c r="AW17" s="323"/>
      <c r="AX17" s="92"/>
      <c r="AY17" s="148"/>
      <c r="AZ17" s="148"/>
      <c r="BA17" s="323"/>
      <c r="BB17" s="92"/>
      <c r="BC17" s="148"/>
      <c r="BD17" s="148"/>
      <c r="BE17" s="323"/>
      <c r="BF17" s="92"/>
      <c r="BG17" s="148"/>
      <c r="BH17" s="148"/>
      <c r="BI17" s="323"/>
      <c r="BJ17" s="291">
        <f t="shared" si="3"/>
        <v>0</v>
      </c>
      <c r="BK17" s="292">
        <f t="shared" si="4"/>
        <v>0</v>
      </c>
      <c r="BL17" s="292">
        <f t="shared" si="5"/>
        <v>0</v>
      </c>
      <c r="BM17" s="359"/>
      <c r="BN17" s="185">
        <f t="shared" si="15"/>
        <v>1478431</v>
      </c>
      <c r="BO17" s="195">
        <f t="shared" si="15"/>
        <v>1478431</v>
      </c>
      <c r="BP17" s="195">
        <f t="shared" si="15"/>
        <v>0</v>
      </c>
      <c r="BQ17" s="368"/>
      <c r="BR17" s="92">
        <v>0</v>
      </c>
      <c r="BS17" s="93">
        <v>0</v>
      </c>
      <c r="BT17" s="93">
        <v>7555391</v>
      </c>
      <c r="BU17" s="379"/>
      <c r="BV17" s="210">
        <f t="shared" si="16"/>
        <v>1478431</v>
      </c>
      <c r="BW17" s="216">
        <f t="shared" si="16"/>
        <v>1478431</v>
      </c>
      <c r="BX17" s="216">
        <f t="shared" si="16"/>
        <v>7555391</v>
      </c>
      <c r="BY17" s="368"/>
      <c r="BZ17" s="139">
        <f t="shared" si="17"/>
        <v>1478431</v>
      </c>
      <c r="CA17" s="139">
        <f t="shared" si="17"/>
        <v>1478431</v>
      </c>
      <c r="CB17" s="139">
        <f t="shared" si="17"/>
        <v>7555391</v>
      </c>
      <c r="CC17" s="387"/>
    </row>
    <row r="18" spans="1:81" s="10" customFormat="1" ht="14.25" customHeight="1" thickBot="1">
      <c r="A18" s="156" t="s">
        <v>103</v>
      </c>
      <c r="B18" s="157">
        <f>B15+B14+B12</f>
        <v>0</v>
      </c>
      <c r="C18" s="157">
        <f>C15+C14+C12</f>
        <v>32478274</v>
      </c>
      <c r="D18" s="157">
        <f>D15+D14+D12</f>
        <v>32478274</v>
      </c>
      <c r="E18" s="329">
        <f>ROUND(D18/C18*100,2)</f>
        <v>100</v>
      </c>
      <c r="F18" s="160">
        <f>F15+F14+F12</f>
        <v>1478431</v>
      </c>
      <c r="G18" s="158">
        <f>G15+G14+G12</f>
        <v>1478431</v>
      </c>
      <c r="H18" s="158">
        <f>H15+H14+H12</f>
        <v>0</v>
      </c>
      <c r="I18" s="329"/>
      <c r="J18" s="158">
        <f>J15+J14+J12</f>
        <v>0</v>
      </c>
      <c r="K18" s="158">
        <f>K15+K14+K12</f>
        <v>0</v>
      </c>
      <c r="L18" s="158">
        <f>L15+L14+L12</f>
        <v>0</v>
      </c>
      <c r="M18" s="329"/>
      <c r="N18" s="157">
        <f>N15+N14+N12</f>
        <v>0</v>
      </c>
      <c r="O18" s="160">
        <f>O15+O14+O12</f>
        <v>0</v>
      </c>
      <c r="P18" s="160">
        <f>P15+P14+P12</f>
        <v>0</v>
      </c>
      <c r="Q18" s="329"/>
      <c r="R18" s="157">
        <f>R15+R14+R12</f>
        <v>0</v>
      </c>
      <c r="S18" s="160">
        <f>S15+S14+S12</f>
        <v>0</v>
      </c>
      <c r="T18" s="160">
        <f>T15+T14+T12</f>
        <v>0</v>
      </c>
      <c r="U18" s="329"/>
      <c r="V18" s="157">
        <f>V15+V14+V12</f>
        <v>0</v>
      </c>
      <c r="W18" s="160">
        <f>W15+W14+W12</f>
        <v>0</v>
      </c>
      <c r="X18" s="160">
        <f>X15+X14+X12</f>
        <v>0</v>
      </c>
      <c r="Y18" s="329"/>
      <c r="Z18" s="157">
        <f>Z15+Z14+Z12</f>
        <v>0</v>
      </c>
      <c r="AA18" s="160">
        <f>AA15+AA14+AA12</f>
        <v>0</v>
      </c>
      <c r="AB18" s="160">
        <f>AB15+AB14+AB12</f>
        <v>0</v>
      </c>
      <c r="AC18" s="329"/>
      <c r="AD18" s="157">
        <f>AD15+AD14+AD12</f>
        <v>0</v>
      </c>
      <c r="AE18" s="160">
        <f>AE15+AE14+AE12</f>
        <v>0</v>
      </c>
      <c r="AF18" s="160">
        <f>AF15+AF14+AF12</f>
        <v>0</v>
      </c>
      <c r="AG18" s="329"/>
      <c r="AH18" s="157">
        <f>AH15+AH14+AH12</f>
        <v>0</v>
      </c>
      <c r="AI18" s="160">
        <f>AI15+AI14+AI12</f>
        <v>0</v>
      </c>
      <c r="AJ18" s="160">
        <f>AJ15+AJ14+AJ12</f>
        <v>0</v>
      </c>
      <c r="AK18" s="329"/>
      <c r="AL18" s="157">
        <f>AL15+AL14+AL12</f>
        <v>0</v>
      </c>
      <c r="AM18" s="160">
        <f>AM15+AM14+AM12</f>
        <v>0</v>
      </c>
      <c r="AN18" s="160">
        <f>AN15+AN14+AN12</f>
        <v>0</v>
      </c>
      <c r="AO18" s="329"/>
      <c r="AP18" s="245">
        <f t="shared" si="0"/>
        <v>0</v>
      </c>
      <c r="AQ18" s="246">
        <f t="shared" si="1"/>
        <v>0</v>
      </c>
      <c r="AR18" s="246">
        <f t="shared" si="2"/>
        <v>0</v>
      </c>
      <c r="AS18" s="346"/>
      <c r="AT18" s="157">
        <f>AT15+AT14+AT12</f>
        <v>0</v>
      </c>
      <c r="AU18" s="160">
        <f>AU15+AU14+AU12</f>
        <v>0</v>
      </c>
      <c r="AV18" s="160">
        <f>AV15+AV14+AV12</f>
        <v>0</v>
      </c>
      <c r="AW18" s="329"/>
      <c r="AX18" s="157">
        <f>AX15+AX14+AX12</f>
        <v>0</v>
      </c>
      <c r="AY18" s="160">
        <f>AY15+AY14+AY12</f>
        <v>0</v>
      </c>
      <c r="AZ18" s="160">
        <f>AZ15+AZ14+AZ12</f>
        <v>0</v>
      </c>
      <c r="BA18" s="329"/>
      <c r="BB18" s="157">
        <f>BB15+BB14+BB12</f>
        <v>0</v>
      </c>
      <c r="BC18" s="160">
        <f>BC15+BC14+BC12</f>
        <v>0</v>
      </c>
      <c r="BD18" s="160">
        <f>BD15+BD14+BD12</f>
        <v>0</v>
      </c>
      <c r="BE18" s="329"/>
      <c r="BF18" s="157">
        <f>BF15+BF14+BF12</f>
        <v>0</v>
      </c>
      <c r="BG18" s="160">
        <f>BG15+BG14+BG12</f>
        <v>0</v>
      </c>
      <c r="BH18" s="160">
        <f>BH15+BH14+BH12</f>
        <v>0</v>
      </c>
      <c r="BI18" s="329"/>
      <c r="BJ18" s="287">
        <f t="shared" si="3"/>
        <v>0</v>
      </c>
      <c r="BK18" s="288">
        <f t="shared" si="4"/>
        <v>0</v>
      </c>
      <c r="BL18" s="288">
        <f t="shared" si="5"/>
        <v>0</v>
      </c>
      <c r="BM18" s="358"/>
      <c r="BN18" s="186">
        <f>BN15+BN14+BN12</f>
        <v>1478431</v>
      </c>
      <c r="BO18" s="192">
        <f>BO15+BO14+BO12</f>
        <v>33956705</v>
      </c>
      <c r="BP18" s="192">
        <f>BP15+BP14+BP12</f>
        <v>32478274</v>
      </c>
      <c r="BQ18" s="369"/>
      <c r="BR18" s="157">
        <f>BR15+BR14+BR12</f>
        <v>259876630</v>
      </c>
      <c r="BS18" s="178">
        <f>BS15+BS14+BS12</f>
        <v>428438932</v>
      </c>
      <c r="BT18" s="178">
        <f>BT15+BT14+BT12</f>
        <v>494622584</v>
      </c>
      <c r="BU18" s="340">
        <f>ROUND(BT18/BS18*100,2)</f>
        <v>115.45</v>
      </c>
      <c r="BV18" s="177">
        <f>BV15+BV14+BV12</f>
        <v>261355061</v>
      </c>
      <c r="BW18" s="178">
        <f>BW15+BW14+BW12</f>
        <v>462395637</v>
      </c>
      <c r="BX18" s="178">
        <f>BX15+BX14+BX12</f>
        <v>527100858</v>
      </c>
      <c r="BY18" s="340">
        <f aca="true" t="shared" si="18" ref="BY18:BY23">ROUND(BX18/BW18*100,2)</f>
        <v>113.99</v>
      </c>
      <c r="BZ18" s="173">
        <f>BZ15+BZ14+BZ12</f>
        <v>261355061</v>
      </c>
      <c r="CA18" s="173">
        <f>CA15+CA14+CA12</f>
        <v>462395637</v>
      </c>
      <c r="CB18" s="173">
        <f>CB15+CB14+CB12</f>
        <v>527100858</v>
      </c>
      <c r="CC18" s="334">
        <f>ROUND(CB18/CA18*100,2)</f>
        <v>113.99</v>
      </c>
    </row>
    <row r="19" spans="1:81" s="10" customFormat="1" ht="15.75" customHeight="1" thickBot="1">
      <c r="A19" s="162" t="s">
        <v>101</v>
      </c>
      <c r="B19" s="157">
        <f>B18+B11</f>
        <v>1500000</v>
      </c>
      <c r="C19" s="157">
        <f>C18+C11</f>
        <v>37335014</v>
      </c>
      <c r="D19" s="157">
        <f>D18+D11</f>
        <v>37186248</v>
      </c>
      <c r="E19" s="329">
        <f>ROUND(D19/C19*100,2)</f>
        <v>99.6</v>
      </c>
      <c r="F19" s="163">
        <f>F18+F11</f>
        <v>110313866</v>
      </c>
      <c r="G19" s="158">
        <f>G18+G11</f>
        <v>160059329</v>
      </c>
      <c r="H19" s="158">
        <f>H18+H11</f>
        <v>154272059</v>
      </c>
      <c r="I19" s="329">
        <f>ROUND(H19/G19*100,2)</f>
        <v>96.38</v>
      </c>
      <c r="J19" s="164">
        <f>J18+J11</f>
        <v>4000000</v>
      </c>
      <c r="K19" s="158">
        <f>K18+K11</f>
        <v>4878419</v>
      </c>
      <c r="L19" s="158">
        <f>L18+L11</f>
        <v>7379891</v>
      </c>
      <c r="M19" s="329">
        <f>ROUND(L19/K19*100,2)</f>
        <v>151.28</v>
      </c>
      <c r="N19" s="166">
        <f>N18+N11</f>
        <v>1700000</v>
      </c>
      <c r="O19" s="160">
        <f>O18+O11</f>
        <v>11103040</v>
      </c>
      <c r="P19" s="160">
        <f>P18+P11</f>
        <v>11075756</v>
      </c>
      <c r="Q19" s="329">
        <f>ROUND(P19/O19*100,2)</f>
        <v>99.75</v>
      </c>
      <c r="R19" s="166">
        <f>R18+R11</f>
        <v>94453710</v>
      </c>
      <c r="S19" s="160">
        <f>S18+S11</f>
        <v>94453710</v>
      </c>
      <c r="T19" s="160">
        <f>T18+T11</f>
        <v>93409860</v>
      </c>
      <c r="U19" s="329">
        <f>ROUND(T19/S19*100,2)</f>
        <v>98.89</v>
      </c>
      <c r="V19" s="166">
        <f>V18+V11</f>
        <v>450000</v>
      </c>
      <c r="W19" s="160">
        <f>W18+W11</f>
        <v>2365595</v>
      </c>
      <c r="X19" s="160">
        <f>X18+X11</f>
        <v>2303201</v>
      </c>
      <c r="Y19" s="329">
        <f>ROUND(X19/W19*100,2)</f>
        <v>97.36</v>
      </c>
      <c r="Z19" s="166">
        <f>Z18+Z11</f>
        <v>0</v>
      </c>
      <c r="AA19" s="160">
        <f>AA18+AA11</f>
        <v>28159</v>
      </c>
      <c r="AB19" s="160">
        <f>AB18+AB11</f>
        <v>28159</v>
      </c>
      <c r="AC19" s="329"/>
      <c r="AD19" s="166">
        <f>AD18+AD11</f>
        <v>472000</v>
      </c>
      <c r="AE19" s="160">
        <f>AE18+AE11</f>
        <v>520159</v>
      </c>
      <c r="AF19" s="160">
        <f>AF18+AF11</f>
        <v>453565</v>
      </c>
      <c r="AG19" s="329">
        <f>ROUND(AF19/AE19*100,2)</f>
        <v>87.2</v>
      </c>
      <c r="AH19" s="166">
        <f>AH18+AH11</f>
        <v>0</v>
      </c>
      <c r="AI19" s="160">
        <f>AI18+AI11</f>
        <v>0</v>
      </c>
      <c r="AJ19" s="160">
        <f>AJ18+AJ11</f>
        <v>0</v>
      </c>
      <c r="AK19" s="329"/>
      <c r="AL19" s="166">
        <f>AL18+AL11</f>
        <v>0</v>
      </c>
      <c r="AM19" s="160">
        <f>AM18+AM11</f>
        <v>0</v>
      </c>
      <c r="AN19" s="160">
        <f>AN18+AN11</f>
        <v>0</v>
      </c>
      <c r="AO19" s="329"/>
      <c r="AP19" s="251">
        <f t="shared" si="0"/>
        <v>922000</v>
      </c>
      <c r="AQ19" s="246">
        <f t="shared" si="1"/>
        <v>2913913</v>
      </c>
      <c r="AR19" s="246">
        <f t="shared" si="2"/>
        <v>2784925</v>
      </c>
      <c r="AS19" s="346">
        <f>ROUND(AR19/AQ19*100,2)</f>
        <v>95.57</v>
      </c>
      <c r="AT19" s="166">
        <f>AT18+AT11</f>
        <v>1400000</v>
      </c>
      <c r="AU19" s="160">
        <f>AU18+AU11</f>
        <v>3161441</v>
      </c>
      <c r="AV19" s="160">
        <f>AV18+AV11</f>
        <v>4412312</v>
      </c>
      <c r="AW19" s="329">
        <f>ROUND(AV19/AU19*100,2)</f>
        <v>139.57</v>
      </c>
      <c r="AX19" s="166">
        <f>AX18+AX11</f>
        <v>150000</v>
      </c>
      <c r="AY19" s="160">
        <f>AY18+AY11</f>
        <v>150000</v>
      </c>
      <c r="AZ19" s="160">
        <f>AZ18+AZ11</f>
        <v>195575</v>
      </c>
      <c r="BA19" s="329">
        <f>ROUND(AZ19/AY19*100,2)</f>
        <v>130.38</v>
      </c>
      <c r="BB19" s="166">
        <f>BB18+BB11</f>
        <v>0</v>
      </c>
      <c r="BC19" s="160">
        <f>BC18+BC11</f>
        <v>0</v>
      </c>
      <c r="BD19" s="160">
        <f>BD18+BD11</f>
        <v>0</v>
      </c>
      <c r="BE19" s="329"/>
      <c r="BF19" s="166">
        <f>BF18+BF11</f>
        <v>61600</v>
      </c>
      <c r="BG19" s="160">
        <f>BG18+BG11</f>
        <v>61600</v>
      </c>
      <c r="BH19" s="160">
        <f>BH18+BH11</f>
        <v>94380</v>
      </c>
      <c r="BI19" s="329">
        <f>ROUND(BH19/BG19*100,2)</f>
        <v>153.21</v>
      </c>
      <c r="BJ19" s="293">
        <f t="shared" si="3"/>
        <v>1611600</v>
      </c>
      <c r="BK19" s="288">
        <f t="shared" si="4"/>
        <v>3373041</v>
      </c>
      <c r="BL19" s="288">
        <f t="shared" si="5"/>
        <v>4702267</v>
      </c>
      <c r="BM19" s="358">
        <f>ROUND(BL19/BK19*100,2)</f>
        <v>139.41</v>
      </c>
      <c r="BN19" s="188">
        <f>BN18+BN11</f>
        <v>214501176</v>
      </c>
      <c r="BO19" s="192">
        <f>BO18+BO11</f>
        <v>314116466</v>
      </c>
      <c r="BP19" s="192">
        <f>BP18+BP11</f>
        <v>310811006</v>
      </c>
      <c r="BQ19" s="369">
        <f>ROUND(BP19/BO19*100,2)</f>
        <v>98.95</v>
      </c>
      <c r="BR19" s="166">
        <f>BR18+BR11</f>
        <v>1713792596</v>
      </c>
      <c r="BS19" s="178">
        <f>BS18+BS11</f>
        <v>1994516456</v>
      </c>
      <c r="BT19" s="178">
        <f>BT18+BT11</f>
        <v>2033753007</v>
      </c>
      <c r="BU19" s="340">
        <f>ROUND(BT19/BS19*100,2)</f>
        <v>101.97</v>
      </c>
      <c r="BV19" s="212">
        <f>BV18+BV11</f>
        <v>1928293772</v>
      </c>
      <c r="BW19" s="178">
        <f>BW18+BW11</f>
        <v>2308632922</v>
      </c>
      <c r="BX19" s="178">
        <f>BX18+BX11</f>
        <v>2344564013</v>
      </c>
      <c r="BY19" s="340">
        <f t="shared" si="18"/>
        <v>101.56</v>
      </c>
      <c r="BZ19" s="175">
        <f>BZ18+BZ11</f>
        <v>1928293772</v>
      </c>
      <c r="CA19" s="175">
        <f>CA18+CA11</f>
        <v>2308632922</v>
      </c>
      <c r="CB19" s="175">
        <f>CB18+CB11</f>
        <v>2344564013</v>
      </c>
      <c r="CC19" s="336">
        <f>ROUND(CB19/CA19*100,2)</f>
        <v>101.56</v>
      </c>
    </row>
    <row r="20" spans="1:81" s="8" customFormat="1" ht="13.5">
      <c r="A20" s="130" t="s">
        <v>68</v>
      </c>
      <c r="B20" s="84">
        <f>SUM(B21:B22)</f>
        <v>0</v>
      </c>
      <c r="C20" s="31">
        <f>SUM(C21:C22)</f>
        <v>178626</v>
      </c>
      <c r="D20" s="31">
        <f>SUM(D21:D22)</f>
        <v>178626</v>
      </c>
      <c r="E20" s="316">
        <f>ROUND(D20/C20*100,2)</f>
        <v>100</v>
      </c>
      <c r="F20" s="142">
        <f>SUM(F21:F22)</f>
        <v>0</v>
      </c>
      <c r="G20" s="31">
        <f>SUM(G21:G22)</f>
        <v>13173309</v>
      </c>
      <c r="H20" s="31">
        <f>SUM(H21:H22)</f>
        <v>13173309</v>
      </c>
      <c r="I20" s="316">
        <f>ROUND(H20/G20*100,2)</f>
        <v>100</v>
      </c>
      <c r="J20" s="31">
        <f>SUM(J21:J22)</f>
        <v>0</v>
      </c>
      <c r="K20" s="31">
        <f>SUM(K21:K22)</f>
        <v>10137507</v>
      </c>
      <c r="L20" s="31">
        <f>SUM(L21:L22)</f>
        <v>10137507</v>
      </c>
      <c r="M20" s="316">
        <f>ROUND(L20/K20*100,2)</f>
        <v>100</v>
      </c>
      <c r="N20" s="84">
        <f>SUM(N21:N22)</f>
        <v>16000000</v>
      </c>
      <c r="O20" s="142">
        <f>SUM(O21:O22)</f>
        <v>17165396</v>
      </c>
      <c r="P20" s="142">
        <f>SUM(P21:P22)</f>
        <v>17165396</v>
      </c>
      <c r="Q20" s="316">
        <f>ROUND(P20/O20*100,2)</f>
        <v>100</v>
      </c>
      <c r="R20" s="84">
        <f>SUM(R21:R22)</f>
        <v>0</v>
      </c>
      <c r="S20" s="142">
        <f>SUM(S21:S22)</f>
        <v>8636768</v>
      </c>
      <c r="T20" s="142">
        <f>SUM(T21:T22)</f>
        <v>8636768</v>
      </c>
      <c r="U20" s="316">
        <f>ROUND(T20/S20*100,2)</f>
        <v>100</v>
      </c>
      <c r="V20" s="84">
        <f>SUM(V21:V22)</f>
        <v>0</v>
      </c>
      <c r="W20" s="142">
        <f>SUM(W21:W22)</f>
        <v>4603502</v>
      </c>
      <c r="X20" s="142">
        <f>SUM(X21:X22)</f>
        <v>4603502</v>
      </c>
      <c r="Y20" s="316">
        <f>ROUND(X20/W20*100,2)</f>
        <v>100</v>
      </c>
      <c r="Z20" s="84">
        <f>SUM(Z21:Z22)</f>
        <v>0</v>
      </c>
      <c r="AA20" s="142">
        <f>SUM(AA21:AA22)</f>
        <v>796843</v>
      </c>
      <c r="AB20" s="142">
        <f>SUM(AB21:AB22)</f>
        <v>796843</v>
      </c>
      <c r="AC20" s="316">
        <f>ROUND(AB20/AA20*100,2)</f>
        <v>100</v>
      </c>
      <c r="AD20" s="84">
        <f>SUM(AD21:AD22)</f>
        <v>0</v>
      </c>
      <c r="AE20" s="142">
        <f>SUM(AE21:AE22)</f>
        <v>3404677</v>
      </c>
      <c r="AF20" s="142">
        <f>SUM(AF21:AF22)</f>
        <v>3404677</v>
      </c>
      <c r="AG20" s="316">
        <f>ROUND(AF20/AE20*100,2)</f>
        <v>100</v>
      </c>
      <c r="AH20" s="84">
        <f>SUM(AH21:AH22)</f>
        <v>0</v>
      </c>
      <c r="AI20" s="142">
        <f>SUM(AI21:AI22)</f>
        <v>1848434</v>
      </c>
      <c r="AJ20" s="142">
        <f>SUM(AJ21:AJ22)</f>
        <v>1848434</v>
      </c>
      <c r="AK20" s="316">
        <f>ROUND(AJ20/AI20*100,2)</f>
        <v>100</v>
      </c>
      <c r="AL20" s="84">
        <f>SUM(AL21:AL22)</f>
        <v>0</v>
      </c>
      <c r="AM20" s="142">
        <f>SUM(AM21:AM22)</f>
        <v>1454934</v>
      </c>
      <c r="AN20" s="142">
        <f>SUM(AN21:AN22)</f>
        <v>1454934</v>
      </c>
      <c r="AO20" s="316">
        <f>ROUND(AN20/AM20*100,2)</f>
        <v>100</v>
      </c>
      <c r="AP20" s="252">
        <f t="shared" si="0"/>
        <v>0</v>
      </c>
      <c r="AQ20" s="253">
        <f t="shared" si="1"/>
        <v>12108390</v>
      </c>
      <c r="AR20" s="253">
        <f t="shared" si="2"/>
        <v>12108390</v>
      </c>
      <c r="AS20" s="348">
        <f>ROUND(AR20/AQ20*100,2)</f>
        <v>100</v>
      </c>
      <c r="AT20" s="84">
        <f>SUM(AT21:AT22)</f>
        <v>0</v>
      </c>
      <c r="AU20" s="142">
        <f>SUM(AU21:AU22)</f>
        <v>4488003</v>
      </c>
      <c r="AV20" s="142">
        <f>SUM(AV21:AV22)</f>
        <v>4488003</v>
      </c>
      <c r="AW20" s="316">
        <f>ROUND(AV20/AU20*100,2)</f>
        <v>100</v>
      </c>
      <c r="AX20" s="84">
        <f>SUM(AX21:AX22)</f>
        <v>0</v>
      </c>
      <c r="AY20" s="142">
        <f>SUM(AY21:AY22)</f>
        <v>963255</v>
      </c>
      <c r="AZ20" s="142">
        <f>SUM(AZ21:AZ22)</f>
        <v>963255</v>
      </c>
      <c r="BA20" s="316">
        <f>ROUND(AZ20/AY20*100,2)</f>
        <v>100</v>
      </c>
      <c r="BB20" s="84">
        <f>SUM(BB21:BB22)</f>
        <v>0</v>
      </c>
      <c r="BC20" s="142">
        <f>SUM(BC21:BC22)</f>
        <v>1180425</v>
      </c>
      <c r="BD20" s="142">
        <f>SUM(BD21:BD22)</f>
        <v>1180425</v>
      </c>
      <c r="BE20" s="316">
        <f>ROUND(BD20/BC20*100,2)</f>
        <v>100</v>
      </c>
      <c r="BF20" s="84">
        <f>SUM(BF21:BF22)</f>
        <v>0</v>
      </c>
      <c r="BG20" s="142">
        <f>SUM(BG21:BG22)</f>
        <v>1059947</v>
      </c>
      <c r="BH20" s="142">
        <f>SUM(BH21:BH22)</f>
        <v>1059947</v>
      </c>
      <c r="BI20" s="316">
        <f>ROUND(BH20/BG20*100,2)</f>
        <v>100</v>
      </c>
      <c r="BJ20" s="294">
        <f t="shared" si="3"/>
        <v>0</v>
      </c>
      <c r="BK20" s="295">
        <f t="shared" si="4"/>
        <v>7691630</v>
      </c>
      <c r="BL20" s="295">
        <f t="shared" si="5"/>
        <v>7691630</v>
      </c>
      <c r="BM20" s="360">
        <f>ROUND(BL20/BK20*100,2)</f>
        <v>100</v>
      </c>
      <c r="BN20" s="184">
        <f>SUM(BN21:BN22)</f>
        <v>16000000</v>
      </c>
      <c r="BO20" s="193">
        <f>SUM(BO21:BO22)</f>
        <v>69091626</v>
      </c>
      <c r="BP20" s="193">
        <f>SUM(BP21:BP22)</f>
        <v>69091626</v>
      </c>
      <c r="BQ20" s="370">
        <f>ROUND(BP20/BO20*100,2)</f>
        <v>100</v>
      </c>
      <c r="BR20" s="84">
        <f>SUM(BR21:BR22)</f>
        <v>1353911367</v>
      </c>
      <c r="BS20" s="202">
        <f>SUM(BS21:BS22)</f>
        <v>1398082216</v>
      </c>
      <c r="BT20" s="202">
        <f>SUM(BT21:BT22)</f>
        <v>1398082216</v>
      </c>
      <c r="BU20" s="380">
        <f>ROUND(BT20/BS20*100,2)</f>
        <v>100</v>
      </c>
      <c r="BV20" s="209">
        <f>SUM(BV21:BV22)</f>
        <v>1369911367</v>
      </c>
      <c r="BW20" s="215">
        <f>SUM(BW21:BW22)</f>
        <v>1467173842</v>
      </c>
      <c r="BX20" s="215">
        <f>SUM(BX21:BX22)</f>
        <v>1467173842</v>
      </c>
      <c r="BY20" s="370">
        <f t="shared" si="18"/>
        <v>100</v>
      </c>
      <c r="BZ20" s="133">
        <f>SUM(BZ21:BZ22)</f>
        <v>1369911367</v>
      </c>
      <c r="CA20" s="133">
        <f>SUM(CA21:CA22)</f>
        <v>1467173842</v>
      </c>
      <c r="CB20" s="133">
        <f>SUM(CB21:CB22)</f>
        <v>1467173842</v>
      </c>
      <c r="CC20" s="388">
        <f>ROUND(CB20/CA20*100,2)</f>
        <v>100</v>
      </c>
    </row>
    <row r="21" spans="1:81" s="8" customFormat="1" ht="13.5">
      <c r="A21" s="128" t="s">
        <v>104</v>
      </c>
      <c r="B21" s="85"/>
      <c r="C21" s="47">
        <v>178626</v>
      </c>
      <c r="D21" s="47">
        <v>178626</v>
      </c>
      <c r="E21" s="317">
        <f>ROUND(D21/C21*100,2)</f>
        <v>100</v>
      </c>
      <c r="F21" s="143"/>
      <c r="G21" s="47">
        <v>13173309</v>
      </c>
      <c r="H21" s="47">
        <v>13173309</v>
      </c>
      <c r="I21" s="317">
        <f>ROUND(H21/G21*100,2)</f>
        <v>100</v>
      </c>
      <c r="J21" s="47"/>
      <c r="K21" s="47">
        <v>10137507</v>
      </c>
      <c r="L21" s="47">
        <v>10137507</v>
      </c>
      <c r="M21" s="317">
        <f>ROUND(L21/K21*100,2)</f>
        <v>100</v>
      </c>
      <c r="N21" s="85">
        <v>16000000</v>
      </c>
      <c r="O21" s="143">
        <v>17165396</v>
      </c>
      <c r="P21" s="143">
        <v>17165396</v>
      </c>
      <c r="Q21" s="317">
        <f>ROUND(P21/O21*100,2)</f>
        <v>100</v>
      </c>
      <c r="R21" s="85"/>
      <c r="S21" s="143">
        <v>8636768</v>
      </c>
      <c r="T21" s="143">
        <v>8636768</v>
      </c>
      <c r="U21" s="317">
        <f>ROUND(T21/S21*100,2)</f>
        <v>100</v>
      </c>
      <c r="V21" s="85"/>
      <c r="W21" s="143">
        <v>4603502</v>
      </c>
      <c r="X21" s="143">
        <v>4603502</v>
      </c>
      <c r="Y21" s="317">
        <f>ROUND(X21/W21*100,2)</f>
        <v>100</v>
      </c>
      <c r="Z21" s="85"/>
      <c r="AA21" s="143">
        <v>796843</v>
      </c>
      <c r="AB21" s="143">
        <v>796843</v>
      </c>
      <c r="AC21" s="317">
        <f>ROUND(AB21/AA21*100,2)</f>
        <v>100</v>
      </c>
      <c r="AD21" s="85"/>
      <c r="AE21" s="143">
        <v>3404677</v>
      </c>
      <c r="AF21" s="143">
        <v>3404677</v>
      </c>
      <c r="AG21" s="317">
        <f>ROUND(AF21/AE21*100,2)</f>
        <v>100</v>
      </c>
      <c r="AH21" s="85"/>
      <c r="AI21" s="143">
        <v>1848434</v>
      </c>
      <c r="AJ21" s="143">
        <v>1848434</v>
      </c>
      <c r="AK21" s="317">
        <f>ROUND(AJ21/AI21*100,2)</f>
        <v>100</v>
      </c>
      <c r="AL21" s="85"/>
      <c r="AM21" s="143">
        <v>1454934</v>
      </c>
      <c r="AN21" s="143">
        <v>1454934</v>
      </c>
      <c r="AO21" s="317">
        <f>ROUND(AN21/AM21*100,2)</f>
        <v>100</v>
      </c>
      <c r="AP21" s="239">
        <f t="shared" si="0"/>
        <v>0</v>
      </c>
      <c r="AQ21" s="240">
        <f t="shared" si="1"/>
        <v>12108390</v>
      </c>
      <c r="AR21" s="240">
        <f t="shared" si="2"/>
        <v>12108390</v>
      </c>
      <c r="AS21" s="343">
        <f>ROUND(AR21/AQ21*100,2)</f>
        <v>100</v>
      </c>
      <c r="AT21" s="85"/>
      <c r="AU21" s="143">
        <v>4488003</v>
      </c>
      <c r="AV21" s="143">
        <v>4488003</v>
      </c>
      <c r="AW21" s="317">
        <f>ROUND(AV21/AU21*100,2)</f>
        <v>100</v>
      </c>
      <c r="AX21" s="85"/>
      <c r="AY21" s="143">
        <v>963255</v>
      </c>
      <c r="AZ21" s="143">
        <v>963255</v>
      </c>
      <c r="BA21" s="317">
        <f>ROUND(AZ21/AY21*100,2)</f>
        <v>100</v>
      </c>
      <c r="BB21" s="85"/>
      <c r="BC21" s="143">
        <v>1180425</v>
      </c>
      <c r="BD21" s="143">
        <v>1180425</v>
      </c>
      <c r="BE21" s="317"/>
      <c r="BF21" s="85"/>
      <c r="BG21" s="143">
        <v>1059947</v>
      </c>
      <c r="BH21" s="143">
        <v>1059947</v>
      </c>
      <c r="BI21" s="317"/>
      <c r="BJ21" s="281">
        <f t="shared" si="3"/>
        <v>0</v>
      </c>
      <c r="BK21" s="282">
        <f t="shared" si="4"/>
        <v>7691630</v>
      </c>
      <c r="BL21" s="282">
        <f t="shared" si="5"/>
        <v>7691630</v>
      </c>
      <c r="BM21" s="355"/>
      <c r="BN21" s="185">
        <f aca="true" t="shared" si="19" ref="BN21:BP24">B21+F21+J21+N21+R21+BJ21+AP21</f>
        <v>16000000</v>
      </c>
      <c r="BO21" s="194">
        <f t="shared" si="19"/>
        <v>69091626</v>
      </c>
      <c r="BP21" s="194">
        <f t="shared" si="19"/>
        <v>69091626</v>
      </c>
      <c r="BQ21" s="367">
        <f>ROUND(BP21/BO21*100,2)</f>
        <v>100</v>
      </c>
      <c r="BR21" s="85">
        <v>213179577</v>
      </c>
      <c r="BS21" s="47">
        <v>258607245</v>
      </c>
      <c r="BT21" s="47">
        <v>258607245</v>
      </c>
      <c r="BU21" s="378">
        <f>ROUND(BT21/BS21*100,2)</f>
        <v>100</v>
      </c>
      <c r="BV21" s="201">
        <f aca="true" t="shared" si="20" ref="BV21:BX24">BR21+BN21</f>
        <v>229179577</v>
      </c>
      <c r="BW21" s="200">
        <f t="shared" si="20"/>
        <v>327698871</v>
      </c>
      <c r="BX21" s="200">
        <f t="shared" si="20"/>
        <v>327698871</v>
      </c>
      <c r="BY21" s="367">
        <f t="shared" si="18"/>
        <v>100</v>
      </c>
      <c r="BZ21" s="134">
        <f aca="true" t="shared" si="21" ref="BZ21:CB22">BV21</f>
        <v>229179577</v>
      </c>
      <c r="CA21" s="134">
        <f t="shared" si="21"/>
        <v>327698871</v>
      </c>
      <c r="CB21" s="134">
        <f t="shared" si="21"/>
        <v>327698871</v>
      </c>
      <c r="CC21" s="332">
        <f>ROUND(CB21/CA21*100,2)</f>
        <v>100</v>
      </c>
    </row>
    <row r="22" spans="1:81" s="8" customFormat="1" ht="13.5">
      <c r="A22" s="131" t="s">
        <v>105</v>
      </c>
      <c r="B22" s="85"/>
      <c r="C22" s="47"/>
      <c r="D22" s="47"/>
      <c r="E22" s="317"/>
      <c r="F22" s="148"/>
      <c r="G22" s="47"/>
      <c r="H22" s="47"/>
      <c r="I22" s="317"/>
      <c r="J22" s="93"/>
      <c r="K22" s="47"/>
      <c r="L22" s="47"/>
      <c r="M22" s="317"/>
      <c r="N22" s="92"/>
      <c r="O22" s="143"/>
      <c r="P22" s="143"/>
      <c r="Q22" s="317"/>
      <c r="R22" s="92"/>
      <c r="S22" s="143"/>
      <c r="T22" s="143"/>
      <c r="U22" s="317"/>
      <c r="V22" s="92"/>
      <c r="W22" s="143"/>
      <c r="X22" s="143"/>
      <c r="Y22" s="317"/>
      <c r="Z22" s="92"/>
      <c r="AA22" s="143"/>
      <c r="AB22" s="143"/>
      <c r="AC22" s="317"/>
      <c r="AD22" s="92"/>
      <c r="AE22" s="143"/>
      <c r="AF22" s="143"/>
      <c r="AG22" s="317"/>
      <c r="AH22" s="92"/>
      <c r="AI22" s="143"/>
      <c r="AJ22" s="143"/>
      <c r="AK22" s="317"/>
      <c r="AL22" s="92"/>
      <c r="AM22" s="143"/>
      <c r="AN22" s="143"/>
      <c r="AO22" s="317"/>
      <c r="AP22" s="249">
        <f t="shared" si="0"/>
        <v>0</v>
      </c>
      <c r="AQ22" s="240">
        <f t="shared" si="1"/>
        <v>0</v>
      </c>
      <c r="AR22" s="240">
        <f t="shared" si="2"/>
        <v>0</v>
      </c>
      <c r="AS22" s="343"/>
      <c r="AT22" s="92"/>
      <c r="AU22" s="143"/>
      <c r="AV22" s="143"/>
      <c r="AW22" s="317"/>
      <c r="AX22" s="92"/>
      <c r="AY22" s="143"/>
      <c r="AZ22" s="143"/>
      <c r="BA22" s="317"/>
      <c r="BB22" s="92"/>
      <c r="BC22" s="143"/>
      <c r="BD22" s="143"/>
      <c r="BE22" s="317"/>
      <c r="BF22" s="92"/>
      <c r="BG22" s="143"/>
      <c r="BH22" s="143"/>
      <c r="BI22" s="317"/>
      <c r="BJ22" s="291">
        <f t="shared" si="3"/>
        <v>0</v>
      </c>
      <c r="BK22" s="282">
        <f t="shared" si="4"/>
        <v>0</v>
      </c>
      <c r="BL22" s="282">
        <f t="shared" si="5"/>
        <v>0</v>
      </c>
      <c r="BM22" s="355"/>
      <c r="BN22" s="189">
        <f t="shared" si="19"/>
        <v>0</v>
      </c>
      <c r="BO22" s="194">
        <f t="shared" si="19"/>
        <v>0</v>
      </c>
      <c r="BP22" s="194">
        <f t="shared" si="19"/>
        <v>0</v>
      </c>
      <c r="BQ22" s="367"/>
      <c r="BR22" s="92">
        <v>1140731790</v>
      </c>
      <c r="BS22" s="47">
        <v>1139474971</v>
      </c>
      <c r="BT22" s="47">
        <v>1139474971</v>
      </c>
      <c r="BU22" s="378">
        <f>ROUND(BT22/BS22*100,2)</f>
        <v>100</v>
      </c>
      <c r="BV22" s="210">
        <f t="shared" si="20"/>
        <v>1140731790</v>
      </c>
      <c r="BW22" s="200">
        <f t="shared" si="20"/>
        <v>1139474971</v>
      </c>
      <c r="BX22" s="200">
        <f t="shared" si="20"/>
        <v>1139474971</v>
      </c>
      <c r="BY22" s="367">
        <f t="shared" si="18"/>
        <v>100</v>
      </c>
      <c r="BZ22" s="139">
        <f t="shared" si="21"/>
        <v>1140731790</v>
      </c>
      <c r="CA22" s="139">
        <f t="shared" si="21"/>
        <v>1139474971</v>
      </c>
      <c r="CB22" s="139">
        <f t="shared" si="21"/>
        <v>1139474971</v>
      </c>
      <c r="CC22" s="387">
        <f>ROUND(CB22/CA22*100,2)</f>
        <v>100</v>
      </c>
    </row>
    <row r="23" spans="1:81" s="8" customFormat="1" ht="14.25" thickBot="1">
      <c r="A23" s="132" t="s">
        <v>126</v>
      </c>
      <c r="B23" s="94">
        <v>41898470</v>
      </c>
      <c r="C23" s="95">
        <v>46317519</v>
      </c>
      <c r="D23" s="95">
        <v>46335073</v>
      </c>
      <c r="E23" s="327">
        <f>ROUND(D23/C23*100,2)</f>
        <v>100.04</v>
      </c>
      <c r="F23" s="149">
        <v>68918613</v>
      </c>
      <c r="G23" s="95">
        <v>51617033</v>
      </c>
      <c r="H23" s="95">
        <v>49614635</v>
      </c>
      <c r="I23" s="327">
        <f>ROUND(H23/G23*100,2)</f>
        <v>96.12</v>
      </c>
      <c r="J23" s="95">
        <v>45831543</v>
      </c>
      <c r="K23" s="95">
        <v>49809074</v>
      </c>
      <c r="L23" s="95">
        <v>49814657</v>
      </c>
      <c r="M23" s="327">
        <f>ROUND(L23/K23*100,2)</f>
        <v>100.01</v>
      </c>
      <c r="N23" s="94">
        <v>311480037</v>
      </c>
      <c r="O23" s="149">
        <v>311199143</v>
      </c>
      <c r="P23" s="149">
        <v>311283929</v>
      </c>
      <c r="Q23" s="327">
        <f>ROUND(P23/O23*100,2)</f>
        <v>100.03</v>
      </c>
      <c r="R23" s="94">
        <v>139824343</v>
      </c>
      <c r="S23" s="149">
        <v>168399293</v>
      </c>
      <c r="T23" s="149">
        <v>168515663</v>
      </c>
      <c r="U23" s="327">
        <f>ROUND(T23/S23*100,2)</f>
        <v>100.07</v>
      </c>
      <c r="V23" s="94">
        <v>85586981</v>
      </c>
      <c r="W23" s="149">
        <v>85236039</v>
      </c>
      <c r="X23" s="149">
        <f>85236039+39100</f>
        <v>85275139</v>
      </c>
      <c r="Y23" s="327">
        <f>ROUND(X23/W23*100,2)</f>
        <v>100.05</v>
      </c>
      <c r="Z23" s="94">
        <v>27521589</v>
      </c>
      <c r="AA23" s="149">
        <v>27623065</v>
      </c>
      <c r="AB23" s="149">
        <v>27623065</v>
      </c>
      <c r="AC23" s="327">
        <f>ROUND(AB23/AA23*100,2)</f>
        <v>100</v>
      </c>
      <c r="AD23" s="94">
        <v>51464936</v>
      </c>
      <c r="AE23" s="149">
        <v>51664149</v>
      </c>
      <c r="AF23" s="149">
        <v>51664149</v>
      </c>
      <c r="AG23" s="327">
        <f>ROUND(AF23/AE23*100,2)</f>
        <v>100</v>
      </c>
      <c r="AH23" s="94">
        <v>19334953</v>
      </c>
      <c r="AI23" s="149">
        <v>19494554</v>
      </c>
      <c r="AJ23" s="149">
        <v>19494554</v>
      </c>
      <c r="AK23" s="327">
        <f>ROUND(AJ23/AI23*100,2)</f>
        <v>100</v>
      </c>
      <c r="AL23" s="94">
        <v>14208750</v>
      </c>
      <c r="AM23" s="149">
        <v>14208750</v>
      </c>
      <c r="AN23" s="149">
        <v>14208750</v>
      </c>
      <c r="AO23" s="327">
        <f>ROUND(AN23/AM23*100,2)</f>
        <v>100</v>
      </c>
      <c r="AP23" s="254">
        <f t="shared" si="0"/>
        <v>198117209</v>
      </c>
      <c r="AQ23" s="255">
        <f t="shared" si="1"/>
        <v>198226557</v>
      </c>
      <c r="AR23" s="255">
        <f t="shared" si="2"/>
        <v>198265657</v>
      </c>
      <c r="AS23" s="349">
        <f>ROUND(AR23/AQ23*100,2)</f>
        <v>100.02</v>
      </c>
      <c r="AT23" s="94">
        <v>83125714</v>
      </c>
      <c r="AU23" s="149">
        <v>82926903</v>
      </c>
      <c r="AV23" s="149">
        <f>82926903+21760</f>
        <v>82948663</v>
      </c>
      <c r="AW23" s="327">
        <f>ROUND(AV23/AU23*100,2)</f>
        <v>100.03</v>
      </c>
      <c r="AX23" s="94">
        <v>22825244</v>
      </c>
      <c r="AY23" s="149">
        <v>22893452</v>
      </c>
      <c r="AZ23" s="149">
        <v>22893452</v>
      </c>
      <c r="BA23" s="327">
        <f>ROUND(AZ23/AY23*100,2)</f>
        <v>100</v>
      </c>
      <c r="BB23" s="94"/>
      <c r="BC23" s="149"/>
      <c r="BD23" s="149"/>
      <c r="BE23" s="327"/>
      <c r="BF23" s="94">
        <v>14950977</v>
      </c>
      <c r="BG23" s="149">
        <v>14950977</v>
      </c>
      <c r="BH23" s="149">
        <v>14950977</v>
      </c>
      <c r="BI23" s="327">
        <f>ROUND(BH23/BG23*100,2)</f>
        <v>100</v>
      </c>
      <c r="BJ23" s="296">
        <f t="shared" si="3"/>
        <v>120901935</v>
      </c>
      <c r="BK23" s="297">
        <f t="shared" si="4"/>
        <v>120771332</v>
      </c>
      <c r="BL23" s="297">
        <f t="shared" si="5"/>
        <v>120793092</v>
      </c>
      <c r="BM23" s="361">
        <f>ROUND(BL23/BK23*100,2)</f>
        <v>100.02</v>
      </c>
      <c r="BN23" s="190">
        <f t="shared" si="19"/>
        <v>926972150</v>
      </c>
      <c r="BO23" s="197">
        <f t="shared" si="19"/>
        <v>946339951</v>
      </c>
      <c r="BP23" s="197">
        <f t="shared" si="19"/>
        <v>944622706</v>
      </c>
      <c r="BQ23" s="371">
        <f>ROUND(BP23/BO23*100,2)</f>
        <v>99.82</v>
      </c>
      <c r="BR23" s="94">
        <v>0</v>
      </c>
      <c r="BS23" s="206">
        <f>BR23</f>
        <v>0</v>
      </c>
      <c r="BT23" s="206">
        <f>BS23</f>
        <v>0</v>
      </c>
      <c r="BU23" s="381"/>
      <c r="BV23" s="213">
        <f t="shared" si="20"/>
        <v>926972150</v>
      </c>
      <c r="BW23" s="218">
        <f t="shared" si="20"/>
        <v>946339951</v>
      </c>
      <c r="BX23" s="218">
        <f t="shared" si="20"/>
        <v>944622706</v>
      </c>
      <c r="BY23" s="371">
        <f t="shared" si="18"/>
        <v>99.82</v>
      </c>
      <c r="BZ23" s="140">
        <f>BN23-BV23</f>
        <v>0</v>
      </c>
      <c r="CA23" s="140">
        <f>BW23-BO23</f>
        <v>0</v>
      </c>
      <c r="CB23" s="140">
        <f>BX23-BP23</f>
        <v>0</v>
      </c>
      <c r="CC23" s="333"/>
    </row>
    <row r="24" spans="1:81" s="8" customFormat="1" ht="14.25" thickBot="1">
      <c r="A24" s="132" t="s">
        <v>499</v>
      </c>
      <c r="B24" s="94">
        <v>0</v>
      </c>
      <c r="C24" s="95">
        <v>0</v>
      </c>
      <c r="D24" s="95">
        <v>0</v>
      </c>
      <c r="E24" s="327"/>
      <c r="F24" s="149">
        <v>0</v>
      </c>
      <c r="G24" s="95">
        <v>0</v>
      </c>
      <c r="H24" s="95">
        <v>0</v>
      </c>
      <c r="I24" s="327"/>
      <c r="J24" s="95">
        <v>0</v>
      </c>
      <c r="K24" s="95">
        <v>0</v>
      </c>
      <c r="L24" s="95">
        <v>0</v>
      </c>
      <c r="M24" s="327"/>
      <c r="N24" s="94">
        <v>0</v>
      </c>
      <c r="O24" s="149">
        <v>0</v>
      </c>
      <c r="P24" s="149">
        <v>0</v>
      </c>
      <c r="Q24" s="327"/>
      <c r="R24" s="94">
        <v>0</v>
      </c>
      <c r="S24" s="149">
        <v>0</v>
      </c>
      <c r="T24" s="149">
        <v>0</v>
      </c>
      <c r="U24" s="327"/>
      <c r="V24" s="94">
        <v>0</v>
      </c>
      <c r="W24" s="149">
        <v>0</v>
      </c>
      <c r="X24" s="149">
        <v>0</v>
      </c>
      <c r="Y24" s="327"/>
      <c r="Z24" s="94">
        <v>0</v>
      </c>
      <c r="AA24" s="149">
        <v>0</v>
      </c>
      <c r="AB24" s="149">
        <v>0</v>
      </c>
      <c r="AC24" s="327"/>
      <c r="AD24" s="94">
        <v>0</v>
      </c>
      <c r="AE24" s="149">
        <v>0</v>
      </c>
      <c r="AF24" s="149">
        <v>0</v>
      </c>
      <c r="AG24" s="327"/>
      <c r="AH24" s="94">
        <v>0</v>
      </c>
      <c r="AI24" s="149">
        <v>0</v>
      </c>
      <c r="AJ24" s="149">
        <v>0</v>
      </c>
      <c r="AK24" s="327"/>
      <c r="AL24" s="94">
        <v>0</v>
      </c>
      <c r="AM24" s="149">
        <v>0</v>
      </c>
      <c r="AN24" s="149">
        <v>0</v>
      </c>
      <c r="AO24" s="327"/>
      <c r="AP24" s="254">
        <f t="shared" si="0"/>
        <v>0</v>
      </c>
      <c r="AQ24" s="255">
        <f t="shared" si="1"/>
        <v>0</v>
      </c>
      <c r="AR24" s="255">
        <f t="shared" si="2"/>
        <v>0</v>
      </c>
      <c r="AS24" s="349"/>
      <c r="AT24" s="94">
        <v>0</v>
      </c>
      <c r="AU24" s="149">
        <v>0</v>
      </c>
      <c r="AV24" s="149">
        <v>0</v>
      </c>
      <c r="AW24" s="327"/>
      <c r="AX24" s="94">
        <v>0</v>
      </c>
      <c r="AY24" s="149">
        <v>0</v>
      </c>
      <c r="AZ24" s="149">
        <v>0</v>
      </c>
      <c r="BA24" s="327"/>
      <c r="BB24" s="94">
        <v>0</v>
      </c>
      <c r="BC24" s="149">
        <v>0</v>
      </c>
      <c r="BD24" s="149">
        <v>0</v>
      </c>
      <c r="BE24" s="327"/>
      <c r="BF24" s="94">
        <v>0</v>
      </c>
      <c r="BG24" s="149">
        <v>0</v>
      </c>
      <c r="BH24" s="149">
        <v>0</v>
      </c>
      <c r="BI24" s="327"/>
      <c r="BJ24" s="296">
        <f t="shared" si="3"/>
        <v>0</v>
      </c>
      <c r="BK24" s="297">
        <f t="shared" si="4"/>
        <v>0</v>
      </c>
      <c r="BL24" s="297">
        <f t="shared" si="5"/>
        <v>0</v>
      </c>
      <c r="BM24" s="361"/>
      <c r="BN24" s="190">
        <f t="shared" si="19"/>
        <v>0</v>
      </c>
      <c r="BO24" s="197">
        <f t="shared" si="19"/>
        <v>0</v>
      </c>
      <c r="BP24" s="197">
        <f t="shared" si="19"/>
        <v>0</v>
      </c>
      <c r="BQ24" s="371"/>
      <c r="BR24" s="94">
        <v>0</v>
      </c>
      <c r="BS24" s="206">
        <f>BR24</f>
        <v>0</v>
      </c>
      <c r="BT24" s="206">
        <v>29943218</v>
      </c>
      <c r="BU24" s="381"/>
      <c r="BV24" s="213">
        <f t="shared" si="20"/>
        <v>0</v>
      </c>
      <c r="BW24" s="218">
        <f t="shared" si="20"/>
        <v>0</v>
      </c>
      <c r="BX24" s="218">
        <f t="shared" si="20"/>
        <v>29943218</v>
      </c>
      <c r="BY24" s="371"/>
      <c r="BZ24" s="140">
        <f>BN24-BV24</f>
        <v>0</v>
      </c>
      <c r="CA24" s="140">
        <f>BW24-BO24</f>
        <v>0</v>
      </c>
      <c r="CB24" s="140">
        <f>BX24-BP24</f>
        <v>29943218</v>
      </c>
      <c r="CC24" s="333"/>
    </row>
    <row r="25" spans="1:81" s="10" customFormat="1" ht="15.75" customHeight="1" thickBot="1">
      <c r="A25" s="156" t="s">
        <v>106</v>
      </c>
      <c r="B25" s="157">
        <f>SUM(B20+B23+B24)</f>
        <v>41898470</v>
      </c>
      <c r="C25" s="157">
        <f>SUM(C20+C23+C24)</f>
        <v>46496145</v>
      </c>
      <c r="D25" s="157">
        <f>SUM(D20+D23+D24)</f>
        <v>46513699</v>
      </c>
      <c r="E25" s="329">
        <f>ROUND(D25/C25*100,2)</f>
        <v>100.04</v>
      </c>
      <c r="F25" s="160">
        <f>SUM(F20+F23+F24)</f>
        <v>68918613</v>
      </c>
      <c r="G25" s="160">
        <f>SUM(G20+G23+G24)</f>
        <v>64790342</v>
      </c>
      <c r="H25" s="160">
        <f>SUM(H20+H23+H24)</f>
        <v>62787944</v>
      </c>
      <c r="I25" s="329">
        <f>ROUND(H25/G25*100,2)</f>
        <v>96.91</v>
      </c>
      <c r="J25" s="158">
        <f>SUM(J20+J23+J24)</f>
        <v>45831543</v>
      </c>
      <c r="K25" s="158">
        <f>SUM(K20+K23+K24)</f>
        <v>59946581</v>
      </c>
      <c r="L25" s="158">
        <f>SUM(L20+L23+L24)</f>
        <v>59952164</v>
      </c>
      <c r="M25" s="329">
        <f>ROUND(L25/K25*100,2)</f>
        <v>100.01</v>
      </c>
      <c r="N25" s="157">
        <f>SUM(N20+N23+N24)</f>
        <v>327480037</v>
      </c>
      <c r="O25" s="157">
        <f>SUM(O20+O23+O24)</f>
        <v>328364539</v>
      </c>
      <c r="P25" s="157">
        <f>SUM(P20+P23+P24)</f>
        <v>328449325</v>
      </c>
      <c r="Q25" s="329">
        <f>ROUND(P25/O25*100,2)</f>
        <v>100.03</v>
      </c>
      <c r="R25" s="157">
        <f>SUM(R20+R23+R24)</f>
        <v>139824343</v>
      </c>
      <c r="S25" s="157">
        <f>SUM(S20+S23+S24)</f>
        <v>177036061</v>
      </c>
      <c r="T25" s="157">
        <f>SUM(T20+T23+T24)</f>
        <v>177152431</v>
      </c>
      <c r="U25" s="329">
        <f>ROUND(T25/S25*100,2)</f>
        <v>100.07</v>
      </c>
      <c r="V25" s="157">
        <f>SUM(V20+V23+V24)</f>
        <v>85586981</v>
      </c>
      <c r="W25" s="157">
        <f>SUM(W20+W23+W24)</f>
        <v>89839541</v>
      </c>
      <c r="X25" s="157">
        <f>SUM(X20+X23+X24)</f>
        <v>89878641</v>
      </c>
      <c r="Y25" s="329">
        <f>ROUND(X25/W25*100,2)</f>
        <v>100.04</v>
      </c>
      <c r="Z25" s="157">
        <f>SUM(Z20+Z23+Z24)</f>
        <v>27521589</v>
      </c>
      <c r="AA25" s="157">
        <f>SUM(AA20+AA23+AA24)</f>
        <v>28419908</v>
      </c>
      <c r="AB25" s="157">
        <f>SUM(AB20+AB23+AB24)</f>
        <v>28419908</v>
      </c>
      <c r="AC25" s="329">
        <f>ROUND(AB25/AA25*100,2)</f>
        <v>100</v>
      </c>
      <c r="AD25" s="157">
        <f>SUM(AD20+AD23+AD24)</f>
        <v>51464936</v>
      </c>
      <c r="AE25" s="157">
        <f>SUM(AE20+AE23+AE24)</f>
        <v>55068826</v>
      </c>
      <c r="AF25" s="157">
        <f>SUM(AF20+AF23+AF24)</f>
        <v>55068826</v>
      </c>
      <c r="AG25" s="329">
        <f>ROUND(AF25/AE25*100,2)</f>
        <v>100</v>
      </c>
      <c r="AH25" s="157">
        <f>SUM(AH20+AH23+AH24)</f>
        <v>19334953</v>
      </c>
      <c r="AI25" s="157">
        <f>SUM(AI20+AI23+AI24)</f>
        <v>21342988</v>
      </c>
      <c r="AJ25" s="157">
        <f>SUM(AJ20+AJ23+AJ24)</f>
        <v>21342988</v>
      </c>
      <c r="AK25" s="329">
        <f>ROUND(AJ25/AI25*100,2)</f>
        <v>100</v>
      </c>
      <c r="AL25" s="157">
        <f>SUM(AL20+AL23+AL24)</f>
        <v>14208750</v>
      </c>
      <c r="AM25" s="157">
        <f>SUM(AM20+AM23+AM24)</f>
        <v>15663684</v>
      </c>
      <c r="AN25" s="157">
        <f>SUM(AN20+AN23+AN24)</f>
        <v>15663684</v>
      </c>
      <c r="AO25" s="329">
        <f>ROUND(AN25/AM25*100,2)</f>
        <v>100</v>
      </c>
      <c r="AP25" s="245">
        <f t="shared" si="0"/>
        <v>198117209</v>
      </c>
      <c r="AQ25" s="246">
        <f t="shared" si="1"/>
        <v>210334947</v>
      </c>
      <c r="AR25" s="246">
        <f t="shared" si="2"/>
        <v>210374047</v>
      </c>
      <c r="AS25" s="346">
        <f>ROUND(AR25/AQ25*100,2)</f>
        <v>100.02</v>
      </c>
      <c r="AT25" s="157">
        <f>SUM(AT20+AT23+AT24)</f>
        <v>83125714</v>
      </c>
      <c r="AU25" s="157">
        <f>SUM(AU20+AU23+AU24)</f>
        <v>87414906</v>
      </c>
      <c r="AV25" s="157">
        <f>SUM(AV20+AV23+AV24)</f>
        <v>87436666</v>
      </c>
      <c r="AW25" s="329">
        <f>ROUND(AV25/AU25*100,2)</f>
        <v>100.02</v>
      </c>
      <c r="AX25" s="157">
        <f>SUM(AX20+AX23+AX24)</f>
        <v>22825244</v>
      </c>
      <c r="AY25" s="157">
        <f>SUM(AY20+AY23+AY24)</f>
        <v>23856707</v>
      </c>
      <c r="AZ25" s="157">
        <f>SUM(AZ20+AZ23+AZ24)</f>
        <v>23856707</v>
      </c>
      <c r="BA25" s="329">
        <f>ROUND(AZ25/AY25*100,2)</f>
        <v>100</v>
      </c>
      <c r="BB25" s="157">
        <f>SUM(BB20+BB23+BB24)</f>
        <v>0</v>
      </c>
      <c r="BC25" s="157">
        <f>SUM(BC20+BC23+BC24)</f>
        <v>1180425</v>
      </c>
      <c r="BD25" s="157">
        <f>SUM(BD20+BD23+BD24)</f>
        <v>1180425</v>
      </c>
      <c r="BE25" s="329">
        <f>ROUND(BD25/BC25*100,2)</f>
        <v>100</v>
      </c>
      <c r="BF25" s="157">
        <f>SUM(BF20+BF23+BF24)</f>
        <v>14950977</v>
      </c>
      <c r="BG25" s="157">
        <f>SUM(BG20+BG23+BG24)</f>
        <v>16010924</v>
      </c>
      <c r="BH25" s="157">
        <f>SUM(BH20+BH23+BH24)</f>
        <v>16010924</v>
      </c>
      <c r="BI25" s="329">
        <f>ROUND(BH25/BG25*100,2)</f>
        <v>100</v>
      </c>
      <c r="BJ25" s="287">
        <f t="shared" si="3"/>
        <v>120901935</v>
      </c>
      <c r="BK25" s="288">
        <f t="shared" si="4"/>
        <v>128462962</v>
      </c>
      <c r="BL25" s="288">
        <f t="shared" si="5"/>
        <v>128484722</v>
      </c>
      <c r="BM25" s="358">
        <f>ROUND(BL25/BK25*100,2)</f>
        <v>100.02</v>
      </c>
      <c r="BN25" s="186">
        <f>SUM(BN20+BN23+BN24)</f>
        <v>942972150</v>
      </c>
      <c r="BO25" s="186">
        <f>SUM(BO20+BO23+BO24)</f>
        <v>1015431577</v>
      </c>
      <c r="BP25" s="186">
        <f>SUM(BP20+BP23+BP24)</f>
        <v>1013714332</v>
      </c>
      <c r="BQ25" s="369">
        <f>ROUND(BP25/BO25*100,2)</f>
        <v>99.83</v>
      </c>
      <c r="BR25" s="157">
        <f>SUM(BR20+BR23+BR24)</f>
        <v>1353911367</v>
      </c>
      <c r="BS25" s="157">
        <f>SUM(BS20+BS23+BS24)</f>
        <v>1398082216</v>
      </c>
      <c r="BT25" s="157">
        <f>SUM(BT20+BT23+BT24)</f>
        <v>1428025434</v>
      </c>
      <c r="BU25" s="340">
        <f>ROUND(BT25/BS25*100,2)</f>
        <v>102.14</v>
      </c>
      <c r="BV25" s="177">
        <f>SUM(BV20+BV23+BV24)</f>
        <v>2296883517</v>
      </c>
      <c r="BW25" s="177">
        <f>SUM(BW20+BW23+BW24)</f>
        <v>2413513793</v>
      </c>
      <c r="BX25" s="177">
        <f>SUM(BX20+BX23+BX24)</f>
        <v>2441739766</v>
      </c>
      <c r="BY25" s="340">
        <f>ROUND(BX25/BW25*100,2)</f>
        <v>101.17</v>
      </c>
      <c r="BZ25" s="173">
        <f>SUM(BZ20+BZ23+BZ24)</f>
        <v>1369911367</v>
      </c>
      <c r="CA25" s="173">
        <f>SUM(CA20+CA23+CA24)</f>
        <v>1467173842</v>
      </c>
      <c r="CB25" s="173">
        <f>SUM(CB20+CB23+CB24)</f>
        <v>1497117060</v>
      </c>
      <c r="CC25" s="334">
        <f>ROUND(CB25/CA25*100,2)</f>
        <v>102.04</v>
      </c>
    </row>
    <row r="26" spans="1:81" s="10" customFormat="1" ht="15.75" customHeight="1" thickBot="1">
      <c r="A26" s="167" t="s">
        <v>25</v>
      </c>
      <c r="B26" s="157">
        <f>B25+B19</f>
        <v>43398470</v>
      </c>
      <c r="C26" s="157">
        <f>C25+C19</f>
        <v>83831159</v>
      </c>
      <c r="D26" s="157">
        <f>D25+D19</f>
        <v>83699947</v>
      </c>
      <c r="E26" s="329">
        <f>ROUND(D26/C26*100,2)</f>
        <v>99.84</v>
      </c>
      <c r="F26" s="168">
        <f>F25+F19</f>
        <v>179232479</v>
      </c>
      <c r="G26" s="158">
        <f>G25+G19</f>
        <v>224849671</v>
      </c>
      <c r="H26" s="158">
        <f>H25+H19</f>
        <v>217060003</v>
      </c>
      <c r="I26" s="329">
        <f>ROUND(H26/G26*100,2)</f>
        <v>96.54</v>
      </c>
      <c r="J26" s="169">
        <f>J25+J19</f>
        <v>49831543</v>
      </c>
      <c r="K26" s="158">
        <f>K25+K19</f>
        <v>64825000</v>
      </c>
      <c r="L26" s="158">
        <f>L25+L19</f>
        <v>67332055</v>
      </c>
      <c r="M26" s="329">
        <f>ROUND(L26/K26*100,2)</f>
        <v>103.87</v>
      </c>
      <c r="N26" s="171">
        <f>N25+N19</f>
        <v>329180037</v>
      </c>
      <c r="O26" s="160">
        <f>O25+O19</f>
        <v>339467579</v>
      </c>
      <c r="P26" s="160">
        <f>P25+P19</f>
        <v>339525081</v>
      </c>
      <c r="Q26" s="329">
        <f>ROUND(P26/O26*100,2)</f>
        <v>100.02</v>
      </c>
      <c r="R26" s="171">
        <f>R25+R19</f>
        <v>234278053</v>
      </c>
      <c r="S26" s="160">
        <f>S25+S19</f>
        <v>271489771</v>
      </c>
      <c r="T26" s="160">
        <f>T25+T19</f>
        <v>270562291</v>
      </c>
      <c r="U26" s="329">
        <f>ROUND(T26/S26*100,2)</f>
        <v>99.66</v>
      </c>
      <c r="V26" s="171">
        <f>V25+V19</f>
        <v>86036981</v>
      </c>
      <c r="W26" s="160">
        <f>W25+W19</f>
        <v>92205136</v>
      </c>
      <c r="X26" s="160">
        <f>X25+X19</f>
        <v>92181842</v>
      </c>
      <c r="Y26" s="329">
        <f>ROUND(X26/W26*100,2)</f>
        <v>99.97</v>
      </c>
      <c r="Z26" s="171">
        <f>Z25+Z19</f>
        <v>27521589</v>
      </c>
      <c r="AA26" s="160">
        <f>AA25+AA19</f>
        <v>28448067</v>
      </c>
      <c r="AB26" s="160">
        <f>AB25+AB19</f>
        <v>28448067</v>
      </c>
      <c r="AC26" s="329">
        <f>ROUND(AB26/AA26*100,2)</f>
        <v>100</v>
      </c>
      <c r="AD26" s="171">
        <f>AD25+AD19</f>
        <v>51936936</v>
      </c>
      <c r="AE26" s="160">
        <f>AE25+AE19</f>
        <v>55588985</v>
      </c>
      <c r="AF26" s="160">
        <f>AF25+AF19</f>
        <v>55522391</v>
      </c>
      <c r="AG26" s="329">
        <f>ROUND(AF26/AE26*100,2)</f>
        <v>99.88</v>
      </c>
      <c r="AH26" s="171">
        <f>AH25+AH19</f>
        <v>19334953</v>
      </c>
      <c r="AI26" s="160">
        <f>AI25+AI19</f>
        <v>21342988</v>
      </c>
      <c r="AJ26" s="160">
        <f>AJ25+AJ19</f>
        <v>21342988</v>
      </c>
      <c r="AK26" s="329">
        <f>ROUND(AJ26/AI26*100,2)</f>
        <v>100</v>
      </c>
      <c r="AL26" s="171">
        <f>AL25+AL19</f>
        <v>14208750</v>
      </c>
      <c r="AM26" s="160">
        <f>AM25+AM19</f>
        <v>15663684</v>
      </c>
      <c r="AN26" s="160">
        <f>AN25+AN19</f>
        <v>15663684</v>
      </c>
      <c r="AO26" s="329">
        <f>ROUND(AN26/AM26*100,2)</f>
        <v>100</v>
      </c>
      <c r="AP26" s="256">
        <f t="shared" si="0"/>
        <v>199039209</v>
      </c>
      <c r="AQ26" s="246">
        <f t="shared" si="1"/>
        <v>213248860</v>
      </c>
      <c r="AR26" s="246">
        <f t="shared" si="2"/>
        <v>213158972</v>
      </c>
      <c r="AS26" s="346">
        <f>ROUND(AR26/AQ26*100,2)</f>
        <v>99.96</v>
      </c>
      <c r="AT26" s="171">
        <f>AT25+AT19</f>
        <v>84525714</v>
      </c>
      <c r="AU26" s="160">
        <f>AU25+AU19</f>
        <v>90576347</v>
      </c>
      <c r="AV26" s="160">
        <f>AV25+AV19</f>
        <v>91848978</v>
      </c>
      <c r="AW26" s="329">
        <f>ROUND(AV26/AU26*100,2)</f>
        <v>101.41</v>
      </c>
      <c r="AX26" s="171">
        <f>AX25+AX19</f>
        <v>22975244</v>
      </c>
      <c r="AY26" s="160">
        <f>AY25+AY19</f>
        <v>24006707</v>
      </c>
      <c r="AZ26" s="160">
        <f>AZ25+AZ19</f>
        <v>24052282</v>
      </c>
      <c r="BA26" s="329">
        <f>ROUND(AZ26/AY26*100,2)</f>
        <v>100.19</v>
      </c>
      <c r="BB26" s="171">
        <f>BB25+BB19</f>
        <v>0</v>
      </c>
      <c r="BC26" s="160">
        <f>BC25+BC19</f>
        <v>1180425</v>
      </c>
      <c r="BD26" s="160">
        <f>BD25+BD19</f>
        <v>1180425</v>
      </c>
      <c r="BE26" s="329">
        <f>ROUND(BD26/BC26*100,2)</f>
        <v>100</v>
      </c>
      <c r="BF26" s="171">
        <f>BF25+BF19</f>
        <v>15012577</v>
      </c>
      <c r="BG26" s="160">
        <f>BG25+BG19</f>
        <v>16072524</v>
      </c>
      <c r="BH26" s="160">
        <f>BH25+BH19</f>
        <v>16105304</v>
      </c>
      <c r="BI26" s="329">
        <f>ROUND(BH26/BG26*100,2)</f>
        <v>100.2</v>
      </c>
      <c r="BJ26" s="298">
        <f t="shared" si="3"/>
        <v>122513535</v>
      </c>
      <c r="BK26" s="288">
        <f t="shared" si="4"/>
        <v>131836003</v>
      </c>
      <c r="BL26" s="288">
        <f t="shared" si="5"/>
        <v>133186989</v>
      </c>
      <c r="BM26" s="358">
        <f>ROUND(BL26/BK26*100,2)</f>
        <v>101.02</v>
      </c>
      <c r="BN26" s="191">
        <f>BN25+BN19</f>
        <v>1157473326</v>
      </c>
      <c r="BO26" s="192">
        <f>BO25+BO19</f>
        <v>1329548043</v>
      </c>
      <c r="BP26" s="192">
        <f>BP25+BP19</f>
        <v>1324525338</v>
      </c>
      <c r="BQ26" s="369">
        <f>ROUND(BP26/BO26*100,2)</f>
        <v>99.62</v>
      </c>
      <c r="BR26" s="171">
        <f>BR25+BR19</f>
        <v>3067703963</v>
      </c>
      <c r="BS26" s="178">
        <f>BS25+BS19</f>
        <v>3392598672</v>
      </c>
      <c r="BT26" s="178">
        <f>BT25+BT19</f>
        <v>3461778441</v>
      </c>
      <c r="BU26" s="340">
        <f>ROUND(BT26/BS26*100,2)</f>
        <v>102.04</v>
      </c>
      <c r="BV26" s="214">
        <f>BV25+BV19</f>
        <v>4225177289</v>
      </c>
      <c r="BW26" s="178">
        <f>BW25+BW19</f>
        <v>4722146715</v>
      </c>
      <c r="BX26" s="178">
        <f>BX25+BX19</f>
        <v>4786303779</v>
      </c>
      <c r="BY26" s="340">
        <f>ROUND(BX26/BW26*100,2)</f>
        <v>101.36</v>
      </c>
      <c r="BZ26" s="180">
        <f>BZ25+BZ19</f>
        <v>3298205139</v>
      </c>
      <c r="CA26" s="180">
        <f>CA25+CA19</f>
        <v>3775806764</v>
      </c>
      <c r="CB26" s="180">
        <f>CB25+CB19</f>
        <v>3841681073</v>
      </c>
      <c r="CC26" s="338">
        <f>ROUND(CB26/CA26*100,2)</f>
        <v>101.74</v>
      </c>
    </row>
    <row r="27" spans="6:74" s="8" customFormat="1" ht="7.5" customHeight="1" thickBot="1">
      <c r="F27" s="150"/>
      <c r="G27" s="151"/>
      <c r="H27" s="151"/>
      <c r="I27" s="152"/>
      <c r="BN27" s="59"/>
      <c r="BV27" s="57"/>
    </row>
    <row r="28" spans="1:81" s="8" customFormat="1" ht="25.5" customHeight="1">
      <c r="A28" s="644" t="s">
        <v>175</v>
      </c>
      <c r="B28" s="681" t="s">
        <v>56</v>
      </c>
      <c r="C28" s="682"/>
      <c r="D28" s="683"/>
      <c r="E28" s="684"/>
      <c r="F28" s="685" t="s">
        <v>121</v>
      </c>
      <c r="G28" s="686"/>
      <c r="H28" s="687"/>
      <c r="I28" s="688"/>
      <c r="J28" s="689" t="s">
        <v>67</v>
      </c>
      <c r="K28" s="690"/>
      <c r="L28" s="691"/>
      <c r="M28" s="692"/>
      <c r="N28" s="685" t="s">
        <v>39</v>
      </c>
      <c r="O28" s="686"/>
      <c r="P28" s="687"/>
      <c r="Q28" s="688"/>
      <c r="R28" s="677" t="s">
        <v>137</v>
      </c>
      <c r="S28" s="678"/>
      <c r="T28" s="679"/>
      <c r="U28" s="680"/>
      <c r="V28" s="658" t="s">
        <v>167</v>
      </c>
      <c r="W28" s="659"/>
      <c r="X28" s="660"/>
      <c r="Y28" s="661"/>
      <c r="Z28" s="658" t="s">
        <v>168</v>
      </c>
      <c r="AA28" s="659"/>
      <c r="AB28" s="660"/>
      <c r="AC28" s="661"/>
      <c r="AD28" s="658" t="s">
        <v>163</v>
      </c>
      <c r="AE28" s="659"/>
      <c r="AF28" s="660"/>
      <c r="AG28" s="661"/>
      <c r="AH28" s="658" t="s">
        <v>169</v>
      </c>
      <c r="AI28" s="659"/>
      <c r="AJ28" s="660"/>
      <c r="AK28" s="661"/>
      <c r="AL28" s="658" t="s">
        <v>170</v>
      </c>
      <c r="AM28" s="659"/>
      <c r="AN28" s="660"/>
      <c r="AO28" s="661"/>
      <c r="AP28" s="658" t="s">
        <v>164</v>
      </c>
      <c r="AQ28" s="659"/>
      <c r="AR28" s="660"/>
      <c r="AS28" s="661"/>
      <c r="AT28" s="665" t="s">
        <v>165</v>
      </c>
      <c r="AU28" s="666"/>
      <c r="AV28" s="667"/>
      <c r="AW28" s="668"/>
      <c r="AX28" s="665" t="s">
        <v>171</v>
      </c>
      <c r="AY28" s="666"/>
      <c r="AZ28" s="667"/>
      <c r="BA28" s="668"/>
      <c r="BB28" s="665" t="s">
        <v>173</v>
      </c>
      <c r="BC28" s="666"/>
      <c r="BD28" s="667"/>
      <c r="BE28" s="668"/>
      <c r="BF28" s="665" t="s">
        <v>172</v>
      </c>
      <c r="BG28" s="666"/>
      <c r="BH28" s="667"/>
      <c r="BI28" s="668"/>
      <c r="BJ28" s="665" t="s">
        <v>166</v>
      </c>
      <c r="BK28" s="666"/>
      <c r="BL28" s="667"/>
      <c r="BM28" s="668"/>
      <c r="BN28" s="669" t="s">
        <v>16</v>
      </c>
      <c r="BO28" s="670"/>
      <c r="BP28" s="671"/>
      <c r="BQ28" s="672"/>
      <c r="BR28" s="685" t="s">
        <v>34</v>
      </c>
      <c r="BS28" s="686"/>
      <c r="BT28" s="687"/>
      <c r="BU28" s="688"/>
      <c r="BV28" s="673" t="s">
        <v>127</v>
      </c>
      <c r="BW28" s="674"/>
      <c r="BX28" s="675"/>
      <c r="BY28" s="676"/>
      <c r="BZ28" s="677" t="s">
        <v>134</v>
      </c>
      <c r="CA28" s="678"/>
      <c r="CB28" s="679"/>
      <c r="CC28" s="680"/>
    </row>
    <row r="29" spans="1:81" s="8" customFormat="1" ht="26.25" thickBot="1">
      <c r="A29" s="645"/>
      <c r="B29" s="225" t="s">
        <v>155</v>
      </c>
      <c r="C29" s="226" t="s">
        <v>494</v>
      </c>
      <c r="D29" s="226" t="s">
        <v>495</v>
      </c>
      <c r="E29" s="227" t="s">
        <v>180</v>
      </c>
      <c r="F29" s="225" t="s">
        <v>155</v>
      </c>
      <c r="G29" s="226" t="s">
        <v>494</v>
      </c>
      <c r="H29" s="226" t="s">
        <v>495</v>
      </c>
      <c r="I29" s="227" t="s">
        <v>180</v>
      </c>
      <c r="J29" s="228" t="s">
        <v>155</v>
      </c>
      <c r="K29" s="226" t="s">
        <v>494</v>
      </c>
      <c r="L29" s="226" t="s">
        <v>495</v>
      </c>
      <c r="M29" s="227" t="s">
        <v>180</v>
      </c>
      <c r="N29" s="183" t="s">
        <v>155</v>
      </c>
      <c r="O29" s="226" t="s">
        <v>494</v>
      </c>
      <c r="P29" s="226" t="s">
        <v>495</v>
      </c>
      <c r="Q29" s="227" t="s">
        <v>180</v>
      </c>
      <c r="R29" s="183" t="s">
        <v>155</v>
      </c>
      <c r="S29" s="226" t="s">
        <v>494</v>
      </c>
      <c r="T29" s="226" t="s">
        <v>495</v>
      </c>
      <c r="U29" s="227" t="s">
        <v>180</v>
      </c>
      <c r="V29" s="183" t="s">
        <v>155</v>
      </c>
      <c r="W29" s="226" t="s">
        <v>494</v>
      </c>
      <c r="X29" s="226" t="s">
        <v>495</v>
      </c>
      <c r="Y29" s="227" t="s">
        <v>180</v>
      </c>
      <c r="Z29" s="183" t="s">
        <v>155</v>
      </c>
      <c r="AA29" s="226" t="s">
        <v>494</v>
      </c>
      <c r="AB29" s="226" t="s">
        <v>495</v>
      </c>
      <c r="AC29" s="227" t="s">
        <v>180</v>
      </c>
      <c r="AD29" s="183" t="s">
        <v>155</v>
      </c>
      <c r="AE29" s="226" t="s">
        <v>494</v>
      </c>
      <c r="AF29" s="226" t="s">
        <v>495</v>
      </c>
      <c r="AG29" s="227" t="s">
        <v>180</v>
      </c>
      <c r="AH29" s="183" t="s">
        <v>155</v>
      </c>
      <c r="AI29" s="226" t="s">
        <v>494</v>
      </c>
      <c r="AJ29" s="226" t="s">
        <v>495</v>
      </c>
      <c r="AK29" s="227" t="s">
        <v>180</v>
      </c>
      <c r="AL29" s="183" t="s">
        <v>155</v>
      </c>
      <c r="AM29" s="226" t="s">
        <v>494</v>
      </c>
      <c r="AN29" s="226" t="s">
        <v>495</v>
      </c>
      <c r="AO29" s="227" t="s">
        <v>180</v>
      </c>
      <c r="AP29" s="234" t="s">
        <v>155</v>
      </c>
      <c r="AQ29" s="235" t="s">
        <v>494</v>
      </c>
      <c r="AR29" s="235" t="s">
        <v>495</v>
      </c>
      <c r="AS29" s="236" t="s">
        <v>180</v>
      </c>
      <c r="AT29" s="183" t="s">
        <v>155</v>
      </c>
      <c r="AU29" s="226" t="s">
        <v>494</v>
      </c>
      <c r="AV29" s="226" t="s">
        <v>495</v>
      </c>
      <c r="AW29" s="227" t="s">
        <v>180</v>
      </c>
      <c r="AX29" s="183" t="s">
        <v>155</v>
      </c>
      <c r="AY29" s="226" t="s">
        <v>494</v>
      </c>
      <c r="AZ29" s="226" t="s">
        <v>495</v>
      </c>
      <c r="BA29" s="227" t="s">
        <v>180</v>
      </c>
      <c r="BB29" s="183" t="s">
        <v>155</v>
      </c>
      <c r="BC29" s="226" t="s">
        <v>494</v>
      </c>
      <c r="BD29" s="226" t="s">
        <v>495</v>
      </c>
      <c r="BE29" s="227" t="s">
        <v>180</v>
      </c>
      <c r="BF29" s="183" t="s">
        <v>155</v>
      </c>
      <c r="BG29" s="226" t="s">
        <v>494</v>
      </c>
      <c r="BH29" s="226" t="s">
        <v>495</v>
      </c>
      <c r="BI29" s="227" t="s">
        <v>180</v>
      </c>
      <c r="BJ29" s="276" t="s">
        <v>155</v>
      </c>
      <c r="BK29" s="277" t="s">
        <v>494</v>
      </c>
      <c r="BL29" s="277" t="s">
        <v>495</v>
      </c>
      <c r="BM29" s="278" t="s">
        <v>180</v>
      </c>
      <c r="BN29" s="229" t="s">
        <v>155</v>
      </c>
      <c r="BO29" s="230" t="s">
        <v>494</v>
      </c>
      <c r="BP29" s="230" t="s">
        <v>495</v>
      </c>
      <c r="BQ29" s="231" t="s">
        <v>180</v>
      </c>
      <c r="BR29" s="183" t="s">
        <v>155</v>
      </c>
      <c r="BS29" s="226" t="s">
        <v>494</v>
      </c>
      <c r="BT29" s="226" t="s">
        <v>495</v>
      </c>
      <c r="BU29" s="227" t="s">
        <v>180</v>
      </c>
      <c r="BV29" s="232" t="s">
        <v>155</v>
      </c>
      <c r="BW29" s="230" t="s">
        <v>494</v>
      </c>
      <c r="BX29" s="230" t="s">
        <v>495</v>
      </c>
      <c r="BY29" s="231" t="s">
        <v>180</v>
      </c>
      <c r="BZ29" s="225" t="s">
        <v>155</v>
      </c>
      <c r="CA29" s="226" t="s">
        <v>494</v>
      </c>
      <c r="CB29" s="226" t="s">
        <v>495</v>
      </c>
      <c r="CC29" s="227" t="s">
        <v>180</v>
      </c>
    </row>
    <row r="30" spans="1:81" s="8" customFormat="1" ht="13.5">
      <c r="A30" s="43" t="s">
        <v>26</v>
      </c>
      <c r="B30" s="88">
        <v>24934840</v>
      </c>
      <c r="C30" s="89">
        <v>28687817</v>
      </c>
      <c r="D30" s="89">
        <v>26893392</v>
      </c>
      <c r="E30" s="330">
        <f>ROUND(D30/C30*100,2)</f>
        <v>93.74</v>
      </c>
      <c r="F30" s="89">
        <v>52065195</v>
      </c>
      <c r="G30" s="89">
        <v>64092055</v>
      </c>
      <c r="H30" s="89">
        <v>59151146</v>
      </c>
      <c r="I30" s="321">
        <f>ROUND(H30/G30*100,2)</f>
        <v>92.29</v>
      </c>
      <c r="J30" s="89">
        <v>31069724</v>
      </c>
      <c r="K30" s="89">
        <v>33965722</v>
      </c>
      <c r="L30" s="89">
        <v>32710280</v>
      </c>
      <c r="M30" s="321">
        <f>ROUND(L30/K30*100,2)</f>
        <v>96.3</v>
      </c>
      <c r="N30" s="88">
        <v>213376522</v>
      </c>
      <c r="O30" s="146">
        <v>220840925</v>
      </c>
      <c r="P30" s="146">
        <v>218570740</v>
      </c>
      <c r="Q30" s="321">
        <f>ROUND(P30/O30*100,2)</f>
        <v>98.97</v>
      </c>
      <c r="R30" s="88">
        <v>131285416</v>
      </c>
      <c r="S30" s="146">
        <v>151522255</v>
      </c>
      <c r="T30" s="146">
        <v>143050291</v>
      </c>
      <c r="U30" s="321">
        <f>ROUND(T30/S30*100,2)</f>
        <v>94.41</v>
      </c>
      <c r="V30" s="88">
        <v>61929134</v>
      </c>
      <c r="W30" s="146">
        <v>64104933</v>
      </c>
      <c r="X30" s="146">
        <v>63011006</v>
      </c>
      <c r="Y30" s="321">
        <f>ROUND(X30/W30*100,2)</f>
        <v>98.29</v>
      </c>
      <c r="Z30" s="88">
        <v>20049578</v>
      </c>
      <c r="AA30" s="146">
        <v>19586422</v>
      </c>
      <c r="AB30" s="146">
        <v>18659274</v>
      </c>
      <c r="AC30" s="321">
        <f>ROUND(AB30/AA30*100,2)</f>
        <v>95.27</v>
      </c>
      <c r="AD30" s="88">
        <v>39427447</v>
      </c>
      <c r="AE30" s="146">
        <v>40621291</v>
      </c>
      <c r="AF30" s="146">
        <v>37884369</v>
      </c>
      <c r="AG30" s="321">
        <f>ROUND(AF30/AE30*100,2)</f>
        <v>93.26</v>
      </c>
      <c r="AH30" s="88">
        <v>14366234</v>
      </c>
      <c r="AI30" s="146">
        <v>14538808</v>
      </c>
      <c r="AJ30" s="146">
        <v>14671789</v>
      </c>
      <c r="AK30" s="321">
        <f>ROUND(AJ30/AI30*100,2)</f>
        <v>100.91</v>
      </c>
      <c r="AL30" s="88">
        <v>10397742</v>
      </c>
      <c r="AM30" s="146">
        <v>10455016</v>
      </c>
      <c r="AN30" s="146">
        <v>10358780</v>
      </c>
      <c r="AO30" s="321">
        <f>ROUND(AN30/AM30*100,2)</f>
        <v>99.08</v>
      </c>
      <c r="AP30" s="237">
        <f aca="true" t="shared" si="22" ref="AP30:AP49">V30+Z30+AD30+AH30+AL30</f>
        <v>146170135</v>
      </c>
      <c r="AQ30" s="247">
        <f aca="true" t="shared" si="23" ref="AQ30:AQ49">W30+AA30+AE30+AI30+AM30</f>
        <v>149306470</v>
      </c>
      <c r="AR30" s="247">
        <f aca="true" t="shared" si="24" ref="AR30:AR49">X30+AB30+AF30+AJ30+AN30</f>
        <v>144585218</v>
      </c>
      <c r="AS30" s="342">
        <f>ROUND(AR30/AQ30*100,2)</f>
        <v>96.84</v>
      </c>
      <c r="AT30" s="88">
        <v>60795379</v>
      </c>
      <c r="AU30" s="146">
        <v>65013240</v>
      </c>
      <c r="AV30" s="146">
        <f>64363247+48579</f>
        <v>64411826</v>
      </c>
      <c r="AW30" s="321">
        <f>ROUND(AV30/AU30*100,2)</f>
        <v>99.07</v>
      </c>
      <c r="AX30" s="88">
        <v>16613505</v>
      </c>
      <c r="AY30" s="146">
        <v>16428587</v>
      </c>
      <c r="AZ30" s="146">
        <v>15992398</v>
      </c>
      <c r="BA30" s="321">
        <f>ROUND(AZ30/AY30*100,2)</f>
        <v>97.34</v>
      </c>
      <c r="BB30" s="88"/>
      <c r="BC30" s="146"/>
      <c r="BD30" s="146"/>
      <c r="BE30" s="321"/>
      <c r="BF30" s="88">
        <v>10727495</v>
      </c>
      <c r="BG30" s="146">
        <v>10757495</v>
      </c>
      <c r="BH30" s="146">
        <v>10712108</v>
      </c>
      <c r="BI30" s="321">
        <f>ROUND(BH30/BG30*100,2)</f>
        <v>99.58</v>
      </c>
      <c r="BJ30" s="279">
        <f aca="true" t="shared" si="25" ref="BJ30:BJ49">AT30+AX30+BF30+BB30</f>
        <v>88136379</v>
      </c>
      <c r="BK30" s="289">
        <f aca="true" t="shared" si="26" ref="BK30:BK49">AU30+AY30+BG30+BC30</f>
        <v>92199322</v>
      </c>
      <c r="BL30" s="289">
        <f aca="true" t="shared" si="27" ref="BL30:BL49">AV30+AZ30+BH30+BD30</f>
        <v>91116332</v>
      </c>
      <c r="BM30" s="354">
        <f>ROUND(BL30/BK30*100,2)</f>
        <v>98.83</v>
      </c>
      <c r="BN30" s="187">
        <f aca="true" t="shared" si="28" ref="BN30:BP33">B30+F30+J30+N30+R30+BJ30+AP30</f>
        <v>687038211</v>
      </c>
      <c r="BO30" s="196">
        <f t="shared" si="28"/>
        <v>740614566</v>
      </c>
      <c r="BP30" s="196">
        <f t="shared" si="28"/>
        <v>716077399</v>
      </c>
      <c r="BQ30" s="372">
        <f>ROUND(BP30/BO30*100,2)</f>
        <v>96.69</v>
      </c>
      <c r="BR30" s="88">
        <v>48804740</v>
      </c>
      <c r="BS30" s="205">
        <v>52053995</v>
      </c>
      <c r="BT30" s="205">
        <v>48396855</v>
      </c>
      <c r="BU30" s="321">
        <f aca="true" t="shared" si="29" ref="BU30:BU49">ROUND(BT30/BS30*100,2)</f>
        <v>92.97</v>
      </c>
      <c r="BV30" s="211">
        <f aca="true" t="shared" si="30" ref="BV30:BX33">BR30+BN30</f>
        <v>735842951</v>
      </c>
      <c r="BW30" s="217">
        <f t="shared" si="30"/>
        <v>792668561</v>
      </c>
      <c r="BX30" s="217">
        <f t="shared" si="30"/>
        <v>764474254</v>
      </c>
      <c r="BY30" s="372">
        <f aca="true" t="shared" si="31" ref="BY30:BY49">ROUND(BX30/BW30*100,2)</f>
        <v>96.44</v>
      </c>
      <c r="BZ30" s="17">
        <f aca="true" t="shared" si="32" ref="BZ30:CB33">BV30</f>
        <v>735842951</v>
      </c>
      <c r="CA30" s="17">
        <f t="shared" si="32"/>
        <v>792668561</v>
      </c>
      <c r="CB30" s="17">
        <f t="shared" si="32"/>
        <v>764474254</v>
      </c>
      <c r="CC30" s="321">
        <f aca="true" t="shared" si="33" ref="CC30:CC49">ROUND(CB30/CA30*100,2)</f>
        <v>96.44</v>
      </c>
    </row>
    <row r="31" spans="1:81" s="8" customFormat="1" ht="13.5">
      <c r="A31" s="34" t="s">
        <v>27</v>
      </c>
      <c r="B31" s="86">
        <v>5199120</v>
      </c>
      <c r="C31" s="30">
        <v>5894763</v>
      </c>
      <c r="D31" s="30">
        <v>5375896</v>
      </c>
      <c r="E31" s="331">
        <f>ROUND(D31/C31*100,2)</f>
        <v>91.2</v>
      </c>
      <c r="F31" s="30">
        <v>11021119</v>
      </c>
      <c r="G31" s="30">
        <v>14075302</v>
      </c>
      <c r="H31" s="30">
        <v>12033060</v>
      </c>
      <c r="I31" s="318">
        <f>ROUND(H31/G31*100,2)</f>
        <v>85.49</v>
      </c>
      <c r="J31" s="30">
        <v>6459019</v>
      </c>
      <c r="K31" s="30">
        <v>6745980</v>
      </c>
      <c r="L31" s="30">
        <v>6521103</v>
      </c>
      <c r="M31" s="318">
        <f>ROUND(L31/K31*100,2)</f>
        <v>96.67</v>
      </c>
      <c r="N31" s="86">
        <v>50052615</v>
      </c>
      <c r="O31" s="144">
        <v>47504806</v>
      </c>
      <c r="P31" s="144">
        <v>46471372</v>
      </c>
      <c r="Q31" s="318">
        <f>ROUND(P31/O31*100,2)</f>
        <v>97.82</v>
      </c>
      <c r="R31" s="86">
        <v>31226258</v>
      </c>
      <c r="S31" s="144">
        <v>35212680</v>
      </c>
      <c r="T31" s="144">
        <v>32553556</v>
      </c>
      <c r="U31" s="318">
        <f>ROUND(T31/S31*100,2)</f>
        <v>92.45</v>
      </c>
      <c r="V31" s="86">
        <v>14519497</v>
      </c>
      <c r="W31" s="144">
        <v>15960063</v>
      </c>
      <c r="X31" s="144">
        <f>12684608+523000</f>
        <v>13207608</v>
      </c>
      <c r="Y31" s="318">
        <f>ROUND(X31/W31*100,2)</f>
        <v>82.75</v>
      </c>
      <c r="Z31" s="86">
        <v>4133551</v>
      </c>
      <c r="AA31" s="144">
        <v>4760495</v>
      </c>
      <c r="AB31" s="144">
        <v>3756891</v>
      </c>
      <c r="AC31" s="318">
        <f>ROUND(AB31/AA31*100,2)</f>
        <v>78.92</v>
      </c>
      <c r="AD31" s="86">
        <v>7977279</v>
      </c>
      <c r="AE31" s="144">
        <v>8210443</v>
      </c>
      <c r="AF31" s="144">
        <v>7659439</v>
      </c>
      <c r="AG31" s="318">
        <f>ROUND(AF31/AE31*100,2)</f>
        <v>93.29</v>
      </c>
      <c r="AH31" s="86">
        <v>2940469</v>
      </c>
      <c r="AI31" s="144">
        <v>2995938</v>
      </c>
      <c r="AJ31" s="144">
        <v>2790367</v>
      </c>
      <c r="AK31" s="318">
        <f>ROUND(AJ31/AI31*100,2)</f>
        <v>93.14</v>
      </c>
      <c r="AL31" s="86">
        <v>2112298</v>
      </c>
      <c r="AM31" s="144">
        <v>2123466</v>
      </c>
      <c r="AN31" s="144">
        <v>2108546</v>
      </c>
      <c r="AO31" s="318">
        <f>ROUND(AN31/AM31*100,2)</f>
        <v>99.3</v>
      </c>
      <c r="AP31" s="241">
        <f t="shared" si="22"/>
        <v>31683094</v>
      </c>
      <c r="AQ31" s="242">
        <f t="shared" si="23"/>
        <v>34050405</v>
      </c>
      <c r="AR31" s="242">
        <f t="shared" si="24"/>
        <v>29522851</v>
      </c>
      <c r="AS31" s="344">
        <f>ROUND(AR31/AQ31*100,2)</f>
        <v>86.7</v>
      </c>
      <c r="AT31" s="86">
        <v>12430665</v>
      </c>
      <c r="AU31" s="144">
        <v>13900532</v>
      </c>
      <c r="AV31" s="144">
        <f>12157498+1190950</f>
        <v>13348448</v>
      </c>
      <c r="AW31" s="318">
        <f>ROUND(AV31/AU31*100,2)</f>
        <v>96.03</v>
      </c>
      <c r="AX31" s="86">
        <v>3351909</v>
      </c>
      <c r="AY31" s="144">
        <v>3605035</v>
      </c>
      <c r="AZ31" s="144">
        <v>3408824</v>
      </c>
      <c r="BA31" s="318">
        <f>ROUND(AZ31/AY31*100,2)</f>
        <v>94.56</v>
      </c>
      <c r="BB31" s="86"/>
      <c r="BC31" s="144"/>
      <c r="BD31" s="144"/>
      <c r="BE31" s="318"/>
      <c r="BF31" s="86">
        <v>2179592</v>
      </c>
      <c r="BG31" s="144">
        <v>2149592</v>
      </c>
      <c r="BH31" s="144">
        <v>2132529</v>
      </c>
      <c r="BI31" s="318">
        <f>ROUND(BH31/BG31*100,2)</f>
        <v>99.21</v>
      </c>
      <c r="BJ31" s="283">
        <f t="shared" si="25"/>
        <v>17962166</v>
      </c>
      <c r="BK31" s="284">
        <f t="shared" si="26"/>
        <v>19655159</v>
      </c>
      <c r="BL31" s="284">
        <f t="shared" si="27"/>
        <v>18889801</v>
      </c>
      <c r="BM31" s="356">
        <f>ROUND(BL31/BK31*100,2)</f>
        <v>96.11</v>
      </c>
      <c r="BN31" s="187">
        <f t="shared" si="28"/>
        <v>153603391</v>
      </c>
      <c r="BO31" s="194">
        <f t="shared" si="28"/>
        <v>163139095</v>
      </c>
      <c r="BP31" s="194">
        <f t="shared" si="28"/>
        <v>151367639</v>
      </c>
      <c r="BQ31" s="373">
        <f>ROUND(BP31/BO31*100,2)</f>
        <v>92.78</v>
      </c>
      <c r="BR31" s="86">
        <v>10401418</v>
      </c>
      <c r="BS31" s="203">
        <v>10936325</v>
      </c>
      <c r="BT31" s="203">
        <v>9855007</v>
      </c>
      <c r="BU31" s="318">
        <f t="shared" si="29"/>
        <v>90.11</v>
      </c>
      <c r="BV31" s="201">
        <f t="shared" si="30"/>
        <v>164004809</v>
      </c>
      <c r="BW31" s="200">
        <f t="shared" si="30"/>
        <v>174075420</v>
      </c>
      <c r="BX31" s="200">
        <f t="shared" si="30"/>
        <v>161222646</v>
      </c>
      <c r="BY31" s="373">
        <f t="shared" si="31"/>
        <v>92.62</v>
      </c>
      <c r="BZ31" s="18">
        <f t="shared" si="32"/>
        <v>164004809</v>
      </c>
      <c r="CA31" s="18">
        <f t="shared" si="32"/>
        <v>174075420</v>
      </c>
      <c r="CB31" s="18">
        <f t="shared" si="32"/>
        <v>161222646</v>
      </c>
      <c r="CC31" s="318">
        <f t="shared" si="33"/>
        <v>92.62</v>
      </c>
    </row>
    <row r="32" spans="1:81" s="8" customFormat="1" ht="13.5">
      <c r="A32" s="34" t="s">
        <v>15</v>
      </c>
      <c r="B32" s="86">
        <v>13264510</v>
      </c>
      <c r="C32" s="30">
        <v>16531103</v>
      </c>
      <c r="D32" s="30">
        <v>15133219</v>
      </c>
      <c r="E32" s="331">
        <f>ROUND(D32/C32*100,2)</f>
        <v>91.54</v>
      </c>
      <c r="F32" s="30">
        <v>113223234</v>
      </c>
      <c r="G32" s="30">
        <v>135174196</v>
      </c>
      <c r="H32" s="30">
        <v>125756672</v>
      </c>
      <c r="I32" s="318">
        <f>ROUND(H32/G32*100,2)</f>
        <v>93.03</v>
      </c>
      <c r="J32" s="30">
        <v>11921800</v>
      </c>
      <c r="K32" s="30">
        <v>18249799</v>
      </c>
      <c r="L32" s="30">
        <v>14298629</v>
      </c>
      <c r="M32" s="318">
        <f>ROUND(L32/K32*100,2)</f>
        <v>78.35</v>
      </c>
      <c r="N32" s="86">
        <v>63750900</v>
      </c>
      <c r="O32" s="144">
        <v>65892710</v>
      </c>
      <c r="P32" s="144">
        <v>65235659</v>
      </c>
      <c r="Q32" s="318">
        <f>ROUND(P32/O32*100,2)</f>
        <v>99</v>
      </c>
      <c r="R32" s="86">
        <v>69609173</v>
      </c>
      <c r="S32" s="144">
        <v>72789402</v>
      </c>
      <c r="T32" s="144">
        <v>64943495</v>
      </c>
      <c r="U32" s="318">
        <f>ROUND(T32/S32*100,2)</f>
        <v>89.22</v>
      </c>
      <c r="V32" s="86">
        <v>9038350</v>
      </c>
      <c r="W32" s="144">
        <v>9038350</v>
      </c>
      <c r="X32" s="144">
        <f>7953888+68784</f>
        <v>8022672</v>
      </c>
      <c r="Y32" s="318">
        <f>ROUND(X32/W32*100,2)</f>
        <v>88.76</v>
      </c>
      <c r="Z32" s="86">
        <v>3188460</v>
      </c>
      <c r="AA32" s="144">
        <v>3150719</v>
      </c>
      <c r="AB32" s="144">
        <v>2958661</v>
      </c>
      <c r="AC32" s="318">
        <f>ROUND(AB32/AA32*100,2)</f>
        <v>93.9</v>
      </c>
      <c r="AD32" s="86">
        <v>4532210</v>
      </c>
      <c r="AE32" s="144">
        <v>4430045</v>
      </c>
      <c r="AF32" s="144">
        <v>3860249</v>
      </c>
      <c r="AG32" s="318">
        <f>ROUND(AF32/AE32*100,2)</f>
        <v>87.14</v>
      </c>
      <c r="AH32" s="86">
        <v>2028250</v>
      </c>
      <c r="AI32" s="144">
        <v>2028250</v>
      </c>
      <c r="AJ32" s="144">
        <v>2124258</v>
      </c>
      <c r="AK32" s="318">
        <f>ROUND(AJ32/AI32*100,2)</f>
        <v>104.73</v>
      </c>
      <c r="AL32" s="86">
        <v>1698710</v>
      </c>
      <c r="AM32" s="144">
        <v>1643846</v>
      </c>
      <c r="AN32" s="144">
        <v>1118517</v>
      </c>
      <c r="AO32" s="318">
        <f>ROUND(AN32/AM32*100,2)</f>
        <v>68.04</v>
      </c>
      <c r="AP32" s="241">
        <f t="shared" si="22"/>
        <v>20485980</v>
      </c>
      <c r="AQ32" s="242">
        <f t="shared" si="23"/>
        <v>20291210</v>
      </c>
      <c r="AR32" s="242">
        <f t="shared" si="24"/>
        <v>18084357</v>
      </c>
      <c r="AS32" s="344">
        <f>ROUND(AR32/AQ32*100,2)</f>
        <v>89.12</v>
      </c>
      <c r="AT32" s="86">
        <v>10299670</v>
      </c>
      <c r="AU32" s="144">
        <v>10662575</v>
      </c>
      <c r="AV32" s="144">
        <f>9176304+23042</f>
        <v>9199346</v>
      </c>
      <c r="AW32" s="318">
        <f>ROUND(AV32/AU32*100,2)</f>
        <v>86.28</v>
      </c>
      <c r="AX32" s="86">
        <v>2682830</v>
      </c>
      <c r="AY32" s="144">
        <v>3646085</v>
      </c>
      <c r="AZ32" s="144">
        <v>2208327</v>
      </c>
      <c r="BA32" s="318">
        <f>ROUND(AZ32/AY32*100,2)</f>
        <v>60.57</v>
      </c>
      <c r="BB32" s="86"/>
      <c r="BC32" s="144"/>
      <c r="BD32" s="144"/>
      <c r="BE32" s="318"/>
      <c r="BF32" s="86">
        <v>2105490</v>
      </c>
      <c r="BG32" s="144">
        <v>2405490</v>
      </c>
      <c r="BH32" s="144">
        <f>2254959+5697</f>
        <v>2260656</v>
      </c>
      <c r="BI32" s="318">
        <f>ROUND(BH32/BG32*100,2)</f>
        <v>93.98</v>
      </c>
      <c r="BJ32" s="283">
        <f t="shared" si="25"/>
        <v>15087990</v>
      </c>
      <c r="BK32" s="284">
        <f t="shared" si="26"/>
        <v>16714150</v>
      </c>
      <c r="BL32" s="284">
        <f t="shared" si="27"/>
        <v>13668329</v>
      </c>
      <c r="BM32" s="356">
        <f>ROUND(BL32/BK32*100,2)</f>
        <v>81.78</v>
      </c>
      <c r="BN32" s="187">
        <f t="shared" si="28"/>
        <v>307343587</v>
      </c>
      <c r="BO32" s="194">
        <f t="shared" si="28"/>
        <v>345642570</v>
      </c>
      <c r="BP32" s="194">
        <f t="shared" si="28"/>
        <v>317120360</v>
      </c>
      <c r="BQ32" s="373">
        <f>ROUND(BP32/BO32*100,2)</f>
        <v>91.75</v>
      </c>
      <c r="BR32" s="86">
        <v>546890484</v>
      </c>
      <c r="BS32" s="203">
        <v>684864296</v>
      </c>
      <c r="BT32" s="203">
        <v>559404179</v>
      </c>
      <c r="BU32" s="318">
        <f t="shared" si="29"/>
        <v>81.68</v>
      </c>
      <c r="BV32" s="201">
        <f t="shared" si="30"/>
        <v>854234071</v>
      </c>
      <c r="BW32" s="200">
        <f t="shared" si="30"/>
        <v>1030506866</v>
      </c>
      <c r="BX32" s="200">
        <f t="shared" si="30"/>
        <v>876524539</v>
      </c>
      <c r="BY32" s="373">
        <f t="shared" si="31"/>
        <v>85.06</v>
      </c>
      <c r="BZ32" s="18">
        <f t="shared" si="32"/>
        <v>854234071</v>
      </c>
      <c r="CA32" s="18">
        <f t="shared" si="32"/>
        <v>1030506866</v>
      </c>
      <c r="CB32" s="18">
        <f t="shared" si="32"/>
        <v>876524539</v>
      </c>
      <c r="CC32" s="318">
        <f t="shared" si="33"/>
        <v>85.06</v>
      </c>
    </row>
    <row r="33" spans="1:81" s="8" customFormat="1" ht="13.5">
      <c r="A33" s="34" t="s">
        <v>28</v>
      </c>
      <c r="B33" s="86"/>
      <c r="C33" s="30"/>
      <c r="D33" s="30"/>
      <c r="E33" s="331"/>
      <c r="F33" s="30"/>
      <c r="G33" s="30"/>
      <c r="H33" s="30"/>
      <c r="I33" s="318"/>
      <c r="J33" s="30"/>
      <c r="K33" s="30"/>
      <c r="L33" s="30"/>
      <c r="M33" s="318"/>
      <c r="N33" s="86"/>
      <c r="O33" s="144"/>
      <c r="P33" s="144"/>
      <c r="Q33" s="318"/>
      <c r="R33" s="86"/>
      <c r="S33" s="144"/>
      <c r="T33" s="144"/>
      <c r="U33" s="318"/>
      <c r="V33" s="86"/>
      <c r="W33" s="144"/>
      <c r="X33" s="144"/>
      <c r="Y33" s="318"/>
      <c r="Z33" s="86"/>
      <c r="AA33" s="144"/>
      <c r="AB33" s="144"/>
      <c r="AC33" s="318"/>
      <c r="AD33" s="86"/>
      <c r="AE33" s="144"/>
      <c r="AF33" s="144"/>
      <c r="AG33" s="318"/>
      <c r="AH33" s="86"/>
      <c r="AI33" s="144"/>
      <c r="AJ33" s="144"/>
      <c r="AK33" s="318"/>
      <c r="AL33" s="86"/>
      <c r="AM33" s="144"/>
      <c r="AN33" s="144"/>
      <c r="AO33" s="318"/>
      <c r="AP33" s="241">
        <f t="shared" si="22"/>
        <v>0</v>
      </c>
      <c r="AQ33" s="242">
        <f t="shared" si="23"/>
        <v>0</v>
      </c>
      <c r="AR33" s="242">
        <f t="shared" si="24"/>
        <v>0</v>
      </c>
      <c r="AS33" s="344"/>
      <c r="AT33" s="86"/>
      <c r="AU33" s="144"/>
      <c r="AV33" s="144"/>
      <c r="AW33" s="318"/>
      <c r="AX33" s="86"/>
      <c r="AY33" s="144"/>
      <c r="AZ33" s="144"/>
      <c r="BA33" s="318"/>
      <c r="BB33" s="86"/>
      <c r="BC33" s="144"/>
      <c r="BD33" s="144"/>
      <c r="BE33" s="318"/>
      <c r="BF33" s="86"/>
      <c r="BG33" s="144"/>
      <c r="BH33" s="144"/>
      <c r="BI33" s="318"/>
      <c r="BJ33" s="283">
        <f t="shared" si="25"/>
        <v>0</v>
      </c>
      <c r="BK33" s="284">
        <f t="shared" si="26"/>
        <v>0</v>
      </c>
      <c r="BL33" s="284">
        <f t="shared" si="27"/>
        <v>0</v>
      </c>
      <c r="BM33" s="356"/>
      <c r="BN33" s="187">
        <f t="shared" si="28"/>
        <v>0</v>
      </c>
      <c r="BO33" s="194">
        <f t="shared" si="28"/>
        <v>0</v>
      </c>
      <c r="BP33" s="194">
        <f t="shared" si="28"/>
        <v>0</v>
      </c>
      <c r="BQ33" s="373"/>
      <c r="BR33" s="86">
        <v>24500000</v>
      </c>
      <c r="BS33" s="203">
        <v>24923362</v>
      </c>
      <c r="BT33" s="203">
        <v>24750525</v>
      </c>
      <c r="BU33" s="318">
        <f t="shared" si="29"/>
        <v>99.31</v>
      </c>
      <c r="BV33" s="201">
        <f t="shared" si="30"/>
        <v>24500000</v>
      </c>
      <c r="BW33" s="200">
        <f t="shared" si="30"/>
        <v>24923362</v>
      </c>
      <c r="BX33" s="200">
        <f t="shared" si="30"/>
        <v>24750525</v>
      </c>
      <c r="BY33" s="373">
        <f t="shared" si="31"/>
        <v>99.31</v>
      </c>
      <c r="BZ33" s="18">
        <f t="shared" si="32"/>
        <v>24500000</v>
      </c>
      <c r="CA33" s="18">
        <f t="shared" si="32"/>
        <v>24923362</v>
      </c>
      <c r="CB33" s="18">
        <f t="shared" si="32"/>
        <v>24750525</v>
      </c>
      <c r="CC33" s="318">
        <f t="shared" si="33"/>
        <v>99.31</v>
      </c>
    </row>
    <row r="34" spans="1:81" s="8" customFormat="1" ht="13.5">
      <c r="A34" s="34" t="s">
        <v>118</v>
      </c>
      <c r="B34" s="86">
        <f>SUM(B35:B38)</f>
        <v>0</v>
      </c>
      <c r="C34" s="30">
        <f>SUM(C35:C38)</f>
        <v>0</v>
      </c>
      <c r="D34" s="30">
        <f>SUM(D35:D38)</f>
        <v>0</v>
      </c>
      <c r="E34" s="331"/>
      <c r="F34" s="30">
        <f>SUM(F35:F38)</f>
        <v>0</v>
      </c>
      <c r="G34" s="30">
        <f>SUM(G35:G38)</f>
        <v>3887187</v>
      </c>
      <c r="H34" s="30">
        <f>SUM(H35:H38)</f>
        <v>3887187</v>
      </c>
      <c r="I34" s="318">
        <f>ROUND(H34/G34*100,2)</f>
        <v>100</v>
      </c>
      <c r="J34" s="30">
        <f>SUM(J35:J38)</f>
        <v>0</v>
      </c>
      <c r="K34" s="30">
        <f>SUM(K35:K38)</f>
        <v>425000</v>
      </c>
      <c r="L34" s="30">
        <f>SUM(L35:L38)</f>
        <v>400000</v>
      </c>
      <c r="M34" s="318">
        <f>ROUND(L34/K34*100,2)</f>
        <v>94.12</v>
      </c>
      <c r="N34" s="86">
        <f>SUM(N35:N38)</f>
        <v>0</v>
      </c>
      <c r="O34" s="144">
        <f>SUM(O35:O38)</f>
        <v>74138</v>
      </c>
      <c r="P34" s="144">
        <f>SUM(P35:P38)</f>
        <v>74138</v>
      </c>
      <c r="Q34" s="318">
        <f>ROUND(P34/O34*100,2)</f>
        <v>100</v>
      </c>
      <c r="R34" s="86">
        <f>SUM(R35:R38)</f>
        <v>0</v>
      </c>
      <c r="S34" s="144">
        <f>SUM(S35:S38)</f>
        <v>3551964</v>
      </c>
      <c r="T34" s="144">
        <f>SUM(T35:T38)</f>
        <v>3551964</v>
      </c>
      <c r="U34" s="318">
        <f>ROUND(T34/S34*100,2)</f>
        <v>100</v>
      </c>
      <c r="V34" s="86">
        <f>SUM(V35:V38)</f>
        <v>0</v>
      </c>
      <c r="W34" s="144">
        <f>SUM(W35:W38)</f>
        <v>1236890</v>
      </c>
      <c r="X34" s="144">
        <f>SUM(X35:X38)</f>
        <v>1236890</v>
      </c>
      <c r="Y34" s="318">
        <f>ROUND(X34/W34*100,2)</f>
        <v>100</v>
      </c>
      <c r="Z34" s="86">
        <f>SUM(Z35:Z38)</f>
        <v>0</v>
      </c>
      <c r="AA34" s="144">
        <f>SUM(AA35:AA38)</f>
        <v>734531</v>
      </c>
      <c r="AB34" s="144">
        <f>SUM(AB35:AB38)</f>
        <v>734531</v>
      </c>
      <c r="AC34" s="318">
        <f>ROUND(AB34/AA34*100,2)</f>
        <v>100</v>
      </c>
      <c r="AD34" s="86">
        <f>SUM(AD35:AD38)</f>
        <v>0</v>
      </c>
      <c r="AE34" s="144">
        <f>SUM(AE35:AE38)</f>
        <v>2176882</v>
      </c>
      <c r="AF34" s="144">
        <f>SUM(AF35:AF38)</f>
        <v>2176882</v>
      </c>
      <c r="AG34" s="318">
        <f>ROUND(AF34/AE34*100,2)</f>
        <v>100</v>
      </c>
      <c r="AH34" s="86">
        <f>SUM(AH35:AH38)</f>
        <v>0</v>
      </c>
      <c r="AI34" s="144">
        <f>SUM(AI35:AI38)</f>
        <v>0</v>
      </c>
      <c r="AJ34" s="144">
        <f>SUM(AJ35:AJ38)</f>
        <v>0</v>
      </c>
      <c r="AK34" s="318"/>
      <c r="AL34" s="275">
        <f>SUM(AL35:AL38)</f>
        <v>0</v>
      </c>
      <c r="AM34" s="144">
        <f>SUM(AM35:AM38)</f>
        <v>1386492</v>
      </c>
      <c r="AN34" s="144">
        <f>SUM(AN35:AN38)</f>
        <v>1386492</v>
      </c>
      <c r="AO34" s="318">
        <f>ROUND(AN34/AM34*100,2)</f>
        <v>100</v>
      </c>
      <c r="AP34" s="241">
        <f t="shared" si="22"/>
        <v>0</v>
      </c>
      <c r="AQ34" s="242">
        <f t="shared" si="23"/>
        <v>5534795</v>
      </c>
      <c r="AR34" s="242">
        <f t="shared" si="24"/>
        <v>5534795</v>
      </c>
      <c r="AS34" s="344">
        <f>ROUND(AR34/AQ34*100,2)</f>
        <v>100</v>
      </c>
      <c r="AT34" s="275">
        <f>SUM(AT35:AT38)</f>
        <v>0</v>
      </c>
      <c r="AU34" s="144">
        <f>SUM(AU35:AU38)</f>
        <v>0</v>
      </c>
      <c r="AV34" s="144">
        <f>SUM(AV35:AV38)</f>
        <v>0</v>
      </c>
      <c r="AW34" s="318"/>
      <c r="AX34" s="275">
        <f>SUM(AX35:AX38)</f>
        <v>0</v>
      </c>
      <c r="AY34" s="30">
        <f>SUM(AY35:AY38)</f>
        <v>0</v>
      </c>
      <c r="AZ34" s="144">
        <f>SUM(AZ35:AZ38)</f>
        <v>0</v>
      </c>
      <c r="BA34" s="318"/>
      <c r="BB34" s="275">
        <f>SUM(BB35:BB38)</f>
        <v>0</v>
      </c>
      <c r="BC34" s="30">
        <f>SUM(BC35:BC38)</f>
        <v>1180425</v>
      </c>
      <c r="BD34" s="144">
        <f>SUM(BD35:BD38)</f>
        <v>1180425</v>
      </c>
      <c r="BE34" s="318">
        <f>ROUND(BD34/BC34*100,2)</f>
        <v>100</v>
      </c>
      <c r="BF34" s="275">
        <f>SUM(BF35:BF38)</f>
        <v>0</v>
      </c>
      <c r="BG34" s="30">
        <f>SUM(BG35:BG38)</f>
        <v>759947</v>
      </c>
      <c r="BH34" s="144">
        <f>SUM(BH35:BH38)</f>
        <v>759947</v>
      </c>
      <c r="BI34" s="318">
        <f>ROUND(BH34/BG34*100,2)</f>
        <v>100</v>
      </c>
      <c r="BJ34" s="283">
        <f t="shared" si="25"/>
        <v>0</v>
      </c>
      <c r="BK34" s="284">
        <f t="shared" si="26"/>
        <v>1940372</v>
      </c>
      <c r="BL34" s="284">
        <f t="shared" si="27"/>
        <v>1940372</v>
      </c>
      <c r="BM34" s="356">
        <f>ROUND(BL34/BK34*100,2)</f>
        <v>100</v>
      </c>
      <c r="BN34" s="185">
        <f>SUM(BN35:BN38)</f>
        <v>0</v>
      </c>
      <c r="BO34" s="194">
        <f>SUM(BO35:BO38)</f>
        <v>15413456</v>
      </c>
      <c r="BP34" s="194">
        <f>SUM(BP35:BP38)</f>
        <v>15388456</v>
      </c>
      <c r="BQ34" s="373">
        <f>ROUND(BP34/BO34*100,2)</f>
        <v>99.84</v>
      </c>
      <c r="BR34" s="275">
        <f>SUM(BR35:BR38)</f>
        <v>88986530</v>
      </c>
      <c r="BS34" s="30">
        <f>SUM(BS35:BS38)</f>
        <v>145835336</v>
      </c>
      <c r="BT34" s="144">
        <f>SUM(BT35:BT38)</f>
        <v>65130254</v>
      </c>
      <c r="BU34" s="318">
        <f t="shared" si="29"/>
        <v>44.66</v>
      </c>
      <c r="BV34" s="201">
        <f>SUM(BV35:BV38)</f>
        <v>88986530</v>
      </c>
      <c r="BW34" s="216">
        <f>SUM(BW35:BW38)</f>
        <v>161248792</v>
      </c>
      <c r="BX34" s="216">
        <f>SUM(BX35:BX38)</f>
        <v>80518710</v>
      </c>
      <c r="BY34" s="373">
        <f t="shared" si="31"/>
        <v>49.93</v>
      </c>
      <c r="BZ34" s="18">
        <f>SUM(BZ35:BZ38)</f>
        <v>88986530</v>
      </c>
      <c r="CA34" s="18">
        <f>SUM(CA35:CA38)</f>
        <v>161248792</v>
      </c>
      <c r="CB34" s="18">
        <f>SUM(CB35:CB38)</f>
        <v>80518710</v>
      </c>
      <c r="CC34" s="318">
        <f t="shared" si="33"/>
        <v>49.93</v>
      </c>
    </row>
    <row r="35" spans="1:81" s="8" customFormat="1" ht="13.5">
      <c r="A35" s="44" t="s">
        <v>107</v>
      </c>
      <c r="B35" s="85"/>
      <c r="C35" s="47"/>
      <c r="D35" s="47"/>
      <c r="E35" s="332"/>
      <c r="F35" s="47"/>
      <c r="G35" s="47">
        <v>3887187</v>
      </c>
      <c r="H35" s="47">
        <v>3887187</v>
      </c>
      <c r="I35" s="317">
        <f>ROUND(H35/G35*100,2)</f>
        <v>100</v>
      </c>
      <c r="J35" s="47"/>
      <c r="K35" s="47">
        <v>425000</v>
      </c>
      <c r="L35" s="47">
        <v>400000</v>
      </c>
      <c r="M35" s="317">
        <f>ROUND(L35/K35*100,2)</f>
        <v>94.12</v>
      </c>
      <c r="N35" s="85"/>
      <c r="O35" s="143"/>
      <c r="P35" s="143"/>
      <c r="Q35" s="317"/>
      <c r="R35" s="85"/>
      <c r="S35" s="143">
        <v>3551964</v>
      </c>
      <c r="T35" s="143">
        <v>3551964</v>
      </c>
      <c r="U35" s="318">
        <f>ROUND(T35/S35*100,2)</f>
        <v>100</v>
      </c>
      <c r="V35" s="85"/>
      <c r="W35" s="143">
        <v>1236890</v>
      </c>
      <c r="X35" s="143">
        <v>1236890</v>
      </c>
      <c r="Y35" s="317">
        <f>ROUND(X35/W35*100,2)</f>
        <v>100</v>
      </c>
      <c r="Z35" s="85"/>
      <c r="AA35" s="143">
        <v>734531</v>
      </c>
      <c r="AB35" s="143">
        <v>734531</v>
      </c>
      <c r="AC35" s="317">
        <f>ROUND(AB35/AA35*100,2)</f>
        <v>100</v>
      </c>
      <c r="AD35" s="85"/>
      <c r="AE35" s="143">
        <v>2176882</v>
      </c>
      <c r="AF35" s="143">
        <v>2176882</v>
      </c>
      <c r="AG35" s="317">
        <f>ROUND(AF35/AE35*100,2)</f>
        <v>100</v>
      </c>
      <c r="AH35" s="85"/>
      <c r="AI35" s="143"/>
      <c r="AJ35" s="143"/>
      <c r="AK35" s="317"/>
      <c r="AL35" s="85"/>
      <c r="AM35" s="143">
        <v>1386492</v>
      </c>
      <c r="AN35" s="143">
        <v>1386492</v>
      </c>
      <c r="AO35" s="317">
        <f>ROUND(AN35/AM35*100,2)</f>
        <v>100</v>
      </c>
      <c r="AP35" s="239">
        <f t="shared" si="22"/>
        <v>0</v>
      </c>
      <c r="AQ35" s="240">
        <f t="shared" si="23"/>
        <v>5534795</v>
      </c>
      <c r="AR35" s="240">
        <f t="shared" si="24"/>
        <v>5534795</v>
      </c>
      <c r="AS35" s="343"/>
      <c r="AT35" s="85"/>
      <c r="AU35" s="143"/>
      <c r="AV35" s="143"/>
      <c r="AW35" s="317"/>
      <c r="AX35" s="85"/>
      <c r="AY35" s="143"/>
      <c r="AZ35" s="143"/>
      <c r="BA35" s="317"/>
      <c r="BB35" s="85"/>
      <c r="BC35" s="143">
        <v>1180425</v>
      </c>
      <c r="BD35" s="143">
        <v>1180425</v>
      </c>
      <c r="BE35" s="317"/>
      <c r="BF35" s="85"/>
      <c r="BG35" s="143">
        <v>759947</v>
      </c>
      <c r="BH35" s="143">
        <v>759947</v>
      </c>
      <c r="BI35" s="317"/>
      <c r="BJ35" s="281">
        <f t="shared" si="25"/>
        <v>0</v>
      </c>
      <c r="BK35" s="282">
        <f t="shared" si="26"/>
        <v>1940372</v>
      </c>
      <c r="BL35" s="282">
        <f t="shared" si="27"/>
        <v>1940372</v>
      </c>
      <c r="BM35" s="355"/>
      <c r="BN35" s="185">
        <f aca="true" t="shared" si="34" ref="BN35:BP38">B35+F35+J35+N35+R35+BJ35+AP35</f>
        <v>0</v>
      </c>
      <c r="BO35" s="194">
        <f t="shared" si="34"/>
        <v>15339318</v>
      </c>
      <c r="BP35" s="194">
        <f t="shared" si="34"/>
        <v>15314318</v>
      </c>
      <c r="BQ35" s="374"/>
      <c r="BR35" s="85">
        <v>0</v>
      </c>
      <c r="BS35" s="47">
        <v>6604673</v>
      </c>
      <c r="BT35" s="47">
        <v>6604673</v>
      </c>
      <c r="BU35" s="317">
        <f t="shared" si="29"/>
        <v>100</v>
      </c>
      <c r="BV35" s="224">
        <f aca="true" t="shared" si="35" ref="BV35:BX38">BR35+BN35</f>
        <v>0</v>
      </c>
      <c r="BW35" s="200">
        <f t="shared" si="35"/>
        <v>21943991</v>
      </c>
      <c r="BX35" s="200">
        <f t="shared" si="35"/>
        <v>21918991</v>
      </c>
      <c r="BY35" s="384">
        <f t="shared" si="31"/>
        <v>99.89</v>
      </c>
      <c r="BZ35" s="45">
        <f aca="true" t="shared" si="36" ref="BZ35:CB38">BV35</f>
        <v>0</v>
      </c>
      <c r="CA35" s="45">
        <f t="shared" si="36"/>
        <v>21943991</v>
      </c>
      <c r="CB35" s="45">
        <f t="shared" si="36"/>
        <v>21918991</v>
      </c>
      <c r="CC35" s="317">
        <f t="shared" si="33"/>
        <v>99.89</v>
      </c>
    </row>
    <row r="36" spans="1:81" s="8" customFormat="1" ht="13.5">
      <c r="A36" s="44" t="s">
        <v>123</v>
      </c>
      <c r="B36" s="85"/>
      <c r="C36" s="47"/>
      <c r="D36" s="47"/>
      <c r="E36" s="332"/>
      <c r="F36" s="47"/>
      <c r="G36" s="47"/>
      <c r="H36" s="47"/>
      <c r="I36" s="317"/>
      <c r="J36" s="47"/>
      <c r="K36" s="47"/>
      <c r="L36" s="47"/>
      <c r="M36" s="317"/>
      <c r="N36" s="85"/>
      <c r="O36" s="143">
        <v>59618</v>
      </c>
      <c r="P36" s="143">
        <v>59618</v>
      </c>
      <c r="Q36" s="317">
        <f>ROUND(P36/O36*100,2)</f>
        <v>100</v>
      </c>
      <c r="R36" s="85"/>
      <c r="S36" s="143"/>
      <c r="T36" s="143"/>
      <c r="U36" s="317"/>
      <c r="V36" s="85"/>
      <c r="W36" s="143"/>
      <c r="X36" s="143"/>
      <c r="Y36" s="317"/>
      <c r="Z36" s="85"/>
      <c r="AA36" s="143"/>
      <c r="AB36" s="143"/>
      <c r="AC36" s="317"/>
      <c r="AD36" s="85"/>
      <c r="AE36" s="143"/>
      <c r="AF36" s="143"/>
      <c r="AG36" s="317"/>
      <c r="AH36" s="85"/>
      <c r="AI36" s="143"/>
      <c r="AJ36" s="143"/>
      <c r="AK36" s="317"/>
      <c r="AL36" s="85"/>
      <c r="AM36" s="143"/>
      <c r="AN36" s="143"/>
      <c r="AO36" s="317"/>
      <c r="AP36" s="239">
        <f t="shared" si="22"/>
        <v>0</v>
      </c>
      <c r="AQ36" s="240">
        <f t="shared" si="23"/>
        <v>0</v>
      </c>
      <c r="AR36" s="240">
        <f t="shared" si="24"/>
        <v>0</v>
      </c>
      <c r="AS36" s="343"/>
      <c r="AT36" s="85"/>
      <c r="AU36" s="143"/>
      <c r="AV36" s="143"/>
      <c r="AW36" s="317"/>
      <c r="AX36" s="85"/>
      <c r="AY36" s="143"/>
      <c r="AZ36" s="143"/>
      <c r="BA36" s="317"/>
      <c r="BB36" s="85"/>
      <c r="BC36" s="143"/>
      <c r="BD36" s="143"/>
      <c r="BE36" s="317"/>
      <c r="BF36" s="85"/>
      <c r="BG36" s="143"/>
      <c r="BH36" s="143"/>
      <c r="BI36" s="317"/>
      <c r="BJ36" s="281">
        <f t="shared" si="25"/>
        <v>0</v>
      </c>
      <c r="BK36" s="282">
        <f t="shared" si="26"/>
        <v>0</v>
      </c>
      <c r="BL36" s="282">
        <f t="shared" si="27"/>
        <v>0</v>
      </c>
      <c r="BM36" s="355"/>
      <c r="BN36" s="185">
        <f t="shared" si="34"/>
        <v>0</v>
      </c>
      <c r="BO36" s="194">
        <f t="shared" si="34"/>
        <v>59618</v>
      </c>
      <c r="BP36" s="194">
        <f t="shared" si="34"/>
        <v>59618</v>
      </c>
      <c r="BQ36" s="374">
        <f>ROUND(BP36/BO36*100,2)</f>
        <v>100</v>
      </c>
      <c r="BR36" s="85">
        <v>4103300</v>
      </c>
      <c r="BS36" s="47">
        <v>4523642</v>
      </c>
      <c r="BT36" s="47">
        <v>2695065</v>
      </c>
      <c r="BU36" s="317">
        <f t="shared" si="29"/>
        <v>59.58</v>
      </c>
      <c r="BV36" s="201">
        <f t="shared" si="35"/>
        <v>4103300</v>
      </c>
      <c r="BW36" s="217">
        <f t="shared" si="35"/>
        <v>4583260</v>
      </c>
      <c r="BX36" s="217">
        <f t="shared" si="35"/>
        <v>2754683</v>
      </c>
      <c r="BY36" s="374">
        <f t="shared" si="31"/>
        <v>60.1</v>
      </c>
      <c r="BZ36" s="45">
        <f t="shared" si="36"/>
        <v>4103300</v>
      </c>
      <c r="CA36" s="45">
        <f t="shared" si="36"/>
        <v>4583260</v>
      </c>
      <c r="CB36" s="45">
        <f t="shared" si="36"/>
        <v>2754683</v>
      </c>
      <c r="CC36" s="317">
        <f t="shared" si="33"/>
        <v>60.1</v>
      </c>
    </row>
    <row r="37" spans="1:81" s="8" customFormat="1" ht="13.5">
      <c r="A37" s="44" t="s">
        <v>124</v>
      </c>
      <c r="B37" s="85"/>
      <c r="C37" s="47"/>
      <c r="D37" s="47"/>
      <c r="E37" s="332"/>
      <c r="F37" s="47"/>
      <c r="G37" s="47"/>
      <c r="H37" s="47"/>
      <c r="I37" s="317"/>
      <c r="J37" s="47"/>
      <c r="K37" s="47"/>
      <c r="L37" s="47"/>
      <c r="M37" s="317"/>
      <c r="N37" s="85"/>
      <c r="O37" s="143">
        <v>14520</v>
      </c>
      <c r="P37" s="143">
        <v>14520</v>
      </c>
      <c r="Q37" s="317">
        <f>ROUND(P37/O37*100,2)</f>
        <v>100</v>
      </c>
      <c r="R37" s="85"/>
      <c r="S37" s="143"/>
      <c r="T37" s="143"/>
      <c r="U37" s="317"/>
      <c r="V37" s="85"/>
      <c r="W37" s="143"/>
      <c r="X37" s="143"/>
      <c r="Y37" s="317"/>
      <c r="Z37" s="85"/>
      <c r="AA37" s="143"/>
      <c r="AB37" s="143"/>
      <c r="AC37" s="317"/>
      <c r="AD37" s="85"/>
      <c r="AE37" s="143"/>
      <c r="AF37" s="143"/>
      <c r="AG37" s="317"/>
      <c r="AH37" s="85"/>
      <c r="AI37" s="143"/>
      <c r="AJ37" s="143"/>
      <c r="AK37" s="317"/>
      <c r="AL37" s="85"/>
      <c r="AM37" s="143"/>
      <c r="AN37" s="143"/>
      <c r="AO37" s="317"/>
      <c r="AP37" s="239">
        <f t="shared" si="22"/>
        <v>0</v>
      </c>
      <c r="AQ37" s="240">
        <f t="shared" si="23"/>
        <v>0</v>
      </c>
      <c r="AR37" s="240">
        <f t="shared" si="24"/>
        <v>0</v>
      </c>
      <c r="AS37" s="343"/>
      <c r="AT37" s="85"/>
      <c r="AU37" s="143"/>
      <c r="AV37" s="143"/>
      <c r="AW37" s="317"/>
      <c r="AX37" s="85"/>
      <c r="AY37" s="143"/>
      <c r="AZ37" s="143"/>
      <c r="BA37" s="317"/>
      <c r="BB37" s="85"/>
      <c r="BC37" s="143"/>
      <c r="BD37" s="143"/>
      <c r="BE37" s="317"/>
      <c r="BF37" s="85"/>
      <c r="BG37" s="143"/>
      <c r="BH37" s="143"/>
      <c r="BI37" s="317"/>
      <c r="BJ37" s="281">
        <f t="shared" si="25"/>
        <v>0</v>
      </c>
      <c r="BK37" s="282">
        <f t="shared" si="26"/>
        <v>0</v>
      </c>
      <c r="BL37" s="282">
        <f t="shared" si="27"/>
        <v>0</v>
      </c>
      <c r="BM37" s="355"/>
      <c r="BN37" s="185">
        <f t="shared" si="34"/>
        <v>0</v>
      </c>
      <c r="BO37" s="194">
        <f t="shared" si="34"/>
        <v>14520</v>
      </c>
      <c r="BP37" s="194">
        <f t="shared" si="34"/>
        <v>14520</v>
      </c>
      <c r="BQ37" s="374"/>
      <c r="BR37" s="85">
        <v>53083516</v>
      </c>
      <c r="BS37" s="47">
        <v>55833516</v>
      </c>
      <c r="BT37" s="47">
        <v>55830516</v>
      </c>
      <c r="BU37" s="317">
        <f t="shared" si="29"/>
        <v>99.99</v>
      </c>
      <c r="BV37" s="201">
        <f t="shared" si="35"/>
        <v>53083516</v>
      </c>
      <c r="BW37" s="200">
        <f t="shared" si="35"/>
        <v>55848036</v>
      </c>
      <c r="BX37" s="200">
        <f t="shared" si="35"/>
        <v>55845036</v>
      </c>
      <c r="BY37" s="374">
        <f t="shared" si="31"/>
        <v>99.99</v>
      </c>
      <c r="BZ37" s="45">
        <f t="shared" si="36"/>
        <v>53083516</v>
      </c>
      <c r="CA37" s="45">
        <f t="shared" si="36"/>
        <v>55848036</v>
      </c>
      <c r="CB37" s="45">
        <f t="shared" si="36"/>
        <v>55845036</v>
      </c>
      <c r="CC37" s="317">
        <f t="shared" si="33"/>
        <v>99.99</v>
      </c>
    </row>
    <row r="38" spans="1:81" s="8" customFormat="1" ht="14.25" thickBot="1">
      <c r="A38" s="44" t="s">
        <v>119</v>
      </c>
      <c r="B38" s="94"/>
      <c r="C38" s="95"/>
      <c r="D38" s="95"/>
      <c r="E38" s="333"/>
      <c r="F38" s="95"/>
      <c r="G38" s="95"/>
      <c r="H38" s="95"/>
      <c r="I38" s="327"/>
      <c r="J38" s="95"/>
      <c r="K38" s="95"/>
      <c r="L38" s="95"/>
      <c r="M38" s="327"/>
      <c r="N38" s="94"/>
      <c r="O38" s="149"/>
      <c r="P38" s="149"/>
      <c r="Q38" s="327"/>
      <c r="R38" s="94"/>
      <c r="S38" s="149"/>
      <c r="T38" s="149"/>
      <c r="U38" s="327"/>
      <c r="V38" s="94"/>
      <c r="W38" s="149"/>
      <c r="X38" s="149"/>
      <c r="Y38" s="327"/>
      <c r="Z38" s="94"/>
      <c r="AA38" s="149"/>
      <c r="AB38" s="149"/>
      <c r="AC38" s="327"/>
      <c r="AD38" s="94"/>
      <c r="AE38" s="149"/>
      <c r="AF38" s="149"/>
      <c r="AG38" s="327"/>
      <c r="AH38" s="94"/>
      <c r="AI38" s="149"/>
      <c r="AJ38" s="149"/>
      <c r="AK38" s="327"/>
      <c r="AL38" s="94"/>
      <c r="AM38" s="149"/>
      <c r="AN38" s="149"/>
      <c r="AO38" s="327"/>
      <c r="AP38" s="254">
        <f t="shared" si="22"/>
        <v>0</v>
      </c>
      <c r="AQ38" s="255">
        <f t="shared" si="23"/>
        <v>0</v>
      </c>
      <c r="AR38" s="255">
        <f t="shared" si="24"/>
        <v>0</v>
      </c>
      <c r="AS38" s="349"/>
      <c r="AT38" s="94"/>
      <c r="AU38" s="149"/>
      <c r="AV38" s="149"/>
      <c r="AW38" s="327"/>
      <c r="AX38" s="94"/>
      <c r="AY38" s="149"/>
      <c r="AZ38" s="149"/>
      <c r="BA38" s="327"/>
      <c r="BB38" s="94"/>
      <c r="BC38" s="149"/>
      <c r="BD38" s="149"/>
      <c r="BE38" s="327"/>
      <c r="BF38" s="94"/>
      <c r="BG38" s="149"/>
      <c r="BH38" s="149"/>
      <c r="BI38" s="327"/>
      <c r="BJ38" s="296">
        <f t="shared" si="25"/>
        <v>0</v>
      </c>
      <c r="BK38" s="297">
        <f t="shared" si="26"/>
        <v>0</v>
      </c>
      <c r="BL38" s="297">
        <f t="shared" si="27"/>
        <v>0</v>
      </c>
      <c r="BM38" s="361"/>
      <c r="BN38" s="185">
        <f t="shared" si="34"/>
        <v>0</v>
      </c>
      <c r="BO38" s="197">
        <f t="shared" si="34"/>
        <v>0</v>
      </c>
      <c r="BP38" s="197">
        <f t="shared" si="34"/>
        <v>0</v>
      </c>
      <c r="BQ38" s="375"/>
      <c r="BR38" s="94">
        <v>31799714</v>
      </c>
      <c r="BS38" s="48">
        <v>78873505</v>
      </c>
      <c r="BT38" s="48">
        <v>0</v>
      </c>
      <c r="BU38" s="327">
        <f t="shared" si="29"/>
        <v>0</v>
      </c>
      <c r="BV38" s="213">
        <f t="shared" si="35"/>
        <v>31799714</v>
      </c>
      <c r="BW38" s="218">
        <f t="shared" si="35"/>
        <v>78873505</v>
      </c>
      <c r="BX38" s="218">
        <f t="shared" si="35"/>
        <v>0</v>
      </c>
      <c r="BY38" s="375">
        <f t="shared" si="31"/>
        <v>0</v>
      </c>
      <c r="BZ38" s="19">
        <f t="shared" si="36"/>
        <v>31799714</v>
      </c>
      <c r="CA38" s="19">
        <f t="shared" si="36"/>
        <v>78873505</v>
      </c>
      <c r="CB38" s="19">
        <f t="shared" si="36"/>
        <v>0</v>
      </c>
      <c r="CC38" s="327">
        <f t="shared" si="33"/>
        <v>0</v>
      </c>
    </row>
    <row r="39" spans="1:81" s="8" customFormat="1" ht="14.25" thickBot="1">
      <c r="A39" s="172" t="s">
        <v>110</v>
      </c>
      <c r="B39" s="157">
        <f>B30+B31+B32+B33+B34</f>
        <v>43398470</v>
      </c>
      <c r="C39" s="157">
        <f>C30+C31+C32+C33+C34</f>
        <v>51113683</v>
      </c>
      <c r="D39" s="157">
        <f>D30+D31+D32+D33+D34</f>
        <v>47402507</v>
      </c>
      <c r="E39" s="334">
        <f>ROUND(D39/C39*100,2)</f>
        <v>92.74</v>
      </c>
      <c r="F39" s="158">
        <f>F30+F31+F32+F33+F34</f>
        <v>176309548</v>
      </c>
      <c r="G39" s="158">
        <f>G30+G31+G32+G33+G34</f>
        <v>217228740</v>
      </c>
      <c r="H39" s="158">
        <f>H30+H31+H32+H33+H34</f>
        <v>200828065</v>
      </c>
      <c r="I39" s="329">
        <f>ROUND(H39/G39*100,2)</f>
        <v>92.45</v>
      </c>
      <c r="J39" s="158">
        <f>J30+J31+J32+J33+J34</f>
        <v>49450543</v>
      </c>
      <c r="K39" s="158">
        <f>K30+K31+K32+K33+K34</f>
        <v>59386501</v>
      </c>
      <c r="L39" s="158">
        <f>L30+L31+L32+L33+L34</f>
        <v>53930012</v>
      </c>
      <c r="M39" s="329">
        <f>ROUND(L39/K39*100,2)</f>
        <v>90.81</v>
      </c>
      <c r="N39" s="157">
        <f>N30+N31+N32+N33+N34</f>
        <v>327180037</v>
      </c>
      <c r="O39" s="160">
        <f>O30+O31+O32+O33+O34</f>
        <v>334312579</v>
      </c>
      <c r="P39" s="160">
        <f>P30+P31+P32+P33+P34</f>
        <v>330351909</v>
      </c>
      <c r="Q39" s="329">
        <f>ROUND(P39/O39*100,2)</f>
        <v>98.82</v>
      </c>
      <c r="R39" s="157">
        <f>R30+R31+R32+R33+R34</f>
        <v>232120847</v>
      </c>
      <c r="S39" s="160">
        <f>S30+S31+S32+S33+S34</f>
        <v>263076301</v>
      </c>
      <c r="T39" s="160">
        <f>T30+T31+T32+T33+T34</f>
        <v>244099306</v>
      </c>
      <c r="U39" s="329">
        <f>ROUND(T39/S39*100,2)</f>
        <v>92.79</v>
      </c>
      <c r="V39" s="157">
        <f>V30+V31+V32+V33+V34</f>
        <v>85486981</v>
      </c>
      <c r="W39" s="160">
        <f>W30+W31+W32+W33+W34</f>
        <v>90340236</v>
      </c>
      <c r="X39" s="160">
        <f>X30+X31+X32+X33+X34</f>
        <v>85478176</v>
      </c>
      <c r="Y39" s="329">
        <f>ROUND(X39/W39*100,2)</f>
        <v>94.62</v>
      </c>
      <c r="Z39" s="157">
        <f>Z30+Z31+Z32+Z33+Z34</f>
        <v>27371589</v>
      </c>
      <c r="AA39" s="160">
        <f>AA30+AA31+AA32+AA33+AA34</f>
        <v>28232167</v>
      </c>
      <c r="AB39" s="160">
        <f>AB30+AB31+AB32+AB33+AB34</f>
        <v>26109357</v>
      </c>
      <c r="AC39" s="329">
        <f>ROUND(AB39/AA39*100,2)</f>
        <v>92.48</v>
      </c>
      <c r="AD39" s="157">
        <f>AD30+AD31+AD32+AD33+AD34</f>
        <v>51936936</v>
      </c>
      <c r="AE39" s="160">
        <f>AE30+AE31+AE32+AE33+AE34</f>
        <v>55438661</v>
      </c>
      <c r="AF39" s="160">
        <f>AF30+AF31+AF32+AF33+AF34</f>
        <v>51580939</v>
      </c>
      <c r="AG39" s="329">
        <f>ROUND(AF39/AE39*100,2)</f>
        <v>93.04</v>
      </c>
      <c r="AH39" s="157">
        <f>AH30+AH31+AH32+AH33+AH34</f>
        <v>19334953</v>
      </c>
      <c r="AI39" s="160">
        <f>AI30+AI31+AI32+AI33+AI34</f>
        <v>19562996</v>
      </c>
      <c r="AJ39" s="160">
        <f>AJ30+AJ31+AJ32+AJ33+AJ34</f>
        <v>19586414</v>
      </c>
      <c r="AK39" s="329">
        <f>ROUND(AJ39/AI39*100,2)</f>
        <v>100.12</v>
      </c>
      <c r="AL39" s="157">
        <f>AL30+AL31+AL32+AL33+AL34</f>
        <v>14208750</v>
      </c>
      <c r="AM39" s="160">
        <f>AM30+AM31+AM32+AM33+AM34</f>
        <v>15608820</v>
      </c>
      <c r="AN39" s="160">
        <f>AN30+AN31+AN32+AN33+AN34</f>
        <v>14972335</v>
      </c>
      <c r="AO39" s="329">
        <f>ROUND(AN39/AM39*100,2)</f>
        <v>95.92</v>
      </c>
      <c r="AP39" s="245">
        <f t="shared" si="22"/>
        <v>198339209</v>
      </c>
      <c r="AQ39" s="246">
        <f t="shared" si="23"/>
        <v>209182880</v>
      </c>
      <c r="AR39" s="246">
        <f t="shared" si="24"/>
        <v>197727221</v>
      </c>
      <c r="AS39" s="346">
        <f>ROUND(AR39/AQ39*100,2)</f>
        <v>94.52</v>
      </c>
      <c r="AT39" s="157">
        <f>AT30+AT31+AT32+AT33+AT34</f>
        <v>83525714</v>
      </c>
      <c r="AU39" s="160">
        <f>AU30+AU31+AU32+AU33+AU34</f>
        <v>89576347</v>
      </c>
      <c r="AV39" s="160">
        <f>AV30+AV31+AV32+AV33+AV34</f>
        <v>86959620</v>
      </c>
      <c r="AW39" s="329">
        <f>ROUND(AV39/AU39*100,2)</f>
        <v>97.08</v>
      </c>
      <c r="AX39" s="157">
        <f>AX30+AX31+AX32+AX33+AX34</f>
        <v>22648244</v>
      </c>
      <c r="AY39" s="160">
        <f>AY30+AY31+AY32+AY33+AY34</f>
        <v>23679707</v>
      </c>
      <c r="AZ39" s="160">
        <f>AZ30+AZ31+AZ32+AZ33+AZ34</f>
        <v>21609549</v>
      </c>
      <c r="BA39" s="329">
        <f>ROUND(AZ39/AY39*100,2)</f>
        <v>91.26</v>
      </c>
      <c r="BB39" s="157">
        <f>BB30+BB31+BB32+BB33+BB34</f>
        <v>0</v>
      </c>
      <c r="BC39" s="160">
        <f>BC30+BC31+BC32+BC33+BC34</f>
        <v>1180425</v>
      </c>
      <c r="BD39" s="160">
        <f>BD30+BD31+BD32+BD33+BD34</f>
        <v>1180425</v>
      </c>
      <c r="BE39" s="329">
        <f>ROUND(BD39/BC39*100,2)</f>
        <v>100</v>
      </c>
      <c r="BF39" s="157">
        <f>BF30+BF31+BF32+BF33+BF34</f>
        <v>15012577</v>
      </c>
      <c r="BG39" s="160">
        <f>BG30+BG31+BG32+BG33+BG34</f>
        <v>16072524</v>
      </c>
      <c r="BH39" s="160">
        <f>BH30+BH31+BH32+BH33+BH34</f>
        <v>15865240</v>
      </c>
      <c r="BI39" s="329">
        <f>ROUND(BH39/BG39*100,2)</f>
        <v>98.71</v>
      </c>
      <c r="BJ39" s="287">
        <f t="shared" si="25"/>
        <v>121186535</v>
      </c>
      <c r="BK39" s="288">
        <f t="shared" si="26"/>
        <v>130509003</v>
      </c>
      <c r="BL39" s="288">
        <f t="shared" si="27"/>
        <v>125614834</v>
      </c>
      <c r="BM39" s="358">
        <f>ROUND(BL39/BK39*100,2)</f>
        <v>96.25</v>
      </c>
      <c r="BN39" s="186">
        <f>BN30+BN31+BN32+BN33+BN34</f>
        <v>1147985189</v>
      </c>
      <c r="BO39" s="192">
        <f>BO30+BO31+BO32+BO33+BO34</f>
        <v>1264809687</v>
      </c>
      <c r="BP39" s="192">
        <f>BP30+BP31+BP32+BP33+BP34</f>
        <v>1199953854</v>
      </c>
      <c r="BQ39" s="329">
        <f>ROUND(BP39/BO39*100,2)</f>
        <v>94.87</v>
      </c>
      <c r="BR39" s="157">
        <f>BR30+BR31+BR32+BR33+BR34</f>
        <v>719583172</v>
      </c>
      <c r="BS39" s="178">
        <f>BS30+BS31+BS32+BS33+BS34</f>
        <v>918613314</v>
      </c>
      <c r="BT39" s="178">
        <f>BT30+BT31+BT32+BT33+BT34</f>
        <v>707536820</v>
      </c>
      <c r="BU39" s="340">
        <f t="shared" si="29"/>
        <v>77.02</v>
      </c>
      <c r="BV39" s="177">
        <f>BV30+BV31+BV32+BV33+BV34</f>
        <v>1867568361</v>
      </c>
      <c r="BW39" s="178">
        <f>BW30+BW31+BW32+BW33+BW34</f>
        <v>2183423001</v>
      </c>
      <c r="BX39" s="178">
        <f>BX30+BX31+BX32+BX33+BX34</f>
        <v>1907490674</v>
      </c>
      <c r="BY39" s="340">
        <f t="shared" si="31"/>
        <v>87.36</v>
      </c>
      <c r="BZ39" s="159">
        <f>BZ30+BZ31+BZ32+BZ33+BZ34</f>
        <v>1867568361</v>
      </c>
      <c r="CA39" s="159">
        <f>CA30+CA31+CA32+CA33+CA34</f>
        <v>2183423001</v>
      </c>
      <c r="CB39" s="159">
        <f>CB30+CB31+CB32+CB33+CB34</f>
        <v>1907490674</v>
      </c>
      <c r="CC39" s="329">
        <f t="shared" si="33"/>
        <v>87.36</v>
      </c>
    </row>
    <row r="40" spans="1:81" s="8" customFormat="1" ht="13.5">
      <c r="A40" s="25" t="s">
        <v>61</v>
      </c>
      <c r="B40" s="86"/>
      <c r="C40" s="30">
        <v>12717587</v>
      </c>
      <c r="D40" s="30">
        <v>7807005</v>
      </c>
      <c r="E40" s="331">
        <f>ROUND(D40/C40*100,2)</f>
        <v>61.39</v>
      </c>
      <c r="F40" s="30">
        <v>2732431</v>
      </c>
      <c r="G40" s="30">
        <v>4732431</v>
      </c>
      <c r="H40" s="30">
        <v>2900098</v>
      </c>
      <c r="I40" s="318">
        <f>ROUND(H40/G40*100,2)</f>
        <v>61.28</v>
      </c>
      <c r="J40" s="30"/>
      <c r="K40" s="30">
        <v>2902847</v>
      </c>
      <c r="L40" s="30">
        <v>2902847</v>
      </c>
      <c r="M40" s="318">
        <f>ROUND(L40/K40*100,2)</f>
        <v>100</v>
      </c>
      <c r="N40" s="86">
        <v>2000000</v>
      </c>
      <c r="O40" s="144">
        <v>5155000</v>
      </c>
      <c r="P40" s="144">
        <v>5155000</v>
      </c>
      <c r="Q40" s="318">
        <f>ROUND(P40/O40*100,2)</f>
        <v>100</v>
      </c>
      <c r="R40" s="86">
        <v>890000</v>
      </c>
      <c r="S40" s="144">
        <v>7146264</v>
      </c>
      <c r="T40" s="144">
        <v>4743409</v>
      </c>
      <c r="U40" s="318">
        <f>ROUND(T40/S40*100,2)</f>
        <v>66.38</v>
      </c>
      <c r="V40" s="86">
        <v>550000</v>
      </c>
      <c r="W40" s="144">
        <v>1864900</v>
      </c>
      <c r="X40" s="144">
        <v>1998032</v>
      </c>
      <c r="Y40" s="318">
        <f>ROUND(X40/W40*100,2)</f>
        <v>107.14</v>
      </c>
      <c r="Z40" s="86">
        <v>150000</v>
      </c>
      <c r="AA40" s="144">
        <v>215900</v>
      </c>
      <c r="AB40" s="144">
        <v>215900</v>
      </c>
      <c r="AC40" s="318">
        <f>ROUND(AB40/AA40*100,2)</f>
        <v>100</v>
      </c>
      <c r="AD40" s="86"/>
      <c r="AE40" s="144">
        <v>150324</v>
      </c>
      <c r="AF40" s="144">
        <v>150322</v>
      </c>
      <c r="AG40" s="318">
        <f>ROUND(AF40/AE40*100,2)</f>
        <v>100</v>
      </c>
      <c r="AH40" s="86"/>
      <c r="AI40" s="144">
        <v>1614892</v>
      </c>
      <c r="AJ40" s="144">
        <v>1424248</v>
      </c>
      <c r="AK40" s="318">
        <f>ROUND(AJ40/AI40*100,2)</f>
        <v>88.19</v>
      </c>
      <c r="AL40" s="86"/>
      <c r="AM40" s="144">
        <v>54864</v>
      </c>
      <c r="AN40" s="144">
        <v>0</v>
      </c>
      <c r="AO40" s="318"/>
      <c r="AP40" s="241">
        <f t="shared" si="22"/>
        <v>700000</v>
      </c>
      <c r="AQ40" s="242">
        <f t="shared" si="23"/>
        <v>3900880</v>
      </c>
      <c r="AR40" s="242">
        <f t="shared" si="24"/>
        <v>3788502</v>
      </c>
      <c r="AS40" s="344">
        <f>ROUND(AR40/AQ40*100,2)</f>
        <v>97.12</v>
      </c>
      <c r="AT40" s="86">
        <v>1000000</v>
      </c>
      <c r="AU40" s="144">
        <v>1030531</v>
      </c>
      <c r="AV40" s="144">
        <v>1060354</v>
      </c>
      <c r="AW40" s="318">
        <f>ROUND(AV40/AU40*100,2)</f>
        <v>102.89</v>
      </c>
      <c r="AX40" s="86">
        <v>200000</v>
      </c>
      <c r="AY40" s="144">
        <v>200000</v>
      </c>
      <c r="AZ40" s="144">
        <v>170177</v>
      </c>
      <c r="BA40" s="318">
        <f>ROUND(AZ40/AY40*100,2)</f>
        <v>85.09</v>
      </c>
      <c r="BB40" s="86"/>
      <c r="BC40" s="144"/>
      <c r="BD40" s="144"/>
      <c r="BE40" s="318"/>
      <c r="BF40" s="86"/>
      <c r="BG40" s="144"/>
      <c r="BH40" s="144"/>
      <c r="BI40" s="318"/>
      <c r="BJ40" s="283">
        <f t="shared" si="25"/>
        <v>1200000</v>
      </c>
      <c r="BK40" s="284">
        <f t="shared" si="26"/>
        <v>1230531</v>
      </c>
      <c r="BL40" s="284">
        <f t="shared" si="27"/>
        <v>1230531</v>
      </c>
      <c r="BM40" s="356"/>
      <c r="BN40" s="185">
        <f aca="true" t="shared" si="37" ref="BN40:BP41">B40+F40+J40+N40+R40+BJ40+AP40</f>
        <v>7522431</v>
      </c>
      <c r="BO40" s="194">
        <f t="shared" si="37"/>
        <v>37785540</v>
      </c>
      <c r="BP40" s="194">
        <f t="shared" si="37"/>
        <v>28527392</v>
      </c>
      <c r="BQ40" s="373">
        <v>0</v>
      </c>
      <c r="BR40" s="86">
        <v>1277708888</v>
      </c>
      <c r="BS40" s="203">
        <v>1274460680</v>
      </c>
      <c r="BT40" s="203">
        <v>426230347</v>
      </c>
      <c r="BU40" s="318">
        <f t="shared" si="29"/>
        <v>33.44</v>
      </c>
      <c r="BV40" s="201">
        <f aca="true" t="shared" si="38" ref="BV40:BX45">BR40+BN40</f>
        <v>1285231319</v>
      </c>
      <c r="BW40" s="200">
        <f t="shared" si="38"/>
        <v>1312246220</v>
      </c>
      <c r="BX40" s="200">
        <f t="shared" si="38"/>
        <v>454757739</v>
      </c>
      <c r="BY40" s="373">
        <f t="shared" si="31"/>
        <v>34.65</v>
      </c>
      <c r="BZ40" s="18">
        <f aca="true" t="shared" si="39" ref="BZ40:CB41">BV40</f>
        <v>1285231319</v>
      </c>
      <c r="CA40" s="18">
        <f t="shared" si="39"/>
        <v>1312246220</v>
      </c>
      <c r="CB40" s="18">
        <f t="shared" si="39"/>
        <v>454757739</v>
      </c>
      <c r="CC40" s="318">
        <f t="shared" si="33"/>
        <v>34.65</v>
      </c>
    </row>
    <row r="41" spans="1:81" s="8" customFormat="1" ht="13.5">
      <c r="A41" s="43" t="s">
        <v>17</v>
      </c>
      <c r="B41" s="88"/>
      <c r="C41" s="89">
        <v>19999889</v>
      </c>
      <c r="D41" s="89"/>
      <c r="E41" s="330"/>
      <c r="F41" s="89">
        <v>190500</v>
      </c>
      <c r="G41" s="89">
        <v>2888500</v>
      </c>
      <c r="H41" s="89">
        <v>19050</v>
      </c>
      <c r="I41" s="321">
        <f>ROUND(H41/G41*100,2)</f>
        <v>0.66</v>
      </c>
      <c r="J41" s="89">
        <v>381000</v>
      </c>
      <c r="K41" s="89">
        <v>2535652</v>
      </c>
      <c r="L41" s="89">
        <v>2308475</v>
      </c>
      <c r="M41" s="321">
        <f>ROUND(L41/K41*100,2)</f>
        <v>91.04</v>
      </c>
      <c r="N41" s="88"/>
      <c r="O41" s="146"/>
      <c r="P41" s="146"/>
      <c r="Q41" s="321"/>
      <c r="R41" s="88">
        <v>1267206</v>
      </c>
      <c r="S41" s="146">
        <v>1267206</v>
      </c>
      <c r="T41" s="146">
        <v>1267206</v>
      </c>
      <c r="U41" s="321">
        <f>ROUND(T41/S41*100,2)</f>
        <v>100</v>
      </c>
      <c r="V41" s="88"/>
      <c r="W41" s="146"/>
      <c r="X41" s="146"/>
      <c r="Y41" s="321"/>
      <c r="Z41" s="88"/>
      <c r="AA41" s="146"/>
      <c r="AB41" s="146"/>
      <c r="AC41" s="321"/>
      <c r="AD41" s="88"/>
      <c r="AE41" s="146"/>
      <c r="AF41" s="146"/>
      <c r="AG41" s="321"/>
      <c r="AH41" s="88"/>
      <c r="AI41" s="146">
        <v>165100</v>
      </c>
      <c r="AJ41" s="146">
        <v>165100</v>
      </c>
      <c r="AK41" s="321">
        <f>ROUND(AJ41/AI41*100,2)</f>
        <v>100</v>
      </c>
      <c r="AL41" s="88"/>
      <c r="AM41" s="146"/>
      <c r="AN41" s="146"/>
      <c r="AO41" s="321"/>
      <c r="AP41" s="237">
        <f t="shared" si="22"/>
        <v>0</v>
      </c>
      <c r="AQ41" s="247">
        <f t="shared" si="23"/>
        <v>165100</v>
      </c>
      <c r="AR41" s="247">
        <f t="shared" si="24"/>
        <v>165100</v>
      </c>
      <c r="AS41" s="342"/>
      <c r="AT41" s="88"/>
      <c r="AU41" s="146">
        <v>-30531</v>
      </c>
      <c r="AV41" s="146"/>
      <c r="AW41" s="321"/>
      <c r="AX41" s="88">
        <v>127000</v>
      </c>
      <c r="AY41" s="146">
        <v>127000</v>
      </c>
      <c r="AZ41" s="146">
        <v>83725</v>
      </c>
      <c r="BA41" s="321">
        <f>ROUND(AZ41/AY41*100,2)</f>
        <v>65.93</v>
      </c>
      <c r="BB41" s="88"/>
      <c r="BC41" s="146"/>
      <c r="BD41" s="146"/>
      <c r="BE41" s="321"/>
      <c r="BF41" s="88"/>
      <c r="BG41" s="146"/>
      <c r="BH41" s="146"/>
      <c r="BI41" s="321"/>
      <c r="BJ41" s="279">
        <f t="shared" si="25"/>
        <v>127000</v>
      </c>
      <c r="BK41" s="289">
        <f t="shared" si="26"/>
        <v>96469</v>
      </c>
      <c r="BL41" s="289">
        <f t="shared" si="27"/>
        <v>83725</v>
      </c>
      <c r="BM41" s="354"/>
      <c r="BN41" s="185">
        <f t="shared" si="37"/>
        <v>1965706</v>
      </c>
      <c r="BO41" s="196">
        <f t="shared" si="37"/>
        <v>26952816</v>
      </c>
      <c r="BP41" s="196">
        <f t="shared" si="37"/>
        <v>3843556</v>
      </c>
      <c r="BQ41" s="372"/>
      <c r="BR41" s="88">
        <v>102455769</v>
      </c>
      <c r="BS41" s="205">
        <v>205758089</v>
      </c>
      <c r="BT41" s="205">
        <v>124613148</v>
      </c>
      <c r="BU41" s="321">
        <f t="shared" si="29"/>
        <v>60.56</v>
      </c>
      <c r="BV41" s="211">
        <f t="shared" si="38"/>
        <v>104421475</v>
      </c>
      <c r="BW41" s="217">
        <f t="shared" si="38"/>
        <v>232710905</v>
      </c>
      <c r="BX41" s="217">
        <f t="shared" si="38"/>
        <v>128456704</v>
      </c>
      <c r="BY41" s="372">
        <f t="shared" si="31"/>
        <v>55.2</v>
      </c>
      <c r="BZ41" s="17">
        <f t="shared" si="39"/>
        <v>104421475</v>
      </c>
      <c r="CA41" s="17">
        <f t="shared" si="39"/>
        <v>232710905</v>
      </c>
      <c r="CB41" s="17">
        <f t="shared" si="39"/>
        <v>128456704</v>
      </c>
      <c r="CC41" s="321">
        <f t="shared" si="33"/>
        <v>55.2</v>
      </c>
    </row>
    <row r="42" spans="1:81" s="8" customFormat="1" ht="13.5">
      <c r="A42" s="34" t="s">
        <v>90</v>
      </c>
      <c r="B42" s="86">
        <f>SUM(B43:B45)</f>
        <v>0</v>
      </c>
      <c r="C42" s="86">
        <f>SUM(C43:C45)</f>
        <v>0</v>
      </c>
      <c r="D42" s="86">
        <f>SUM(D43:D45)</f>
        <v>0</v>
      </c>
      <c r="E42" s="331"/>
      <c r="F42" s="30">
        <f>SUM(F43:F45)</f>
        <v>0</v>
      </c>
      <c r="G42" s="30">
        <f>SUM(G43:G45)</f>
        <v>0</v>
      </c>
      <c r="H42" s="30">
        <f>SUM(H43:H45)</f>
        <v>0</v>
      </c>
      <c r="I42" s="318"/>
      <c r="J42" s="30">
        <f>SUM(J43:J45)</f>
        <v>0</v>
      </c>
      <c r="K42" s="30">
        <f>SUM(K43:K45)</f>
        <v>0</v>
      </c>
      <c r="L42" s="30">
        <f>SUM(L43:L45)</f>
        <v>0</v>
      </c>
      <c r="M42" s="318"/>
      <c r="N42" s="275">
        <f>SUM(N43:N45)</f>
        <v>0</v>
      </c>
      <c r="O42" s="30">
        <f>SUM(O43:O45)</f>
        <v>0</v>
      </c>
      <c r="P42" s="144">
        <f>SUM(P43:P45)</f>
        <v>0</v>
      </c>
      <c r="Q42" s="318"/>
      <c r="R42" s="275">
        <f>SUM(R43:R45)</f>
        <v>0</v>
      </c>
      <c r="S42" s="30">
        <f>SUM(S43:S45)</f>
        <v>0</v>
      </c>
      <c r="T42" s="144">
        <f>SUM(T43:T45)</f>
        <v>0</v>
      </c>
      <c r="U42" s="318"/>
      <c r="V42" s="86">
        <f>SUM(V43:V45)</f>
        <v>0</v>
      </c>
      <c r="W42" s="144">
        <f>V42</f>
        <v>0</v>
      </c>
      <c r="X42" s="144">
        <f>W42</f>
        <v>0</v>
      </c>
      <c r="Y42" s="318"/>
      <c r="Z42" s="86">
        <f>SUM(Z43:Z45)</f>
        <v>0</v>
      </c>
      <c r="AA42" s="86">
        <f>SUM(AA43:AA45)</f>
        <v>0</v>
      </c>
      <c r="AB42" s="86">
        <f>SUM(AB43:AB45)</f>
        <v>0</v>
      </c>
      <c r="AC42" s="318"/>
      <c r="AD42" s="86">
        <f>SUM(AD43:AD45)</f>
        <v>0</v>
      </c>
      <c r="AE42" s="144">
        <f>AD42</f>
        <v>0</v>
      </c>
      <c r="AF42" s="144">
        <f>AE42</f>
        <v>0</v>
      </c>
      <c r="AG42" s="318"/>
      <c r="AH42" s="275">
        <f>SUM(AH43:AH45)</f>
        <v>0</v>
      </c>
      <c r="AI42" s="30">
        <f>SUM(AI43:AI45)</f>
        <v>0</v>
      </c>
      <c r="AJ42" s="144">
        <f>SUM(AJ43:AJ45)</f>
        <v>0</v>
      </c>
      <c r="AK42" s="318"/>
      <c r="AL42" s="275">
        <f>SUM(AL43:AL45)</f>
        <v>0</v>
      </c>
      <c r="AM42" s="144">
        <f>SUM(AM43:AM45)</f>
        <v>0</v>
      </c>
      <c r="AN42" s="144">
        <f>SUM(AN43:AN45)</f>
        <v>0</v>
      </c>
      <c r="AO42" s="318"/>
      <c r="AP42" s="241">
        <f t="shared" si="22"/>
        <v>0</v>
      </c>
      <c r="AQ42" s="242">
        <f t="shared" si="23"/>
        <v>0</v>
      </c>
      <c r="AR42" s="242">
        <f t="shared" si="24"/>
        <v>0</v>
      </c>
      <c r="AS42" s="344"/>
      <c r="AT42" s="275">
        <f>SUM(AT43:AT45)</f>
        <v>0</v>
      </c>
      <c r="AU42" s="30">
        <f>SUM(AU43:AU45)</f>
        <v>0</v>
      </c>
      <c r="AV42" s="144">
        <f>SUM(AV43:AV45)</f>
        <v>0</v>
      </c>
      <c r="AW42" s="318"/>
      <c r="AX42" s="275">
        <f>SUM(AX43:AX45)</f>
        <v>0</v>
      </c>
      <c r="AY42" s="30">
        <f>SUM(AY43:AY45)</f>
        <v>0</v>
      </c>
      <c r="AZ42" s="144">
        <f>SUM(AZ43:AZ45)</f>
        <v>0</v>
      </c>
      <c r="BA42" s="318"/>
      <c r="BB42" s="275">
        <f>SUM(BB43:BB45)</f>
        <v>0</v>
      </c>
      <c r="BC42" s="30">
        <f>SUM(BC43:BC45)</f>
        <v>0</v>
      </c>
      <c r="BD42" s="144">
        <f>SUM(BD43:BD45)</f>
        <v>0</v>
      </c>
      <c r="BE42" s="318"/>
      <c r="BF42" s="275">
        <f>SUM(BF43:BF45)</f>
        <v>0</v>
      </c>
      <c r="BG42" s="144">
        <f>SUM(BG43:BG45)</f>
        <v>0</v>
      </c>
      <c r="BH42" s="144">
        <f>SUM(BH43:BH45)</f>
        <v>0</v>
      </c>
      <c r="BI42" s="318"/>
      <c r="BJ42" s="283">
        <f t="shared" si="25"/>
        <v>0</v>
      </c>
      <c r="BK42" s="284">
        <f t="shared" si="26"/>
        <v>0</v>
      </c>
      <c r="BL42" s="284">
        <f t="shared" si="27"/>
        <v>0</v>
      </c>
      <c r="BM42" s="356"/>
      <c r="BN42" s="185">
        <f>B42+F42+J42+N42+R42+V42+BJ42</f>
        <v>0</v>
      </c>
      <c r="BO42" s="194">
        <f>C42+G42+K42+O42+S42+W42+BK42</f>
        <v>0</v>
      </c>
      <c r="BP42" s="194">
        <f>D42+H42+L42+P42+T42+X42+BL42</f>
        <v>0</v>
      </c>
      <c r="BQ42" s="373"/>
      <c r="BR42" s="86">
        <f>SUM(BR43:BR45)</f>
        <v>12434057</v>
      </c>
      <c r="BS42" s="203">
        <f>SUM(BS43:BS45)</f>
        <v>18876711</v>
      </c>
      <c r="BT42" s="203">
        <f>SUM(BT43:BT45)</f>
        <v>11909504</v>
      </c>
      <c r="BU42" s="318">
        <f t="shared" si="29"/>
        <v>63.09</v>
      </c>
      <c r="BV42" s="201">
        <f t="shared" si="38"/>
        <v>12434057</v>
      </c>
      <c r="BW42" s="200">
        <f t="shared" si="38"/>
        <v>18876711</v>
      </c>
      <c r="BX42" s="200">
        <f t="shared" si="38"/>
        <v>11909504</v>
      </c>
      <c r="BY42" s="373">
        <f t="shared" si="31"/>
        <v>63.09</v>
      </c>
      <c r="BZ42" s="18">
        <f>SUM(BZ43:BZ45)</f>
        <v>12434057</v>
      </c>
      <c r="CA42" s="18">
        <f>SUM(CA43:CA45)</f>
        <v>18876711</v>
      </c>
      <c r="CB42" s="18">
        <f>SUM(CB43:CB45)</f>
        <v>11909504</v>
      </c>
      <c r="CC42" s="318">
        <f t="shared" si="33"/>
        <v>63.09</v>
      </c>
    </row>
    <row r="43" spans="1:81" s="8" customFormat="1" ht="13.5">
      <c r="A43" s="44" t="s">
        <v>130</v>
      </c>
      <c r="B43" s="85"/>
      <c r="C43" s="47"/>
      <c r="D43" s="47"/>
      <c r="E43" s="332"/>
      <c r="F43" s="47"/>
      <c r="G43" s="47"/>
      <c r="H43" s="47"/>
      <c r="I43" s="317"/>
      <c r="J43" s="47"/>
      <c r="K43" s="47"/>
      <c r="L43" s="47"/>
      <c r="M43" s="317"/>
      <c r="N43" s="85"/>
      <c r="O43" s="143"/>
      <c r="P43" s="143"/>
      <c r="Q43" s="317"/>
      <c r="R43" s="85"/>
      <c r="S43" s="143"/>
      <c r="T43" s="143"/>
      <c r="U43" s="317"/>
      <c r="V43" s="85"/>
      <c r="W43" s="143"/>
      <c r="X43" s="143"/>
      <c r="Y43" s="317"/>
      <c r="Z43" s="85"/>
      <c r="AA43" s="143"/>
      <c r="AB43" s="143"/>
      <c r="AC43" s="317"/>
      <c r="AD43" s="85"/>
      <c r="AE43" s="143"/>
      <c r="AF43" s="143"/>
      <c r="AG43" s="317"/>
      <c r="AH43" s="85"/>
      <c r="AI43" s="143"/>
      <c r="AJ43" s="143"/>
      <c r="AK43" s="317"/>
      <c r="AL43" s="85"/>
      <c r="AM43" s="143"/>
      <c r="AN43" s="143"/>
      <c r="AO43" s="317"/>
      <c r="AP43" s="239">
        <f t="shared" si="22"/>
        <v>0</v>
      </c>
      <c r="AQ43" s="240">
        <f t="shared" si="23"/>
        <v>0</v>
      </c>
      <c r="AR43" s="240">
        <f t="shared" si="24"/>
        <v>0</v>
      </c>
      <c r="AS43" s="343"/>
      <c r="AT43" s="85"/>
      <c r="AU43" s="143"/>
      <c r="AV43" s="143"/>
      <c r="AW43" s="317"/>
      <c r="AX43" s="85"/>
      <c r="AY43" s="143"/>
      <c r="AZ43" s="143"/>
      <c r="BA43" s="317"/>
      <c r="BB43" s="85"/>
      <c r="BC43" s="143"/>
      <c r="BD43" s="143"/>
      <c r="BE43" s="317"/>
      <c r="BF43" s="85"/>
      <c r="BG43" s="143"/>
      <c r="BH43" s="143"/>
      <c r="BI43" s="317"/>
      <c r="BJ43" s="281">
        <f t="shared" si="25"/>
        <v>0</v>
      </c>
      <c r="BK43" s="282">
        <f t="shared" si="26"/>
        <v>0</v>
      </c>
      <c r="BL43" s="282">
        <f t="shared" si="27"/>
        <v>0</v>
      </c>
      <c r="BM43" s="355"/>
      <c r="BN43" s="185">
        <f aca="true" t="shared" si="40" ref="BN43:BP45">B43+F43+J43+N43+R43+BJ43+AP43</f>
        <v>0</v>
      </c>
      <c r="BO43" s="194">
        <f t="shared" si="40"/>
        <v>0</v>
      </c>
      <c r="BP43" s="194">
        <f t="shared" si="40"/>
        <v>0</v>
      </c>
      <c r="BQ43" s="374"/>
      <c r="BR43" s="85">
        <v>1165207</v>
      </c>
      <c r="BS43" s="47">
        <v>1165207</v>
      </c>
      <c r="BT43" s="47">
        <v>0</v>
      </c>
      <c r="BU43" s="317">
        <f t="shared" si="29"/>
        <v>0</v>
      </c>
      <c r="BV43" s="201">
        <f t="shared" si="38"/>
        <v>1165207</v>
      </c>
      <c r="BW43" s="200">
        <f t="shared" si="38"/>
        <v>1165207</v>
      </c>
      <c r="BX43" s="200">
        <f t="shared" si="38"/>
        <v>0</v>
      </c>
      <c r="BY43" s="374">
        <f t="shared" si="31"/>
        <v>0</v>
      </c>
      <c r="BZ43" s="45">
        <f aca="true" t="shared" si="41" ref="BZ43:CB45">BV43</f>
        <v>1165207</v>
      </c>
      <c r="CA43" s="45">
        <f t="shared" si="41"/>
        <v>1165207</v>
      </c>
      <c r="CB43" s="45">
        <f t="shared" si="41"/>
        <v>0</v>
      </c>
      <c r="CC43" s="317">
        <f t="shared" si="33"/>
        <v>0</v>
      </c>
    </row>
    <row r="44" spans="1:81" s="8" customFormat="1" ht="13.5">
      <c r="A44" s="44" t="s">
        <v>498</v>
      </c>
      <c r="B44" s="85"/>
      <c r="C44" s="47"/>
      <c r="D44" s="47"/>
      <c r="E44" s="332"/>
      <c r="F44" s="47"/>
      <c r="G44" s="47"/>
      <c r="H44" s="47"/>
      <c r="I44" s="317"/>
      <c r="J44" s="47"/>
      <c r="K44" s="47"/>
      <c r="L44" s="47"/>
      <c r="M44" s="317"/>
      <c r="N44" s="85"/>
      <c r="O44" s="143"/>
      <c r="P44" s="143"/>
      <c r="Q44" s="317"/>
      <c r="R44" s="85"/>
      <c r="S44" s="143"/>
      <c r="T44" s="143"/>
      <c r="U44" s="317"/>
      <c r="V44" s="85"/>
      <c r="W44" s="143"/>
      <c r="X44" s="143"/>
      <c r="Y44" s="317"/>
      <c r="Z44" s="85"/>
      <c r="AA44" s="143"/>
      <c r="AB44" s="143"/>
      <c r="AC44" s="317"/>
      <c r="AD44" s="85"/>
      <c r="AE44" s="143"/>
      <c r="AF44" s="143"/>
      <c r="AG44" s="317"/>
      <c r="AH44" s="85"/>
      <c r="AI44" s="143"/>
      <c r="AJ44" s="143"/>
      <c r="AK44" s="317"/>
      <c r="AL44" s="85"/>
      <c r="AM44" s="143"/>
      <c r="AN44" s="143"/>
      <c r="AO44" s="317"/>
      <c r="AP44" s="239">
        <f t="shared" si="22"/>
        <v>0</v>
      </c>
      <c r="AQ44" s="240">
        <f t="shared" si="23"/>
        <v>0</v>
      </c>
      <c r="AR44" s="240">
        <f t="shared" si="24"/>
        <v>0</v>
      </c>
      <c r="AS44" s="343"/>
      <c r="AT44" s="85"/>
      <c r="AU44" s="143"/>
      <c r="AV44" s="143"/>
      <c r="AW44" s="317"/>
      <c r="AX44" s="85"/>
      <c r="AY44" s="143"/>
      <c r="AZ44" s="143"/>
      <c r="BA44" s="317"/>
      <c r="BB44" s="85"/>
      <c r="BC44" s="143"/>
      <c r="BD44" s="143"/>
      <c r="BE44" s="317"/>
      <c r="BF44" s="85"/>
      <c r="BG44" s="143"/>
      <c r="BH44" s="143"/>
      <c r="BI44" s="317"/>
      <c r="BJ44" s="281">
        <f t="shared" si="25"/>
        <v>0</v>
      </c>
      <c r="BK44" s="282">
        <f t="shared" si="26"/>
        <v>0</v>
      </c>
      <c r="BL44" s="282">
        <f t="shared" si="27"/>
        <v>0</v>
      </c>
      <c r="BM44" s="355"/>
      <c r="BN44" s="185">
        <f t="shared" si="40"/>
        <v>0</v>
      </c>
      <c r="BO44" s="194">
        <f t="shared" si="40"/>
        <v>0</v>
      </c>
      <c r="BP44" s="194">
        <f t="shared" si="40"/>
        <v>0</v>
      </c>
      <c r="BQ44" s="374"/>
      <c r="BR44" s="85">
        <v>5802000</v>
      </c>
      <c r="BS44" s="47">
        <v>5802000</v>
      </c>
      <c r="BT44" s="47">
        <v>0</v>
      </c>
      <c r="BU44" s="317">
        <f t="shared" si="29"/>
        <v>0</v>
      </c>
      <c r="BV44" s="201">
        <f t="shared" si="38"/>
        <v>5802000</v>
      </c>
      <c r="BW44" s="200">
        <f t="shared" si="38"/>
        <v>5802000</v>
      </c>
      <c r="BX44" s="200">
        <f t="shared" si="38"/>
        <v>0</v>
      </c>
      <c r="BY44" s="374">
        <f t="shared" si="31"/>
        <v>0</v>
      </c>
      <c r="BZ44" s="45">
        <f t="shared" si="41"/>
        <v>5802000</v>
      </c>
      <c r="CA44" s="45">
        <f t="shared" si="41"/>
        <v>5802000</v>
      </c>
      <c r="CB44" s="45">
        <f t="shared" si="41"/>
        <v>0</v>
      </c>
      <c r="CC44" s="317">
        <f t="shared" si="33"/>
        <v>0</v>
      </c>
    </row>
    <row r="45" spans="1:81" s="8" customFormat="1" ht="14.25" thickBot="1">
      <c r="A45" s="44" t="s">
        <v>131</v>
      </c>
      <c r="B45" s="96"/>
      <c r="C45" s="48"/>
      <c r="D45" s="48"/>
      <c r="E45" s="335"/>
      <c r="F45" s="48"/>
      <c r="G45" s="48"/>
      <c r="H45" s="48"/>
      <c r="I45" s="325"/>
      <c r="J45" s="48"/>
      <c r="K45" s="48"/>
      <c r="L45" s="48"/>
      <c r="M45" s="325"/>
      <c r="N45" s="96"/>
      <c r="O45" s="181"/>
      <c r="P45" s="181"/>
      <c r="Q45" s="325"/>
      <c r="R45" s="96"/>
      <c r="S45" s="181"/>
      <c r="T45" s="181"/>
      <c r="U45" s="325"/>
      <c r="V45" s="96"/>
      <c r="W45" s="181"/>
      <c r="X45" s="181"/>
      <c r="Y45" s="325"/>
      <c r="Z45" s="96"/>
      <c r="AA45" s="181"/>
      <c r="AB45" s="181"/>
      <c r="AC45" s="325"/>
      <c r="AD45" s="96"/>
      <c r="AE45" s="181"/>
      <c r="AF45" s="181"/>
      <c r="AG45" s="325"/>
      <c r="AH45" s="96"/>
      <c r="AI45" s="181"/>
      <c r="AJ45" s="181"/>
      <c r="AK45" s="325"/>
      <c r="AL45" s="96"/>
      <c r="AM45" s="181"/>
      <c r="AN45" s="181"/>
      <c r="AO45" s="325"/>
      <c r="AP45" s="257">
        <f t="shared" si="22"/>
        <v>0</v>
      </c>
      <c r="AQ45" s="258">
        <f t="shared" si="23"/>
        <v>0</v>
      </c>
      <c r="AR45" s="258">
        <f t="shared" si="24"/>
        <v>0</v>
      </c>
      <c r="AS45" s="350"/>
      <c r="AT45" s="96"/>
      <c r="AU45" s="181"/>
      <c r="AV45" s="181"/>
      <c r="AW45" s="325"/>
      <c r="AX45" s="96"/>
      <c r="AY45" s="181"/>
      <c r="AZ45" s="181"/>
      <c r="BA45" s="325"/>
      <c r="BB45" s="96"/>
      <c r="BC45" s="181"/>
      <c r="BD45" s="181"/>
      <c r="BE45" s="325"/>
      <c r="BF45" s="96"/>
      <c r="BG45" s="181"/>
      <c r="BH45" s="181"/>
      <c r="BI45" s="325"/>
      <c r="BJ45" s="299">
        <f t="shared" si="25"/>
        <v>0</v>
      </c>
      <c r="BK45" s="300">
        <f t="shared" si="26"/>
        <v>0</v>
      </c>
      <c r="BL45" s="300">
        <f t="shared" si="27"/>
        <v>0</v>
      </c>
      <c r="BM45" s="362"/>
      <c r="BN45" s="185">
        <f t="shared" si="40"/>
        <v>0</v>
      </c>
      <c r="BO45" s="197">
        <f t="shared" si="40"/>
        <v>0</v>
      </c>
      <c r="BP45" s="197">
        <f t="shared" si="40"/>
        <v>0</v>
      </c>
      <c r="BQ45" s="376"/>
      <c r="BR45" s="96">
        <v>5466850</v>
      </c>
      <c r="BS45" s="48">
        <v>11909504</v>
      </c>
      <c r="BT45" s="48">
        <v>11909504</v>
      </c>
      <c r="BU45" s="325">
        <f t="shared" si="29"/>
        <v>100</v>
      </c>
      <c r="BV45" s="213">
        <f t="shared" si="38"/>
        <v>5466850</v>
      </c>
      <c r="BW45" s="218">
        <f t="shared" si="38"/>
        <v>11909504</v>
      </c>
      <c r="BX45" s="218">
        <f t="shared" si="38"/>
        <v>11909504</v>
      </c>
      <c r="BY45" s="376">
        <f t="shared" si="31"/>
        <v>100</v>
      </c>
      <c r="BZ45" s="46">
        <f t="shared" si="41"/>
        <v>5466850</v>
      </c>
      <c r="CA45" s="46">
        <f t="shared" si="41"/>
        <v>11909504</v>
      </c>
      <c r="CB45" s="46">
        <f t="shared" si="41"/>
        <v>11909504</v>
      </c>
      <c r="CC45" s="325">
        <f t="shared" si="33"/>
        <v>100</v>
      </c>
    </row>
    <row r="46" spans="1:81" s="8" customFormat="1" ht="14.25" thickBot="1">
      <c r="A46" s="172" t="s">
        <v>111</v>
      </c>
      <c r="B46" s="157">
        <f>B40+B41+B42</f>
        <v>0</v>
      </c>
      <c r="C46" s="157">
        <f>C40+C41+C42</f>
        <v>32717476</v>
      </c>
      <c r="D46" s="157">
        <f>D40+D41+D42</f>
        <v>7807005</v>
      </c>
      <c r="E46" s="334">
        <f>ROUND(D46/C46*100,2)</f>
        <v>23.86</v>
      </c>
      <c r="F46" s="158">
        <f>F40+F41+F42</f>
        <v>2922931</v>
      </c>
      <c r="G46" s="158">
        <f>G40+G41+G42</f>
        <v>7620931</v>
      </c>
      <c r="H46" s="158">
        <f>H40+H41+H42</f>
        <v>2919148</v>
      </c>
      <c r="I46" s="329">
        <f>ROUND(H46/G46*100,2)</f>
        <v>38.3</v>
      </c>
      <c r="J46" s="158">
        <f>J40+J41+J42</f>
        <v>381000</v>
      </c>
      <c r="K46" s="158">
        <f>K40+K41+K42</f>
        <v>5438499</v>
      </c>
      <c r="L46" s="158">
        <f>L40+L41+L42</f>
        <v>5211322</v>
      </c>
      <c r="M46" s="329">
        <f>ROUND(L46/K46*100,2)</f>
        <v>95.82</v>
      </c>
      <c r="N46" s="157">
        <f>N40+N41+N42</f>
        <v>2000000</v>
      </c>
      <c r="O46" s="160">
        <f>O40+O41+O42</f>
        <v>5155000</v>
      </c>
      <c r="P46" s="160">
        <f>P40+P41+P42</f>
        <v>5155000</v>
      </c>
      <c r="Q46" s="329">
        <f>ROUND(P46/O46*100,2)</f>
        <v>100</v>
      </c>
      <c r="R46" s="157">
        <f>R40+R41+R42</f>
        <v>2157206</v>
      </c>
      <c r="S46" s="160">
        <f>S40+S41+S42</f>
        <v>8413470</v>
      </c>
      <c r="T46" s="160">
        <f>T40+T41+T42</f>
        <v>6010615</v>
      </c>
      <c r="U46" s="329">
        <f>ROUND(T46/S46*100,2)</f>
        <v>71.44</v>
      </c>
      <c r="V46" s="157">
        <f>V40+V41+V42</f>
        <v>550000</v>
      </c>
      <c r="W46" s="160">
        <f>W40+W41+W42</f>
        <v>1864900</v>
      </c>
      <c r="X46" s="160">
        <f>X40+X41+X42</f>
        <v>1998032</v>
      </c>
      <c r="Y46" s="329">
        <f>ROUND(X46/W46*100,2)</f>
        <v>107.14</v>
      </c>
      <c r="Z46" s="157">
        <f>Z40+Z41+Z42</f>
        <v>150000</v>
      </c>
      <c r="AA46" s="160">
        <f>AA40+AA41+AA42</f>
        <v>215900</v>
      </c>
      <c r="AB46" s="160">
        <f>AB40+AB41+AB42</f>
        <v>215900</v>
      </c>
      <c r="AC46" s="329">
        <f>ROUND(AB46/AA46*100,2)</f>
        <v>100</v>
      </c>
      <c r="AD46" s="157">
        <f>AD40+AD41+AD42</f>
        <v>0</v>
      </c>
      <c r="AE46" s="160">
        <f>AE40+AE41+AE42</f>
        <v>150324</v>
      </c>
      <c r="AF46" s="160">
        <f>AF40+AF41+AF42</f>
        <v>150322</v>
      </c>
      <c r="AG46" s="329">
        <f>ROUND(AF46/AE46*100,2)</f>
        <v>100</v>
      </c>
      <c r="AH46" s="157">
        <f>AH40+AH41+AH42</f>
        <v>0</v>
      </c>
      <c r="AI46" s="160">
        <f>AI40+AI41+AI42</f>
        <v>1779992</v>
      </c>
      <c r="AJ46" s="160">
        <f>AJ40+AJ41+AJ42</f>
        <v>1589348</v>
      </c>
      <c r="AK46" s="329">
        <f>ROUND(AJ46/AI46*100,2)</f>
        <v>89.29</v>
      </c>
      <c r="AL46" s="157">
        <f>AL40+AL41+AL42</f>
        <v>0</v>
      </c>
      <c r="AM46" s="160">
        <f>AM40+AM41+AM42</f>
        <v>54864</v>
      </c>
      <c r="AN46" s="160">
        <f>AN40+AN41+AN42</f>
        <v>0</v>
      </c>
      <c r="AO46" s="329"/>
      <c r="AP46" s="245">
        <f t="shared" si="22"/>
        <v>700000</v>
      </c>
      <c r="AQ46" s="246">
        <f t="shared" si="23"/>
        <v>4065980</v>
      </c>
      <c r="AR46" s="246">
        <f t="shared" si="24"/>
        <v>3953602</v>
      </c>
      <c r="AS46" s="346">
        <f>ROUND(AR46/AQ46*100,2)</f>
        <v>97.24</v>
      </c>
      <c r="AT46" s="157">
        <f>AT40+AT41+AT42</f>
        <v>1000000</v>
      </c>
      <c r="AU46" s="160">
        <f>AU40+AU41+AU42</f>
        <v>1000000</v>
      </c>
      <c r="AV46" s="160">
        <f>AV40+AV41+AV42</f>
        <v>1060354</v>
      </c>
      <c r="AW46" s="329">
        <f>ROUND(AV46/AU46*100,2)</f>
        <v>106.04</v>
      </c>
      <c r="AX46" s="157">
        <f>AX40+AX41+AX42</f>
        <v>327000</v>
      </c>
      <c r="AY46" s="160">
        <f>AY40+AY41+AY42</f>
        <v>327000</v>
      </c>
      <c r="AZ46" s="160">
        <f>AZ40+AZ41+AZ42</f>
        <v>253902</v>
      </c>
      <c r="BA46" s="329">
        <f>ROUND(AZ46/AY46*100,2)</f>
        <v>77.65</v>
      </c>
      <c r="BB46" s="157">
        <f>BB40+BB41+BB42</f>
        <v>0</v>
      </c>
      <c r="BC46" s="160">
        <f>BC40+BC41+BC42</f>
        <v>0</v>
      </c>
      <c r="BD46" s="160">
        <f>BD40+BD41+BD42</f>
        <v>0</v>
      </c>
      <c r="BE46" s="329"/>
      <c r="BF46" s="157">
        <f>BF40+BF41+BF42</f>
        <v>0</v>
      </c>
      <c r="BG46" s="160">
        <f>BG40+BG41+BG42</f>
        <v>0</v>
      </c>
      <c r="BH46" s="160">
        <f>BH40+BH41+BH42</f>
        <v>0</v>
      </c>
      <c r="BI46" s="329"/>
      <c r="BJ46" s="287">
        <f t="shared" si="25"/>
        <v>1327000</v>
      </c>
      <c r="BK46" s="288">
        <f t="shared" si="26"/>
        <v>1327000</v>
      </c>
      <c r="BL46" s="288">
        <f t="shared" si="27"/>
        <v>1314256</v>
      </c>
      <c r="BM46" s="358"/>
      <c r="BN46" s="186">
        <f>BN40+BN41+BN42</f>
        <v>9488137</v>
      </c>
      <c r="BO46" s="192">
        <f>BO40+BO41+BO42</f>
        <v>64738356</v>
      </c>
      <c r="BP46" s="192">
        <f>BP40+BP41+BP42</f>
        <v>32370948</v>
      </c>
      <c r="BQ46" s="329">
        <f>ROUND(BP46/BO46*100,2)</f>
        <v>50</v>
      </c>
      <c r="BR46" s="157">
        <f>BR40+BR41+BR42</f>
        <v>1392598714</v>
      </c>
      <c r="BS46" s="178">
        <f>BS40+BS41+BS42</f>
        <v>1499095480</v>
      </c>
      <c r="BT46" s="178">
        <f>BT40+BT41+BT42</f>
        <v>562752999</v>
      </c>
      <c r="BU46" s="340">
        <f t="shared" si="29"/>
        <v>37.54</v>
      </c>
      <c r="BV46" s="177">
        <f>BV40+BV41+BV42</f>
        <v>1402086851</v>
      </c>
      <c r="BW46" s="178">
        <f>BW40+BW41+BW42</f>
        <v>1563833836</v>
      </c>
      <c r="BX46" s="178">
        <f>BX40+BX41+BX42</f>
        <v>595123947</v>
      </c>
      <c r="BY46" s="340">
        <f t="shared" si="31"/>
        <v>38.06</v>
      </c>
      <c r="BZ46" s="159">
        <f>BZ40+BZ41+BZ42</f>
        <v>1402086851</v>
      </c>
      <c r="CA46" s="159">
        <f>CA40+CA41+CA42</f>
        <v>1563833836</v>
      </c>
      <c r="CB46" s="159">
        <f>CB40+CB41+CB42</f>
        <v>595123947</v>
      </c>
      <c r="CC46" s="329">
        <f t="shared" si="33"/>
        <v>38.06</v>
      </c>
    </row>
    <row r="47" spans="1:81" s="10" customFormat="1" ht="15.75" customHeight="1" thickBot="1">
      <c r="A47" s="174" t="s">
        <v>112</v>
      </c>
      <c r="B47" s="166">
        <f>B46+B39</f>
        <v>43398470</v>
      </c>
      <c r="C47" s="166">
        <f>C46+C39</f>
        <v>83831159</v>
      </c>
      <c r="D47" s="166">
        <f>D46+D39</f>
        <v>55209512</v>
      </c>
      <c r="E47" s="336">
        <f>ROUND(D47/C47*100,2)</f>
        <v>65.86</v>
      </c>
      <c r="F47" s="164">
        <f>F46+F39</f>
        <v>179232479</v>
      </c>
      <c r="G47" s="164">
        <f>G46+G39</f>
        <v>224849671</v>
      </c>
      <c r="H47" s="164">
        <f>H46+H39</f>
        <v>203747213</v>
      </c>
      <c r="I47" s="339">
        <f>ROUND(H47/G47*100,2)</f>
        <v>90.61</v>
      </c>
      <c r="J47" s="164">
        <f>J46+J39</f>
        <v>49831543</v>
      </c>
      <c r="K47" s="164">
        <f>K46+K39</f>
        <v>64825000</v>
      </c>
      <c r="L47" s="164">
        <f>L46+L39</f>
        <v>59141334</v>
      </c>
      <c r="M47" s="339">
        <f>ROUND(L47/K47*100,2)</f>
        <v>91.23</v>
      </c>
      <c r="N47" s="166">
        <f>N46+N39</f>
        <v>329180037</v>
      </c>
      <c r="O47" s="163">
        <f>O46+O39</f>
        <v>339467579</v>
      </c>
      <c r="P47" s="163">
        <f>P46+P39</f>
        <v>335506909</v>
      </c>
      <c r="Q47" s="339">
        <f>ROUND(P47/O47*100,2)</f>
        <v>98.83</v>
      </c>
      <c r="R47" s="166">
        <f>R46+R39</f>
        <v>234278053</v>
      </c>
      <c r="S47" s="163">
        <f>S46+S39</f>
        <v>271489771</v>
      </c>
      <c r="T47" s="163">
        <f>T46+T39</f>
        <v>250109921</v>
      </c>
      <c r="U47" s="339">
        <f>ROUND(T47/S47*100,2)</f>
        <v>92.12</v>
      </c>
      <c r="V47" s="166">
        <f>V46+V39</f>
        <v>86036981</v>
      </c>
      <c r="W47" s="163">
        <f>W46+W39</f>
        <v>92205136</v>
      </c>
      <c r="X47" s="163">
        <f>X46+X39</f>
        <v>87476208</v>
      </c>
      <c r="Y47" s="339">
        <f>ROUND(X47/W47*100,2)</f>
        <v>94.87</v>
      </c>
      <c r="Z47" s="166">
        <f>Z46+Z39</f>
        <v>27521589</v>
      </c>
      <c r="AA47" s="163">
        <f>AA46+AA39</f>
        <v>28448067</v>
      </c>
      <c r="AB47" s="163">
        <f>AB46+AB39</f>
        <v>26325257</v>
      </c>
      <c r="AC47" s="339">
        <f>ROUND(AB47/AA47*100,2)</f>
        <v>92.54</v>
      </c>
      <c r="AD47" s="166">
        <f>AD46+AD39</f>
        <v>51936936</v>
      </c>
      <c r="AE47" s="163">
        <f>AE46+AE39</f>
        <v>55588985</v>
      </c>
      <c r="AF47" s="163">
        <f>AF46+AF39</f>
        <v>51731261</v>
      </c>
      <c r="AG47" s="339">
        <f>ROUND(AF47/AE47*100,2)</f>
        <v>93.06</v>
      </c>
      <c r="AH47" s="166">
        <f>AH46+AH39</f>
        <v>19334953</v>
      </c>
      <c r="AI47" s="163">
        <f>AI46+AI39</f>
        <v>21342988</v>
      </c>
      <c r="AJ47" s="163">
        <f>AJ46+AJ39</f>
        <v>21175762</v>
      </c>
      <c r="AK47" s="339">
        <f>ROUND(AJ47/AI47*100,2)</f>
        <v>99.22</v>
      </c>
      <c r="AL47" s="166">
        <f>AL46+AL39</f>
        <v>14208750</v>
      </c>
      <c r="AM47" s="163">
        <f>AM46+AM39</f>
        <v>15663684</v>
      </c>
      <c r="AN47" s="163">
        <f>AN46+AN39</f>
        <v>14972335</v>
      </c>
      <c r="AO47" s="339">
        <f>ROUND(AN47/AM47*100,2)</f>
        <v>95.59</v>
      </c>
      <c r="AP47" s="251">
        <f t="shared" si="22"/>
        <v>199039209</v>
      </c>
      <c r="AQ47" s="259">
        <f t="shared" si="23"/>
        <v>213248860</v>
      </c>
      <c r="AR47" s="259">
        <f t="shared" si="24"/>
        <v>201680823</v>
      </c>
      <c r="AS47" s="351">
        <f>ROUND(AR47/AQ47*100,2)</f>
        <v>94.58</v>
      </c>
      <c r="AT47" s="166">
        <f>AT46+AT39</f>
        <v>84525714</v>
      </c>
      <c r="AU47" s="163">
        <f>AU46+AU39</f>
        <v>90576347</v>
      </c>
      <c r="AV47" s="163">
        <f>AV46+AV39</f>
        <v>88019974</v>
      </c>
      <c r="AW47" s="339">
        <f>ROUND(AV47/AU47*100,2)</f>
        <v>97.18</v>
      </c>
      <c r="AX47" s="166">
        <f>AX46+AX39</f>
        <v>22975244</v>
      </c>
      <c r="AY47" s="163">
        <f>AY46+AY39</f>
        <v>24006707</v>
      </c>
      <c r="AZ47" s="163">
        <f>AZ46+AZ39</f>
        <v>21863451</v>
      </c>
      <c r="BA47" s="339">
        <f>ROUND(AZ47/AY47*100,2)</f>
        <v>91.07</v>
      </c>
      <c r="BB47" s="166">
        <f>BB46+BB39</f>
        <v>0</v>
      </c>
      <c r="BC47" s="163">
        <f>BC46+BC39</f>
        <v>1180425</v>
      </c>
      <c r="BD47" s="163">
        <f>BD46+BD39</f>
        <v>1180425</v>
      </c>
      <c r="BE47" s="339">
        <f>ROUND(BD47/BC47*100,2)</f>
        <v>100</v>
      </c>
      <c r="BF47" s="166">
        <f>BF46+BF39</f>
        <v>15012577</v>
      </c>
      <c r="BG47" s="163">
        <f>BG46+BG39</f>
        <v>16072524</v>
      </c>
      <c r="BH47" s="163">
        <f>BH46+BH39</f>
        <v>15865240</v>
      </c>
      <c r="BI47" s="339">
        <f>ROUND(BH47/BG47*100,2)</f>
        <v>98.71</v>
      </c>
      <c r="BJ47" s="293">
        <f t="shared" si="25"/>
        <v>122513535</v>
      </c>
      <c r="BK47" s="301">
        <f t="shared" si="26"/>
        <v>131836003</v>
      </c>
      <c r="BL47" s="301">
        <f t="shared" si="27"/>
        <v>126929090</v>
      </c>
      <c r="BM47" s="363">
        <f>ROUND(BL47/BK47*100,2)</f>
        <v>96.28</v>
      </c>
      <c r="BN47" s="188">
        <f>BN46+BN39</f>
        <v>1157473326</v>
      </c>
      <c r="BO47" s="198">
        <f>BO46+BO39</f>
        <v>1329548043</v>
      </c>
      <c r="BP47" s="198">
        <f>BP46+BP39</f>
        <v>1232324802</v>
      </c>
      <c r="BQ47" s="339">
        <f>ROUND(BP47/BO47*100,2)</f>
        <v>92.69</v>
      </c>
      <c r="BR47" s="166">
        <f>BR46+BR39</f>
        <v>2112181886</v>
      </c>
      <c r="BS47" s="207">
        <f>BS46+BS39</f>
        <v>2417708794</v>
      </c>
      <c r="BT47" s="207">
        <f>BT46+BT39</f>
        <v>1270289819</v>
      </c>
      <c r="BU47" s="382">
        <f t="shared" si="29"/>
        <v>52.54</v>
      </c>
      <c r="BV47" s="212">
        <f>BV46+BV39</f>
        <v>3269655212</v>
      </c>
      <c r="BW47" s="207">
        <f>BW46+BW39</f>
        <v>3747256837</v>
      </c>
      <c r="BX47" s="207">
        <f>BX46+BX39</f>
        <v>2502614621</v>
      </c>
      <c r="BY47" s="382">
        <f t="shared" si="31"/>
        <v>66.79</v>
      </c>
      <c r="BZ47" s="165">
        <f>BZ46+BZ39</f>
        <v>3269655212</v>
      </c>
      <c r="CA47" s="165">
        <f>CA46+CA39</f>
        <v>3747256837</v>
      </c>
      <c r="CB47" s="165">
        <f>CB46+CB39</f>
        <v>2502614621</v>
      </c>
      <c r="CC47" s="339">
        <f t="shared" si="33"/>
        <v>66.79</v>
      </c>
    </row>
    <row r="48" spans="1:82" s="8" customFormat="1" ht="15.75" customHeight="1" thickBot="1">
      <c r="A48" s="176" t="s">
        <v>113</v>
      </c>
      <c r="B48" s="177">
        <v>0</v>
      </c>
      <c r="C48" s="177">
        <v>0</v>
      </c>
      <c r="D48" s="177">
        <v>0</v>
      </c>
      <c r="E48" s="337"/>
      <c r="F48" s="178">
        <v>0</v>
      </c>
      <c r="G48" s="178">
        <v>0</v>
      </c>
      <c r="H48" s="178">
        <v>0</v>
      </c>
      <c r="I48" s="340"/>
      <c r="J48" s="178">
        <v>0</v>
      </c>
      <c r="K48" s="178">
        <v>0</v>
      </c>
      <c r="L48" s="178">
        <v>0</v>
      </c>
      <c r="M48" s="340"/>
      <c r="N48" s="177">
        <v>0</v>
      </c>
      <c r="O48" s="182">
        <v>0</v>
      </c>
      <c r="P48" s="182">
        <v>0</v>
      </c>
      <c r="Q48" s="340"/>
      <c r="R48" s="177">
        <v>0</v>
      </c>
      <c r="S48" s="182">
        <v>0</v>
      </c>
      <c r="T48" s="182">
        <v>0</v>
      </c>
      <c r="U48" s="340"/>
      <c r="V48" s="177">
        <v>0</v>
      </c>
      <c r="W48" s="182">
        <v>0</v>
      </c>
      <c r="X48" s="182">
        <v>0</v>
      </c>
      <c r="Y48" s="340"/>
      <c r="Z48" s="177">
        <v>0</v>
      </c>
      <c r="AA48" s="182">
        <v>0</v>
      </c>
      <c r="AB48" s="182">
        <v>0</v>
      </c>
      <c r="AC48" s="340"/>
      <c r="AD48" s="177">
        <v>0</v>
      </c>
      <c r="AE48" s="182">
        <v>0</v>
      </c>
      <c r="AF48" s="182">
        <v>0</v>
      </c>
      <c r="AG48" s="340"/>
      <c r="AH48" s="177">
        <v>0</v>
      </c>
      <c r="AI48" s="182">
        <v>0</v>
      </c>
      <c r="AJ48" s="182">
        <v>0</v>
      </c>
      <c r="AK48" s="340"/>
      <c r="AL48" s="177">
        <v>0</v>
      </c>
      <c r="AM48" s="182">
        <v>0</v>
      </c>
      <c r="AN48" s="182">
        <v>0</v>
      </c>
      <c r="AO48" s="340"/>
      <c r="AP48" s="260">
        <f t="shared" si="22"/>
        <v>0</v>
      </c>
      <c r="AQ48" s="261">
        <f t="shared" si="23"/>
        <v>0</v>
      </c>
      <c r="AR48" s="261">
        <f t="shared" si="24"/>
        <v>0</v>
      </c>
      <c r="AS48" s="352"/>
      <c r="AT48" s="177">
        <v>0</v>
      </c>
      <c r="AU48" s="182">
        <v>0</v>
      </c>
      <c r="AV48" s="182">
        <v>0</v>
      </c>
      <c r="AW48" s="340"/>
      <c r="AX48" s="177">
        <v>0</v>
      </c>
      <c r="AY48" s="182">
        <v>0</v>
      </c>
      <c r="AZ48" s="182">
        <v>0</v>
      </c>
      <c r="BA48" s="340"/>
      <c r="BB48" s="177">
        <v>0</v>
      </c>
      <c r="BC48" s="182">
        <v>0</v>
      </c>
      <c r="BD48" s="182">
        <v>0</v>
      </c>
      <c r="BE48" s="340"/>
      <c r="BF48" s="177">
        <v>0</v>
      </c>
      <c r="BG48" s="182">
        <v>0</v>
      </c>
      <c r="BH48" s="182">
        <v>0</v>
      </c>
      <c r="BI48" s="340"/>
      <c r="BJ48" s="302">
        <f t="shared" si="25"/>
        <v>0</v>
      </c>
      <c r="BK48" s="303">
        <f t="shared" si="26"/>
        <v>0</v>
      </c>
      <c r="BL48" s="303">
        <f t="shared" si="27"/>
        <v>0</v>
      </c>
      <c r="BM48" s="364"/>
      <c r="BN48" s="186">
        <f>B48+F48+J48+N48+R48+BJ48+AP48</f>
        <v>0</v>
      </c>
      <c r="BO48" s="192">
        <f>C48+G48+K48+O48+S48+BK48+AQ48</f>
        <v>0</v>
      </c>
      <c r="BP48" s="192">
        <f>D48+H48+L48+P48+T48+BL48+AR48</f>
        <v>0</v>
      </c>
      <c r="BQ48" s="340"/>
      <c r="BR48" s="177">
        <f>28549927+BN24</f>
        <v>28549927</v>
      </c>
      <c r="BS48" s="178">
        <f>28549927+BO24</f>
        <v>28549927</v>
      </c>
      <c r="BT48" s="178">
        <f>28549927+BP24</f>
        <v>28549927</v>
      </c>
      <c r="BU48" s="340">
        <f t="shared" si="29"/>
        <v>100</v>
      </c>
      <c r="BV48" s="177">
        <f>BR48+BN48</f>
        <v>28549927</v>
      </c>
      <c r="BW48" s="178">
        <f>BS48+BO48</f>
        <v>28549927</v>
      </c>
      <c r="BX48" s="178">
        <f>BT48+BP48</f>
        <v>28549927</v>
      </c>
      <c r="BY48" s="340">
        <f t="shared" si="31"/>
        <v>100</v>
      </c>
      <c r="BZ48" s="161">
        <f>BV48-BN24</f>
        <v>28549927</v>
      </c>
      <c r="CA48" s="161">
        <f>BW48-BO24</f>
        <v>28549927</v>
      </c>
      <c r="CB48" s="161">
        <f>BX48-BP24</f>
        <v>28549927</v>
      </c>
      <c r="CC48" s="340">
        <f t="shared" si="33"/>
        <v>100</v>
      </c>
      <c r="CD48" s="23"/>
    </row>
    <row r="49" spans="1:81" s="10" customFormat="1" ht="15.75" customHeight="1" thickBot="1">
      <c r="A49" s="179" t="s">
        <v>29</v>
      </c>
      <c r="B49" s="171">
        <f>B48+B47</f>
        <v>43398470</v>
      </c>
      <c r="C49" s="171">
        <f>C48+C47</f>
        <v>83831159</v>
      </c>
      <c r="D49" s="171">
        <f>D48+D47</f>
        <v>55209512</v>
      </c>
      <c r="E49" s="338">
        <f>ROUND(D49/C49*100,2)</f>
        <v>65.86</v>
      </c>
      <c r="F49" s="169">
        <f>F48+F47</f>
        <v>179232479</v>
      </c>
      <c r="G49" s="169">
        <f>G48+G47</f>
        <v>224849671</v>
      </c>
      <c r="H49" s="169">
        <f>H48+H47</f>
        <v>203747213</v>
      </c>
      <c r="I49" s="341">
        <f>ROUND(H49/G49*100,2)</f>
        <v>90.61</v>
      </c>
      <c r="J49" s="169">
        <f>J48+J47</f>
        <v>49831543</v>
      </c>
      <c r="K49" s="169">
        <f>K48+K47</f>
        <v>64825000</v>
      </c>
      <c r="L49" s="169">
        <f>L48+L47</f>
        <v>59141334</v>
      </c>
      <c r="M49" s="341">
        <f>ROUND(L49/K49*100,2)</f>
        <v>91.23</v>
      </c>
      <c r="N49" s="171">
        <f>N48+N47</f>
        <v>329180037</v>
      </c>
      <c r="O49" s="168">
        <f>O48+O47</f>
        <v>339467579</v>
      </c>
      <c r="P49" s="168">
        <f>P48+P47</f>
        <v>335506909</v>
      </c>
      <c r="Q49" s="341">
        <f>ROUND(P49/O49*100,2)</f>
        <v>98.83</v>
      </c>
      <c r="R49" s="171">
        <f>R48+R47</f>
        <v>234278053</v>
      </c>
      <c r="S49" s="168">
        <f>S48+S47</f>
        <v>271489771</v>
      </c>
      <c r="T49" s="168">
        <f>T48+T47</f>
        <v>250109921</v>
      </c>
      <c r="U49" s="341">
        <f>ROUND(T49/S49*100,2)</f>
        <v>92.12</v>
      </c>
      <c r="V49" s="171">
        <f>V48+V47</f>
        <v>86036981</v>
      </c>
      <c r="W49" s="168">
        <f>W48+W47</f>
        <v>92205136</v>
      </c>
      <c r="X49" s="168">
        <f>X48+X47</f>
        <v>87476208</v>
      </c>
      <c r="Y49" s="341">
        <f>ROUND(X49/W49*100,2)</f>
        <v>94.87</v>
      </c>
      <c r="Z49" s="171">
        <f>Z48+Z47</f>
        <v>27521589</v>
      </c>
      <c r="AA49" s="168">
        <f>AA48+AA47</f>
        <v>28448067</v>
      </c>
      <c r="AB49" s="168">
        <f>AB48+AB47</f>
        <v>26325257</v>
      </c>
      <c r="AC49" s="341">
        <f>ROUND(AB49/AA49*100,2)</f>
        <v>92.54</v>
      </c>
      <c r="AD49" s="171">
        <f>AD48+AD47</f>
        <v>51936936</v>
      </c>
      <c r="AE49" s="168">
        <f>AE48+AE47</f>
        <v>55588985</v>
      </c>
      <c r="AF49" s="168">
        <f>AF48+AF47</f>
        <v>51731261</v>
      </c>
      <c r="AG49" s="341">
        <f>ROUND(AF49/AE49*100,2)</f>
        <v>93.06</v>
      </c>
      <c r="AH49" s="171">
        <f>AH48+AH47</f>
        <v>19334953</v>
      </c>
      <c r="AI49" s="168">
        <f>AI48+AI47</f>
        <v>21342988</v>
      </c>
      <c r="AJ49" s="168">
        <f>AJ48+AJ47</f>
        <v>21175762</v>
      </c>
      <c r="AK49" s="341">
        <f>ROUND(AJ49/AI49*100,2)</f>
        <v>99.22</v>
      </c>
      <c r="AL49" s="171">
        <f>AL48+AL47</f>
        <v>14208750</v>
      </c>
      <c r="AM49" s="168">
        <f>AM48+AM47</f>
        <v>15663684</v>
      </c>
      <c r="AN49" s="168">
        <f>AN48+AN47</f>
        <v>14972335</v>
      </c>
      <c r="AO49" s="341">
        <f>ROUND(AN49/AM49*100,2)</f>
        <v>95.59</v>
      </c>
      <c r="AP49" s="256">
        <f t="shared" si="22"/>
        <v>199039209</v>
      </c>
      <c r="AQ49" s="262">
        <f t="shared" si="23"/>
        <v>213248860</v>
      </c>
      <c r="AR49" s="262">
        <f t="shared" si="24"/>
        <v>201680823</v>
      </c>
      <c r="AS49" s="353">
        <f>ROUND(AR49/AQ49*100,2)</f>
        <v>94.58</v>
      </c>
      <c r="AT49" s="171">
        <f>AT48+AT47</f>
        <v>84525714</v>
      </c>
      <c r="AU49" s="168">
        <f>AU48+AU47</f>
        <v>90576347</v>
      </c>
      <c r="AV49" s="168">
        <f>AV48+AV47</f>
        <v>88019974</v>
      </c>
      <c r="AW49" s="341">
        <f>ROUND(AV49/AU49*100,2)</f>
        <v>97.18</v>
      </c>
      <c r="AX49" s="171">
        <f>AX48+AX47</f>
        <v>22975244</v>
      </c>
      <c r="AY49" s="168">
        <f>AY48+AY47</f>
        <v>24006707</v>
      </c>
      <c r="AZ49" s="168">
        <f>AZ48+AZ47</f>
        <v>21863451</v>
      </c>
      <c r="BA49" s="341">
        <f>ROUND(AZ49/AY49*100,2)</f>
        <v>91.07</v>
      </c>
      <c r="BB49" s="171">
        <f>BB48+BB47</f>
        <v>0</v>
      </c>
      <c r="BC49" s="168">
        <f>BC48+BC47</f>
        <v>1180425</v>
      </c>
      <c r="BD49" s="168">
        <f>BD48+BD47</f>
        <v>1180425</v>
      </c>
      <c r="BE49" s="341">
        <f>ROUND(BD49/BC49*100,2)</f>
        <v>100</v>
      </c>
      <c r="BF49" s="171">
        <f>BF48+BF47</f>
        <v>15012577</v>
      </c>
      <c r="BG49" s="168">
        <f>BG48+BG47</f>
        <v>16072524</v>
      </c>
      <c r="BH49" s="168">
        <f>BH48+BH47</f>
        <v>15865240</v>
      </c>
      <c r="BI49" s="341">
        <f>ROUND(BH49/BG49*100,2)</f>
        <v>98.71</v>
      </c>
      <c r="BJ49" s="298">
        <f t="shared" si="25"/>
        <v>122513535</v>
      </c>
      <c r="BK49" s="304">
        <f t="shared" si="26"/>
        <v>131836003</v>
      </c>
      <c r="BL49" s="304">
        <f t="shared" si="27"/>
        <v>126929090</v>
      </c>
      <c r="BM49" s="365">
        <f>ROUND(BL49/BK49*100,2)</f>
        <v>96.28</v>
      </c>
      <c r="BN49" s="191">
        <f>BN48+BN47</f>
        <v>1157473326</v>
      </c>
      <c r="BO49" s="199">
        <f>BO48+BO47</f>
        <v>1329548043</v>
      </c>
      <c r="BP49" s="199">
        <f>BP48+BP47</f>
        <v>1232324802</v>
      </c>
      <c r="BQ49" s="341">
        <f>ROUND(BP49/BO49*100,2)</f>
        <v>92.69</v>
      </c>
      <c r="BR49" s="171">
        <f>BR48+BR47</f>
        <v>2140731813</v>
      </c>
      <c r="BS49" s="208">
        <f>BS48+BS47</f>
        <v>2446258721</v>
      </c>
      <c r="BT49" s="208">
        <f>BT48+BT47</f>
        <v>1298839746</v>
      </c>
      <c r="BU49" s="383">
        <f t="shared" si="29"/>
        <v>53.09</v>
      </c>
      <c r="BV49" s="214">
        <f>BV48+BV47</f>
        <v>3298205139</v>
      </c>
      <c r="BW49" s="208">
        <f>BW48+BW47</f>
        <v>3775806764</v>
      </c>
      <c r="BX49" s="208">
        <f>BX48+BX47</f>
        <v>2531164548</v>
      </c>
      <c r="BY49" s="383">
        <f t="shared" si="31"/>
        <v>67.04</v>
      </c>
      <c r="BZ49" s="170">
        <f>BZ48+BZ47</f>
        <v>3298205139</v>
      </c>
      <c r="CA49" s="170">
        <f>CA48+CA47</f>
        <v>3775806764</v>
      </c>
      <c r="CB49" s="170">
        <f>CB48+CB47</f>
        <v>2531164548</v>
      </c>
      <c r="CC49" s="341">
        <f t="shared" si="33"/>
        <v>67.04</v>
      </c>
    </row>
    <row r="50" spans="75:81" ht="9" customHeight="1" thickBot="1">
      <c r="BW50" s="56"/>
      <c r="BX50" s="56"/>
      <c r="BZ50" s="4"/>
      <c r="CA50" s="4"/>
      <c r="CB50" s="4"/>
      <c r="CC50" s="4"/>
    </row>
    <row r="51" spans="1:81" s="57" customFormat="1" ht="12.75">
      <c r="A51" s="97" t="s">
        <v>135</v>
      </c>
      <c r="B51" s="114">
        <f>SUM(B52:B53)</f>
        <v>9</v>
      </c>
      <c r="C51" s="141">
        <f>SUM(C52:C53)</f>
        <v>9</v>
      </c>
      <c r="D51" s="141">
        <f>SUM(D52:D53)</f>
        <v>9</v>
      </c>
      <c r="E51" s="270"/>
      <c r="F51" s="114">
        <f>SUM(F52:F53)</f>
        <v>15.5</v>
      </c>
      <c r="G51" s="114">
        <f>SUM(G52:G53)</f>
        <v>15.5</v>
      </c>
      <c r="H51" s="610">
        <f>SUM(H52:H53)</f>
        <v>16.5</v>
      </c>
      <c r="I51" s="141"/>
      <c r="J51" s="114">
        <f>SUM(J52:J53)</f>
        <v>12</v>
      </c>
      <c r="K51" s="114">
        <f>SUM(K52:K53)</f>
        <v>12</v>
      </c>
      <c r="L51" s="114">
        <f>SUM(L52:L53)</f>
        <v>12</v>
      </c>
      <c r="M51" s="141"/>
      <c r="N51" s="114">
        <f>SUM(N52:N53)</f>
        <v>54</v>
      </c>
      <c r="O51" s="114">
        <f>SUM(O52:O53)</f>
        <v>55</v>
      </c>
      <c r="P51" s="114">
        <f>SUM(P52:P53)</f>
        <v>55</v>
      </c>
      <c r="Q51" s="141"/>
      <c r="R51" s="114">
        <f>SUM(R52:R53)</f>
        <v>44.75</v>
      </c>
      <c r="S51" s="114">
        <f>SUM(S52:S53)</f>
        <v>48.75</v>
      </c>
      <c r="T51" s="114">
        <f>SUM(T52:T53)</f>
        <v>48.75</v>
      </c>
      <c r="U51" s="141"/>
      <c r="V51" s="114">
        <f>SUM(V52:V53)</f>
        <v>18.25</v>
      </c>
      <c r="W51" s="114">
        <f>SUM(W52:W53)</f>
        <v>18.25</v>
      </c>
      <c r="X51" s="114">
        <f>SUM(X52:X53)</f>
        <v>18.25</v>
      </c>
      <c r="Y51" s="141"/>
      <c r="Z51" s="114">
        <f>SUM(Z52:Z53)</f>
        <v>5.5</v>
      </c>
      <c r="AA51" s="114">
        <f>SUM(AA52:AA53)</f>
        <v>5.5</v>
      </c>
      <c r="AB51" s="114">
        <f>SUM(AB52:AB53)</f>
        <v>5.5</v>
      </c>
      <c r="AC51" s="141"/>
      <c r="AD51" s="114">
        <f>SUM(AD52:AD53)</f>
        <v>10.5</v>
      </c>
      <c r="AE51" s="114">
        <f>SUM(AE52:AE53)</f>
        <v>10.5</v>
      </c>
      <c r="AF51" s="114">
        <f>SUM(AF52:AF53)</f>
        <v>10.5</v>
      </c>
      <c r="AG51" s="141"/>
      <c r="AH51" s="114">
        <f>SUM(AH52:AH53)</f>
        <v>4.5</v>
      </c>
      <c r="AI51" s="114">
        <f>SUM(AI52:AI53)</f>
        <v>4.5</v>
      </c>
      <c r="AJ51" s="114">
        <f>SUM(AJ52:AJ53)</f>
        <v>4.5</v>
      </c>
      <c r="AK51" s="141"/>
      <c r="AL51" s="114">
        <f>SUM(AL52:AL53)</f>
        <v>3</v>
      </c>
      <c r="AM51" s="114">
        <f>SUM(AM52:AM53)</f>
        <v>3</v>
      </c>
      <c r="AN51" s="114">
        <f>SUM(AN52:AN53)</f>
        <v>3</v>
      </c>
      <c r="AO51" s="141"/>
      <c r="AP51" s="263">
        <f aca="true" t="shared" si="42" ref="AP51:AR54">V51+Z51+AD51+AH51+AL51</f>
        <v>41.75</v>
      </c>
      <c r="AQ51" s="264">
        <f t="shared" si="42"/>
        <v>41.75</v>
      </c>
      <c r="AR51" s="264">
        <f t="shared" si="42"/>
        <v>41.75</v>
      </c>
      <c r="AS51" s="264"/>
      <c r="AT51" s="114">
        <f>SUM(AT52:AT53)</f>
        <v>18.5</v>
      </c>
      <c r="AU51" s="114">
        <f>SUM(AU52:AU53)</f>
        <v>19.5</v>
      </c>
      <c r="AV51" s="114">
        <f>SUM(AV52:AV53)</f>
        <v>19.5</v>
      </c>
      <c r="AW51" s="141"/>
      <c r="AX51" s="114">
        <f>SUM(AX52:AX53)</f>
        <v>3</v>
      </c>
      <c r="AY51" s="114">
        <f>SUM(AY52:AY53)</f>
        <v>3</v>
      </c>
      <c r="AZ51" s="114">
        <f>SUM(AZ52:AZ53)</f>
        <v>3</v>
      </c>
      <c r="BA51" s="141"/>
      <c r="BB51" s="114">
        <f>SUM(BB52:BB53)</f>
        <v>0</v>
      </c>
      <c r="BC51" s="114">
        <f>SUM(BC52:BC53)</f>
        <v>0</v>
      </c>
      <c r="BD51" s="114">
        <f>SUM(BD52:BD53)</f>
        <v>0</v>
      </c>
      <c r="BE51" s="141"/>
      <c r="BF51" s="114">
        <f>SUM(BF52:BF53)</f>
        <v>3</v>
      </c>
      <c r="BG51" s="114">
        <f>SUM(BG52:BG53)</f>
        <v>3</v>
      </c>
      <c r="BH51" s="114">
        <f>SUM(BH52:BH53)</f>
        <v>3</v>
      </c>
      <c r="BI51" s="141"/>
      <c r="BJ51" s="305">
        <f aca="true" t="shared" si="43" ref="BJ51:BL54">AT51+AX51+BF51+BB51</f>
        <v>24.5</v>
      </c>
      <c r="BK51" s="306">
        <f t="shared" si="43"/>
        <v>25.5</v>
      </c>
      <c r="BL51" s="306">
        <f t="shared" si="43"/>
        <v>25.5</v>
      </c>
      <c r="BM51" s="306"/>
      <c r="BN51" s="272">
        <f aca="true" t="shared" si="44" ref="BN51:BP54">B51+F51+J51+N51+R51+BJ51+AP51</f>
        <v>201.5</v>
      </c>
      <c r="BO51" s="141">
        <f t="shared" si="44"/>
        <v>207.5</v>
      </c>
      <c r="BP51" s="141">
        <f t="shared" si="44"/>
        <v>208.5</v>
      </c>
      <c r="BQ51" s="141"/>
      <c r="BR51" s="115">
        <f>SUM(BR52:BR53)</f>
        <v>4.75</v>
      </c>
      <c r="BS51" s="141">
        <f aca="true" t="shared" si="45" ref="BS51:BT54">BR51</f>
        <v>4.75</v>
      </c>
      <c r="BT51" s="141">
        <f t="shared" si="45"/>
        <v>4.75</v>
      </c>
      <c r="BU51" s="141"/>
      <c r="BV51" s="153">
        <f aca="true" t="shared" si="46" ref="BV51:BX54">BR51+BN51</f>
        <v>206.25</v>
      </c>
      <c r="BW51" s="141">
        <f t="shared" si="46"/>
        <v>212.25</v>
      </c>
      <c r="BX51" s="141">
        <f t="shared" si="46"/>
        <v>213.25</v>
      </c>
      <c r="BY51" s="141"/>
      <c r="BZ51" s="100"/>
      <c r="CA51" s="100"/>
      <c r="CB51" s="100"/>
      <c r="CC51" s="100"/>
    </row>
    <row r="52" spans="1:81" s="60" customFormat="1" ht="12.75">
      <c r="A52" s="98" t="s">
        <v>132</v>
      </c>
      <c r="B52" s="116">
        <v>7</v>
      </c>
      <c r="C52" s="117">
        <v>7</v>
      </c>
      <c r="D52" s="117">
        <v>7</v>
      </c>
      <c r="E52" s="269"/>
      <c r="F52" s="117">
        <v>5.5</v>
      </c>
      <c r="G52" s="117">
        <v>5.5</v>
      </c>
      <c r="H52" s="611">
        <v>6.5</v>
      </c>
      <c r="I52" s="117"/>
      <c r="J52" s="117">
        <v>4</v>
      </c>
      <c r="K52" s="117">
        <v>4</v>
      </c>
      <c r="L52" s="117">
        <v>4</v>
      </c>
      <c r="M52" s="117"/>
      <c r="N52" s="113">
        <v>52</v>
      </c>
      <c r="O52" s="117">
        <v>53</v>
      </c>
      <c r="P52" s="117">
        <v>53</v>
      </c>
      <c r="Q52" s="117"/>
      <c r="R52" s="113">
        <v>39.75</v>
      </c>
      <c r="S52" s="117">
        <f>39.75+4</f>
        <v>43.75</v>
      </c>
      <c r="T52" s="117">
        <v>43.75</v>
      </c>
      <c r="U52" s="117"/>
      <c r="V52" s="113">
        <v>17</v>
      </c>
      <c r="W52" s="117">
        <v>17</v>
      </c>
      <c r="X52" s="117">
        <v>17</v>
      </c>
      <c r="Y52" s="117"/>
      <c r="Z52" s="113">
        <v>4.5</v>
      </c>
      <c r="AA52" s="117">
        <v>4.5</v>
      </c>
      <c r="AB52" s="117">
        <v>4.5</v>
      </c>
      <c r="AC52" s="117"/>
      <c r="AD52" s="113">
        <v>10</v>
      </c>
      <c r="AE52" s="117">
        <v>10</v>
      </c>
      <c r="AF52" s="117">
        <v>10</v>
      </c>
      <c r="AG52" s="117"/>
      <c r="AH52" s="113">
        <v>4</v>
      </c>
      <c r="AI52" s="117">
        <v>4</v>
      </c>
      <c r="AJ52" s="117">
        <v>4</v>
      </c>
      <c r="AK52" s="117"/>
      <c r="AL52" s="113">
        <v>3</v>
      </c>
      <c r="AM52" s="117">
        <v>3</v>
      </c>
      <c r="AN52" s="117">
        <v>3</v>
      </c>
      <c r="AO52" s="117"/>
      <c r="AP52" s="265">
        <f t="shared" si="42"/>
        <v>38.5</v>
      </c>
      <c r="AQ52" s="266">
        <f t="shared" si="42"/>
        <v>38.5</v>
      </c>
      <c r="AR52" s="266">
        <f t="shared" si="42"/>
        <v>38.5</v>
      </c>
      <c r="AS52" s="266"/>
      <c r="AT52" s="113">
        <v>18</v>
      </c>
      <c r="AU52" s="117">
        <v>19</v>
      </c>
      <c r="AV52" s="117">
        <v>19</v>
      </c>
      <c r="AW52" s="117"/>
      <c r="AX52" s="113">
        <v>3</v>
      </c>
      <c r="AY52" s="117">
        <v>3</v>
      </c>
      <c r="AZ52" s="117">
        <v>3</v>
      </c>
      <c r="BA52" s="117"/>
      <c r="BB52" s="113">
        <v>0</v>
      </c>
      <c r="BC52" s="117">
        <v>0</v>
      </c>
      <c r="BD52" s="117">
        <v>0</v>
      </c>
      <c r="BE52" s="117"/>
      <c r="BF52" s="113">
        <v>3</v>
      </c>
      <c r="BG52" s="117">
        <v>3</v>
      </c>
      <c r="BH52" s="117">
        <v>3</v>
      </c>
      <c r="BI52" s="117"/>
      <c r="BJ52" s="307">
        <f t="shared" si="43"/>
        <v>24</v>
      </c>
      <c r="BK52" s="308">
        <f t="shared" si="43"/>
        <v>25</v>
      </c>
      <c r="BL52" s="308">
        <f t="shared" si="43"/>
        <v>25</v>
      </c>
      <c r="BM52" s="308"/>
      <c r="BN52" s="273">
        <f t="shared" si="44"/>
        <v>170.75</v>
      </c>
      <c r="BO52" s="117">
        <f t="shared" si="44"/>
        <v>176.75</v>
      </c>
      <c r="BP52" s="117">
        <f t="shared" si="44"/>
        <v>177.75</v>
      </c>
      <c r="BQ52" s="117"/>
      <c r="BR52" s="118">
        <v>3.5</v>
      </c>
      <c r="BS52" s="117">
        <f t="shared" si="45"/>
        <v>3.5</v>
      </c>
      <c r="BT52" s="117">
        <f t="shared" si="45"/>
        <v>3.5</v>
      </c>
      <c r="BU52" s="117"/>
      <c r="BV52" s="154">
        <f t="shared" si="46"/>
        <v>174.25</v>
      </c>
      <c r="BW52" s="117">
        <f t="shared" si="46"/>
        <v>180.25</v>
      </c>
      <c r="BX52" s="117">
        <f t="shared" si="46"/>
        <v>181.25</v>
      </c>
      <c r="BY52" s="117"/>
      <c r="BZ52" s="82"/>
      <c r="CA52" s="82"/>
      <c r="CB52" s="82"/>
      <c r="CC52" s="82"/>
    </row>
    <row r="53" spans="1:81" s="60" customFormat="1" ht="12.75">
      <c r="A53" s="98" t="s">
        <v>133</v>
      </c>
      <c r="B53" s="116">
        <v>2</v>
      </c>
      <c r="C53" s="117">
        <v>2</v>
      </c>
      <c r="D53" s="117">
        <v>2</v>
      </c>
      <c r="E53" s="269"/>
      <c r="F53" s="117">
        <v>10</v>
      </c>
      <c r="G53" s="117">
        <v>10</v>
      </c>
      <c r="H53" s="611">
        <v>10</v>
      </c>
      <c r="I53" s="117"/>
      <c r="J53" s="117">
        <v>8</v>
      </c>
      <c r="K53" s="117">
        <v>8</v>
      </c>
      <c r="L53" s="117">
        <v>8</v>
      </c>
      <c r="M53" s="117"/>
      <c r="N53" s="113">
        <v>2</v>
      </c>
      <c r="O53" s="117">
        <v>2</v>
      </c>
      <c r="P53" s="117">
        <v>2</v>
      </c>
      <c r="Q53" s="117"/>
      <c r="R53" s="113">
        <v>5</v>
      </c>
      <c r="S53" s="117">
        <v>5</v>
      </c>
      <c r="T53" s="117">
        <v>5</v>
      </c>
      <c r="U53" s="117"/>
      <c r="V53" s="113">
        <v>1.25</v>
      </c>
      <c r="W53" s="117">
        <v>1.25</v>
      </c>
      <c r="X53" s="117">
        <v>1.25</v>
      </c>
      <c r="Y53" s="117"/>
      <c r="Z53" s="113">
        <v>1</v>
      </c>
      <c r="AA53" s="117">
        <v>1</v>
      </c>
      <c r="AB53" s="117">
        <v>1</v>
      </c>
      <c r="AC53" s="117"/>
      <c r="AD53" s="113">
        <v>0.5</v>
      </c>
      <c r="AE53" s="117">
        <v>0.5</v>
      </c>
      <c r="AF53" s="117">
        <v>0.5</v>
      </c>
      <c r="AG53" s="117"/>
      <c r="AH53" s="113">
        <v>0.5</v>
      </c>
      <c r="AI53" s="117">
        <v>0.5</v>
      </c>
      <c r="AJ53" s="117">
        <v>0.5</v>
      </c>
      <c r="AK53" s="117"/>
      <c r="AL53" s="113">
        <v>0</v>
      </c>
      <c r="AM53" s="117">
        <v>0</v>
      </c>
      <c r="AN53" s="117">
        <v>0</v>
      </c>
      <c r="AO53" s="117"/>
      <c r="AP53" s="265">
        <f t="shared" si="42"/>
        <v>3.25</v>
      </c>
      <c r="AQ53" s="266">
        <f t="shared" si="42"/>
        <v>3.25</v>
      </c>
      <c r="AR53" s="266">
        <f t="shared" si="42"/>
        <v>3.25</v>
      </c>
      <c r="AS53" s="266"/>
      <c r="AT53" s="113">
        <v>0.5</v>
      </c>
      <c r="AU53" s="117">
        <v>0.5</v>
      </c>
      <c r="AV53" s="117">
        <v>0.5</v>
      </c>
      <c r="AW53" s="117"/>
      <c r="AX53" s="113">
        <v>0</v>
      </c>
      <c r="AY53" s="117">
        <v>0</v>
      </c>
      <c r="AZ53" s="117">
        <v>0</v>
      </c>
      <c r="BA53" s="117"/>
      <c r="BB53" s="113">
        <v>0</v>
      </c>
      <c r="BC53" s="117">
        <v>0</v>
      </c>
      <c r="BD53" s="117">
        <v>0</v>
      </c>
      <c r="BE53" s="117"/>
      <c r="BF53" s="113">
        <v>0</v>
      </c>
      <c r="BG53" s="117">
        <v>0</v>
      </c>
      <c r="BH53" s="117">
        <v>0</v>
      </c>
      <c r="BI53" s="117"/>
      <c r="BJ53" s="307">
        <f t="shared" si="43"/>
        <v>0.5</v>
      </c>
      <c r="BK53" s="308">
        <f t="shared" si="43"/>
        <v>0.5</v>
      </c>
      <c r="BL53" s="308">
        <f t="shared" si="43"/>
        <v>0.5</v>
      </c>
      <c r="BM53" s="308"/>
      <c r="BN53" s="273">
        <f t="shared" si="44"/>
        <v>30.75</v>
      </c>
      <c r="BO53" s="117">
        <f t="shared" si="44"/>
        <v>30.75</v>
      </c>
      <c r="BP53" s="117">
        <f t="shared" si="44"/>
        <v>30.75</v>
      </c>
      <c r="BQ53" s="117"/>
      <c r="BR53" s="118">
        <v>1.25</v>
      </c>
      <c r="BS53" s="117">
        <f t="shared" si="45"/>
        <v>1.25</v>
      </c>
      <c r="BT53" s="117">
        <f t="shared" si="45"/>
        <v>1.25</v>
      </c>
      <c r="BU53" s="117"/>
      <c r="BV53" s="154">
        <f t="shared" si="46"/>
        <v>32</v>
      </c>
      <c r="BW53" s="117">
        <f t="shared" si="46"/>
        <v>32</v>
      </c>
      <c r="BX53" s="117">
        <f t="shared" si="46"/>
        <v>32</v>
      </c>
      <c r="BY53" s="117"/>
      <c r="BZ53" s="83"/>
      <c r="CA53" s="83"/>
      <c r="CB53" s="83"/>
      <c r="CC53" s="83"/>
    </row>
    <row r="54" spans="1:81" s="57" customFormat="1" ht="13.5" thickBot="1">
      <c r="A54" s="99" t="s">
        <v>136</v>
      </c>
      <c r="B54" s="119">
        <v>2</v>
      </c>
      <c r="C54" s="120">
        <v>2</v>
      </c>
      <c r="D54" s="120">
        <v>2</v>
      </c>
      <c r="E54" s="271"/>
      <c r="F54" s="120">
        <v>1</v>
      </c>
      <c r="G54" s="120">
        <v>1</v>
      </c>
      <c r="H54" s="612">
        <v>0</v>
      </c>
      <c r="I54" s="120"/>
      <c r="J54" s="120">
        <v>0</v>
      </c>
      <c r="K54" s="120">
        <v>0</v>
      </c>
      <c r="L54" s="120">
        <v>0</v>
      </c>
      <c r="M54" s="120"/>
      <c r="N54" s="121">
        <v>1</v>
      </c>
      <c r="O54" s="120">
        <v>1</v>
      </c>
      <c r="P54" s="120">
        <v>1</v>
      </c>
      <c r="Q54" s="120"/>
      <c r="R54" s="121">
        <v>0</v>
      </c>
      <c r="S54" s="120">
        <v>0</v>
      </c>
      <c r="T54" s="120">
        <v>0</v>
      </c>
      <c r="U54" s="120"/>
      <c r="V54" s="121">
        <v>1</v>
      </c>
      <c r="W54" s="120">
        <v>1</v>
      </c>
      <c r="X54" s="120">
        <v>1</v>
      </c>
      <c r="Y54" s="120"/>
      <c r="Z54" s="121">
        <v>1</v>
      </c>
      <c r="AA54" s="120">
        <v>1</v>
      </c>
      <c r="AB54" s="120">
        <v>1</v>
      </c>
      <c r="AC54" s="120"/>
      <c r="AD54" s="121">
        <v>0</v>
      </c>
      <c r="AE54" s="120">
        <v>0</v>
      </c>
      <c r="AF54" s="120">
        <v>0</v>
      </c>
      <c r="AG54" s="120"/>
      <c r="AH54" s="121">
        <v>0</v>
      </c>
      <c r="AI54" s="120">
        <f>AH54</f>
        <v>0</v>
      </c>
      <c r="AJ54" s="120">
        <f>AI54</f>
        <v>0</v>
      </c>
      <c r="AK54" s="120"/>
      <c r="AL54" s="121">
        <v>1</v>
      </c>
      <c r="AM54" s="120">
        <v>1</v>
      </c>
      <c r="AN54" s="120">
        <v>1</v>
      </c>
      <c r="AO54" s="120"/>
      <c r="AP54" s="267">
        <f t="shared" si="42"/>
        <v>3</v>
      </c>
      <c r="AQ54" s="268">
        <f t="shared" si="42"/>
        <v>3</v>
      </c>
      <c r="AR54" s="268">
        <f t="shared" si="42"/>
        <v>3</v>
      </c>
      <c r="AS54" s="268"/>
      <c r="AT54" s="121">
        <v>0</v>
      </c>
      <c r="AU54" s="120">
        <v>0</v>
      </c>
      <c r="AV54" s="120">
        <v>0</v>
      </c>
      <c r="AW54" s="120"/>
      <c r="AX54" s="121">
        <v>1</v>
      </c>
      <c r="AY54" s="120">
        <v>1</v>
      </c>
      <c r="AZ54" s="120">
        <v>1</v>
      </c>
      <c r="BA54" s="120"/>
      <c r="BB54" s="121">
        <v>0</v>
      </c>
      <c r="BC54" s="120">
        <v>0</v>
      </c>
      <c r="BD54" s="120">
        <v>0</v>
      </c>
      <c r="BE54" s="120"/>
      <c r="BF54" s="121">
        <v>0</v>
      </c>
      <c r="BG54" s="120">
        <v>0</v>
      </c>
      <c r="BH54" s="120">
        <v>0</v>
      </c>
      <c r="BI54" s="120"/>
      <c r="BJ54" s="309">
        <f t="shared" si="43"/>
        <v>1</v>
      </c>
      <c r="BK54" s="310">
        <f t="shared" si="43"/>
        <v>1</v>
      </c>
      <c r="BL54" s="310">
        <f t="shared" si="43"/>
        <v>1</v>
      </c>
      <c r="BM54" s="310"/>
      <c r="BN54" s="274">
        <f t="shared" si="44"/>
        <v>8</v>
      </c>
      <c r="BO54" s="120">
        <f t="shared" si="44"/>
        <v>8</v>
      </c>
      <c r="BP54" s="120">
        <f t="shared" si="44"/>
        <v>7</v>
      </c>
      <c r="BQ54" s="120"/>
      <c r="BR54" s="122">
        <v>0</v>
      </c>
      <c r="BS54" s="120">
        <f t="shared" si="45"/>
        <v>0</v>
      </c>
      <c r="BT54" s="120">
        <f t="shared" si="45"/>
        <v>0</v>
      </c>
      <c r="BU54" s="120"/>
      <c r="BV54" s="155">
        <f t="shared" si="46"/>
        <v>8</v>
      </c>
      <c r="BW54" s="120">
        <f t="shared" si="46"/>
        <v>8</v>
      </c>
      <c r="BX54" s="120">
        <f t="shared" si="46"/>
        <v>7</v>
      </c>
      <c r="BY54" s="120"/>
      <c r="BZ54" s="101"/>
      <c r="CA54" s="101"/>
      <c r="CB54" s="101"/>
      <c r="CC54" s="101"/>
    </row>
  </sheetData>
  <sheetProtection/>
  <mergeCells count="42">
    <mergeCell ref="BV28:BY28"/>
    <mergeCell ref="BZ28:CC28"/>
    <mergeCell ref="AX28:BA28"/>
    <mergeCell ref="BB28:BE28"/>
    <mergeCell ref="BF28:BI28"/>
    <mergeCell ref="BJ28:BM28"/>
    <mergeCell ref="BN28:BQ28"/>
    <mergeCell ref="BR28:BU28"/>
    <mergeCell ref="Z28:AC28"/>
    <mergeCell ref="AD28:AG28"/>
    <mergeCell ref="AH28:AK28"/>
    <mergeCell ref="AL28:AO28"/>
    <mergeCell ref="AP28:AS28"/>
    <mergeCell ref="AT28:AW28"/>
    <mergeCell ref="BR3:BU3"/>
    <mergeCell ref="BV3:BY3"/>
    <mergeCell ref="BZ3:CC3"/>
    <mergeCell ref="A28:A29"/>
    <mergeCell ref="B28:E28"/>
    <mergeCell ref="F28:I28"/>
    <mergeCell ref="J28:M28"/>
    <mergeCell ref="N28:Q28"/>
    <mergeCell ref="R28:U28"/>
    <mergeCell ref="V28:Y28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07874015748031496" right="0.1968503937007874" top="0.15748031496062992" bottom="0.15748031496062992" header="0.31496062992125984" footer="0.31496062992125984"/>
  <pageSetup fitToWidth="6" horizontalDpi="600" verticalDpi="600" orientation="landscape" paperSize="8" scale="55" r:id="rId1"/>
  <colBreaks count="3" manualBreakCount="3">
    <brk id="21" max="59" man="1"/>
    <brk id="45" max="59" man="1"/>
    <brk id="6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4.75390625" style="0" customWidth="1"/>
    <col min="4" max="4" width="15.00390625" style="0" customWidth="1"/>
    <col min="5" max="5" width="12.875" style="0" bestFit="1" customWidth="1"/>
    <col min="6" max="6" width="10.875" style="0" bestFit="1" customWidth="1"/>
    <col min="7" max="7" width="5.25390625" style="0" customWidth="1"/>
    <col min="11" max="11" width="9.625" style="0" bestFit="1" customWidth="1"/>
  </cols>
  <sheetData>
    <row r="1" ht="13.5">
      <c r="A1" s="53" t="s">
        <v>580</v>
      </c>
    </row>
    <row r="2" spans="1:6" s="2" customFormat="1" ht="13.5">
      <c r="A2" s="693"/>
      <c r="B2" s="693"/>
      <c r="C2" s="693"/>
      <c r="D2" s="544"/>
      <c r="E2" s="5"/>
      <c r="F2" s="5"/>
    </row>
    <row r="3" spans="1:6" s="2" customFormat="1" ht="12.75">
      <c r="A3" s="544"/>
      <c r="B3" s="545"/>
      <c r="C3" s="5"/>
      <c r="D3" s="5"/>
      <c r="E3" s="5"/>
      <c r="F3" s="5"/>
    </row>
    <row r="4" spans="1:6" s="2" customFormat="1" ht="16.5" customHeight="1">
      <c r="A4" s="694" t="s">
        <v>381</v>
      </c>
      <c r="B4" s="694"/>
      <c r="C4" s="694"/>
      <c r="D4" s="694"/>
      <c r="E4" s="694"/>
      <c r="F4" s="694"/>
    </row>
    <row r="5" spans="1:6" s="2" customFormat="1" ht="16.5" customHeight="1">
      <c r="A5" s="694" t="s">
        <v>382</v>
      </c>
      <c r="B5" s="694"/>
      <c r="C5" s="694"/>
      <c r="D5" s="694"/>
      <c r="E5" s="694"/>
      <c r="F5" s="694"/>
    </row>
    <row r="6" spans="1:6" s="2" customFormat="1" ht="45" customHeight="1">
      <c r="A6" s="1"/>
      <c r="B6" s="546"/>
      <c r="C6" s="546" t="s">
        <v>383</v>
      </c>
      <c r="D6" s="546" t="s">
        <v>496</v>
      </c>
      <c r="E6" s="547" t="s">
        <v>497</v>
      </c>
      <c r="F6" s="548" t="s">
        <v>181</v>
      </c>
    </row>
    <row r="7" spans="1:6" s="79" customFormat="1" ht="16.5" customHeight="1">
      <c r="A7" s="78" t="s">
        <v>1</v>
      </c>
      <c r="B7" s="78" t="s">
        <v>83</v>
      </c>
      <c r="C7" s="78"/>
      <c r="D7" s="78"/>
      <c r="E7" s="78"/>
      <c r="F7" s="78"/>
    </row>
    <row r="8" spans="1:6" s="63" customFormat="1" ht="16.5" customHeight="1">
      <c r="A8" s="24" t="s">
        <v>4</v>
      </c>
      <c r="B8" s="24" t="s">
        <v>384</v>
      </c>
      <c r="C8" s="66">
        <v>33000000</v>
      </c>
      <c r="D8" s="66">
        <v>33000000</v>
      </c>
      <c r="E8" s="549">
        <v>26400000</v>
      </c>
      <c r="F8" s="550">
        <f aca="true" t="shared" si="0" ref="F8:F13">ROUND(E8/D8*100,2)</f>
        <v>80</v>
      </c>
    </row>
    <row r="9" spans="1:6" s="27" customFormat="1" ht="16.5" customHeight="1">
      <c r="A9" s="24" t="s">
        <v>5</v>
      </c>
      <c r="B9" s="24" t="s">
        <v>385</v>
      </c>
      <c r="C9" s="66">
        <f>35200000-1760000</f>
        <v>33440000</v>
      </c>
      <c r="D9" s="66">
        <f>35200000-1760000</f>
        <v>33440000</v>
      </c>
      <c r="E9" s="222">
        <v>35200000</v>
      </c>
      <c r="F9" s="551">
        <f t="shared" si="0"/>
        <v>105.26</v>
      </c>
    </row>
    <row r="10" spans="1:6" s="27" customFormat="1" ht="16.5" customHeight="1">
      <c r="A10" s="24" t="s">
        <v>6</v>
      </c>
      <c r="B10" s="24" t="s">
        <v>386</v>
      </c>
      <c r="C10" s="66">
        <v>56700824</v>
      </c>
      <c r="D10" s="66">
        <v>56700824</v>
      </c>
      <c r="E10" s="222">
        <f>56700824-11340165+11340165</f>
        <v>56700824</v>
      </c>
      <c r="F10" s="551">
        <f t="shared" si="0"/>
        <v>100</v>
      </c>
    </row>
    <row r="11" spans="1:6" s="27" customFormat="1" ht="16.5" customHeight="1">
      <c r="A11" s="24" t="s">
        <v>7</v>
      </c>
      <c r="B11" s="24" t="s">
        <v>387</v>
      </c>
      <c r="C11" s="66">
        <f>45609738+7500000+4500000+4800000+1790065</f>
        <v>64199803</v>
      </c>
      <c r="D11" s="66">
        <f>45609738+7500000+4500000+4800000+1790065-10000000-11987454</f>
        <v>42212349</v>
      </c>
      <c r="E11" s="222">
        <v>22198023</v>
      </c>
      <c r="F11" s="551">
        <f t="shared" si="0"/>
        <v>52.59</v>
      </c>
    </row>
    <row r="12" spans="1:6" s="27" customFormat="1" ht="16.5" customHeight="1">
      <c r="A12" s="24" t="s">
        <v>8</v>
      </c>
      <c r="B12" s="24" t="s">
        <v>154</v>
      </c>
      <c r="C12" s="66">
        <v>18000000</v>
      </c>
      <c r="D12" s="66">
        <v>18000000</v>
      </c>
      <c r="E12" s="222">
        <v>47970000</v>
      </c>
      <c r="F12" s="551">
        <f t="shared" si="0"/>
        <v>266.5</v>
      </c>
    </row>
    <row r="13" spans="2:6" s="26" customFormat="1" ht="16.5" customHeight="1">
      <c r="B13" s="26" t="s">
        <v>3</v>
      </c>
      <c r="C13" s="62">
        <f>SUM(C8:C12)</f>
        <v>205340627</v>
      </c>
      <c r="D13" s="62">
        <f>SUM(D8:D12)</f>
        <v>183353173</v>
      </c>
      <c r="E13" s="62">
        <f>SUM(E8:E12)</f>
        <v>188468847</v>
      </c>
      <c r="F13" s="552">
        <f t="shared" si="0"/>
        <v>102.79</v>
      </c>
    </row>
    <row r="14" spans="3:6" s="63" customFormat="1" ht="16.5" customHeight="1">
      <c r="C14" s="76"/>
      <c r="D14" s="76"/>
      <c r="E14" s="81"/>
      <c r="F14" s="81"/>
    </row>
    <row r="15" spans="1:6" s="26" customFormat="1" ht="16.5" customHeight="1">
      <c r="A15" s="26" t="s">
        <v>9</v>
      </c>
      <c r="B15" s="78" t="s">
        <v>84</v>
      </c>
      <c r="C15" s="62"/>
      <c r="D15" s="62"/>
      <c r="E15" s="62"/>
      <c r="F15" s="62"/>
    </row>
    <row r="16" spans="1:6" s="63" customFormat="1" ht="16.5" customHeight="1">
      <c r="A16" s="24" t="s">
        <v>4</v>
      </c>
      <c r="B16" s="24" t="s">
        <v>388</v>
      </c>
      <c r="C16" s="66">
        <v>72045</v>
      </c>
      <c r="D16" s="66">
        <v>72045</v>
      </c>
      <c r="E16" s="222">
        <v>72045</v>
      </c>
      <c r="F16" s="551">
        <f aca="true" t="shared" si="1" ref="F16:F21">ROUND(E16/D16*100,2)</f>
        <v>100</v>
      </c>
    </row>
    <row r="17" spans="1:6" s="63" customFormat="1" ht="16.5" customHeight="1">
      <c r="A17" s="24" t="s">
        <v>5</v>
      </c>
      <c r="B17" s="24" t="s">
        <v>389</v>
      </c>
      <c r="C17" s="66">
        <v>48030</v>
      </c>
      <c r="D17" s="66">
        <v>48030</v>
      </c>
      <c r="E17" s="222">
        <v>48030</v>
      </c>
      <c r="F17" s="551">
        <f t="shared" si="1"/>
        <v>100</v>
      </c>
    </row>
    <row r="18" spans="1:6" s="63" customFormat="1" ht="16.5" customHeight="1">
      <c r="A18" s="107" t="s">
        <v>6</v>
      </c>
      <c r="B18" s="107" t="s">
        <v>390</v>
      </c>
      <c r="C18" s="553">
        <v>0</v>
      </c>
      <c r="D18" s="553">
        <v>85750000</v>
      </c>
      <c r="E18" s="554">
        <v>85750000</v>
      </c>
      <c r="F18" s="555">
        <f t="shared" si="1"/>
        <v>100</v>
      </c>
    </row>
    <row r="19" spans="1:11" s="63" customFormat="1" ht="16.5" customHeight="1">
      <c r="A19" s="107" t="s">
        <v>7</v>
      </c>
      <c r="B19" s="107" t="s">
        <v>147</v>
      </c>
      <c r="C19" s="553">
        <v>41600000</v>
      </c>
      <c r="D19" s="553">
        <f>41600000+20314443</f>
        <v>61914443</v>
      </c>
      <c r="E19" s="554">
        <v>66297669</v>
      </c>
      <c r="F19" s="555">
        <f t="shared" si="1"/>
        <v>107.08</v>
      </c>
      <c r="K19" s="76"/>
    </row>
    <row r="20" spans="1:6" s="63" customFormat="1" ht="16.5" customHeight="1">
      <c r="A20" s="107" t="s">
        <v>8</v>
      </c>
      <c r="B20" s="107" t="s">
        <v>377</v>
      </c>
      <c r="C20" s="553">
        <v>0</v>
      </c>
      <c r="D20" s="553">
        <v>10551000</v>
      </c>
      <c r="E20" s="554">
        <v>10551000</v>
      </c>
      <c r="F20" s="555">
        <f t="shared" si="1"/>
        <v>100</v>
      </c>
    </row>
    <row r="21" spans="1:6" s="63" customFormat="1" ht="16.5" customHeight="1">
      <c r="A21" s="107" t="s">
        <v>18</v>
      </c>
      <c r="B21" s="107" t="s">
        <v>391</v>
      </c>
      <c r="C21" s="553">
        <v>0</v>
      </c>
      <c r="D21" s="553">
        <v>19500000</v>
      </c>
      <c r="E21" s="554">
        <v>19500000</v>
      </c>
      <c r="F21" s="555">
        <f t="shared" si="1"/>
        <v>100</v>
      </c>
    </row>
    <row r="22" spans="1:6" s="63" customFormat="1" ht="16.5" customHeight="1">
      <c r="A22" s="107" t="s">
        <v>19</v>
      </c>
      <c r="B22" s="107" t="s">
        <v>503</v>
      </c>
      <c r="C22" s="553">
        <v>0</v>
      </c>
      <c r="D22" s="553">
        <v>0</v>
      </c>
      <c r="E22" s="554">
        <v>44100751</v>
      </c>
      <c r="F22" s="555"/>
    </row>
    <row r="23" spans="1:6" s="63" customFormat="1" ht="16.5" customHeight="1">
      <c r="A23" s="107" t="s">
        <v>21</v>
      </c>
      <c r="B23" s="107" t="s">
        <v>504</v>
      </c>
      <c r="C23" s="553">
        <v>0</v>
      </c>
      <c r="D23" s="553">
        <v>10000000</v>
      </c>
      <c r="E23" s="554">
        <v>7500000</v>
      </c>
      <c r="F23" s="555">
        <f aca="true" t="shared" si="2" ref="F23:F31">ROUND(E23/D23*100,2)</f>
        <v>75</v>
      </c>
    </row>
    <row r="24" spans="1:6" s="63" customFormat="1" ht="16.5" customHeight="1">
      <c r="A24" s="107" t="s">
        <v>44</v>
      </c>
      <c r="B24" s="107" t="s">
        <v>505</v>
      </c>
      <c r="C24" s="553">
        <v>0</v>
      </c>
      <c r="D24" s="553">
        <v>7495313</v>
      </c>
      <c r="E24" s="554">
        <v>10595313</v>
      </c>
      <c r="F24" s="555">
        <f t="shared" si="2"/>
        <v>141.36</v>
      </c>
    </row>
    <row r="25" spans="1:6" s="63" customFormat="1" ht="16.5" customHeight="1">
      <c r="A25" s="220" t="s">
        <v>45</v>
      </c>
      <c r="B25" s="220" t="s">
        <v>392</v>
      </c>
      <c r="C25" s="549">
        <v>0</v>
      </c>
      <c r="D25" s="549">
        <v>30000000</v>
      </c>
      <c r="E25" s="222">
        <v>30000000</v>
      </c>
      <c r="F25" s="551">
        <f t="shared" si="2"/>
        <v>100</v>
      </c>
    </row>
    <row r="26" spans="1:6" s="63" customFormat="1" ht="16.5" customHeight="1">
      <c r="A26" s="220" t="s">
        <v>160</v>
      </c>
      <c r="B26" s="220" t="s">
        <v>393</v>
      </c>
      <c r="C26" s="549">
        <v>0</v>
      </c>
      <c r="D26" s="549">
        <v>400000</v>
      </c>
      <c r="E26" s="222">
        <v>400000</v>
      </c>
      <c r="F26" s="551">
        <f t="shared" si="2"/>
        <v>100</v>
      </c>
    </row>
    <row r="27" spans="1:6" s="63" customFormat="1" ht="16.5" customHeight="1">
      <c r="A27" s="220" t="s">
        <v>501</v>
      </c>
      <c r="B27" s="220" t="s">
        <v>394</v>
      </c>
      <c r="C27" s="549">
        <v>0</v>
      </c>
      <c r="D27" s="549">
        <v>3000000</v>
      </c>
      <c r="E27" s="222">
        <v>3000000</v>
      </c>
      <c r="F27" s="551">
        <f t="shared" si="2"/>
        <v>100</v>
      </c>
    </row>
    <row r="28" spans="1:6" s="63" customFormat="1" ht="16.5" customHeight="1">
      <c r="A28" s="220" t="s">
        <v>506</v>
      </c>
      <c r="B28" s="220" t="s">
        <v>395</v>
      </c>
      <c r="C28" s="549">
        <v>0</v>
      </c>
      <c r="D28" s="549">
        <v>150000</v>
      </c>
      <c r="E28" s="222">
        <v>0</v>
      </c>
      <c r="F28" s="551">
        <f t="shared" si="2"/>
        <v>0</v>
      </c>
    </row>
    <row r="29" spans="1:6" s="63" customFormat="1" ht="16.5" customHeight="1">
      <c r="A29" s="220" t="s">
        <v>507</v>
      </c>
      <c r="B29" s="220" t="s">
        <v>396</v>
      </c>
      <c r="C29" s="549">
        <v>0</v>
      </c>
      <c r="D29" s="549">
        <v>32478274</v>
      </c>
      <c r="E29" s="222">
        <v>32478274</v>
      </c>
      <c r="F29" s="551">
        <f t="shared" si="2"/>
        <v>100</v>
      </c>
    </row>
    <row r="30" spans="1:6" s="63" customFormat="1" ht="16.5" customHeight="1">
      <c r="A30" s="220" t="s">
        <v>508</v>
      </c>
      <c r="B30" s="220" t="s">
        <v>502</v>
      </c>
      <c r="C30" s="549">
        <v>0</v>
      </c>
      <c r="D30" s="549">
        <v>2500000</v>
      </c>
      <c r="E30" s="222">
        <v>2500000</v>
      </c>
      <c r="F30" s="551">
        <f t="shared" si="2"/>
        <v>100</v>
      </c>
    </row>
    <row r="31" spans="2:6" s="26" customFormat="1" ht="16.5" customHeight="1">
      <c r="B31" s="26" t="s">
        <v>3</v>
      </c>
      <c r="C31" s="62">
        <f>SUM(C16:C30)</f>
        <v>41720075</v>
      </c>
      <c r="D31" s="62">
        <f>SUM(D16:D30)</f>
        <v>263859105</v>
      </c>
      <c r="E31" s="62">
        <f>SUM(E16:E30)</f>
        <v>312793082</v>
      </c>
      <c r="F31" s="552">
        <f t="shared" si="2"/>
        <v>118.55</v>
      </c>
    </row>
    <row r="32" spans="2:6" s="63" customFormat="1" ht="16.5" customHeight="1">
      <c r="B32" s="79"/>
      <c r="C32" s="76"/>
      <c r="D32" s="76"/>
      <c r="E32" s="76"/>
      <c r="F32" s="76"/>
    </row>
    <row r="33" spans="1:6" s="26" customFormat="1" ht="16.5" customHeight="1">
      <c r="A33" s="26" t="s">
        <v>10</v>
      </c>
      <c r="B33" s="78" t="s">
        <v>62</v>
      </c>
      <c r="C33" s="62"/>
      <c r="D33" s="62"/>
      <c r="E33" s="62"/>
      <c r="F33" s="62"/>
    </row>
    <row r="34" spans="1:6" s="26" customFormat="1" ht="16.5" customHeight="1">
      <c r="A34" s="27" t="s">
        <v>4</v>
      </c>
      <c r="B34" s="70" t="s">
        <v>86</v>
      </c>
      <c r="C34" s="62"/>
      <c r="D34" s="62"/>
      <c r="E34" s="62"/>
      <c r="F34" s="62"/>
    </row>
    <row r="35" spans="1:6" s="63" customFormat="1" ht="16.5" customHeight="1">
      <c r="A35" s="24" t="s">
        <v>4</v>
      </c>
      <c r="B35" s="24" t="s">
        <v>63</v>
      </c>
      <c r="C35" s="66">
        <v>7687716</v>
      </c>
      <c r="D35" s="66">
        <v>7687716</v>
      </c>
      <c r="E35" s="549">
        <f>12882146+260000</f>
        <v>13142146</v>
      </c>
      <c r="F35" s="556">
        <f aca="true" t="shared" si="3" ref="F35:F40">ROUND(E35/D35*100,2)</f>
        <v>170.95</v>
      </c>
    </row>
    <row r="36" spans="1:6" s="75" customFormat="1" ht="16.5" customHeight="1">
      <c r="A36" s="107" t="s">
        <v>5</v>
      </c>
      <c r="B36" s="107" t="s">
        <v>11</v>
      </c>
      <c r="C36" s="553">
        <v>100448</v>
      </c>
      <c r="D36" s="553">
        <v>100448</v>
      </c>
      <c r="E36" s="557">
        <v>100448</v>
      </c>
      <c r="F36" s="558">
        <f t="shared" si="3"/>
        <v>100</v>
      </c>
    </row>
    <row r="37" spans="1:6" s="63" customFormat="1" ht="16.5" customHeight="1">
      <c r="A37" s="107" t="s">
        <v>6</v>
      </c>
      <c r="B37" s="107" t="s">
        <v>397</v>
      </c>
      <c r="C37" s="553">
        <v>3862557</v>
      </c>
      <c r="D37" s="553">
        <v>3862557</v>
      </c>
      <c r="E37" s="557">
        <v>3024363</v>
      </c>
      <c r="F37" s="558">
        <f t="shared" si="3"/>
        <v>78.3</v>
      </c>
    </row>
    <row r="38" spans="1:6" s="63" customFormat="1" ht="16.5" customHeight="1">
      <c r="A38" s="107" t="s">
        <v>7</v>
      </c>
      <c r="B38" s="107" t="s">
        <v>12</v>
      </c>
      <c r="C38" s="553">
        <v>1165207</v>
      </c>
      <c r="D38" s="553">
        <v>1165207</v>
      </c>
      <c r="E38" s="557">
        <v>1572081</v>
      </c>
      <c r="F38" s="558">
        <f t="shared" si="3"/>
        <v>134.92</v>
      </c>
    </row>
    <row r="39" spans="1:6" s="63" customFormat="1" ht="16.5" customHeight="1">
      <c r="A39" s="220" t="s">
        <v>8</v>
      </c>
      <c r="B39" s="220" t="s">
        <v>398</v>
      </c>
      <c r="C39" s="549">
        <v>0</v>
      </c>
      <c r="D39" s="549">
        <f>861000+28000</f>
        <v>889000</v>
      </c>
      <c r="E39" s="549">
        <v>444500</v>
      </c>
      <c r="F39" s="556">
        <f t="shared" si="3"/>
        <v>50</v>
      </c>
    </row>
    <row r="40" spans="2:6" s="26" customFormat="1" ht="16.5" customHeight="1">
      <c r="B40" s="70" t="s">
        <v>3</v>
      </c>
      <c r="C40" s="68">
        <f>SUM(C35:C39)</f>
        <v>12815928</v>
      </c>
      <c r="D40" s="68">
        <f>SUM(D35:D39)</f>
        <v>13704928</v>
      </c>
      <c r="E40" s="68">
        <f>SUM(E35:E39)</f>
        <v>18283538</v>
      </c>
      <c r="F40" s="389">
        <f t="shared" si="3"/>
        <v>133.41</v>
      </c>
    </row>
    <row r="41" spans="1:6" s="26" customFormat="1" ht="16.5" customHeight="1">
      <c r="A41" s="27" t="s">
        <v>5</v>
      </c>
      <c r="B41" s="70" t="s">
        <v>85</v>
      </c>
      <c r="C41" s="62"/>
      <c r="D41" s="62"/>
      <c r="E41" s="62"/>
      <c r="F41" s="62"/>
    </row>
    <row r="42" spans="1:6" s="63" customFormat="1" ht="16.5" customHeight="1">
      <c r="A42" s="24" t="s">
        <v>4</v>
      </c>
      <c r="B42" s="24" t="s">
        <v>399</v>
      </c>
      <c r="C42" s="66">
        <v>1478431</v>
      </c>
      <c r="D42" s="66">
        <v>1478431</v>
      </c>
      <c r="E42" s="222"/>
      <c r="F42" s="390">
        <f>ROUND(E42/D42*100,2)</f>
        <v>0</v>
      </c>
    </row>
    <row r="43" spans="1:6" s="63" customFormat="1" ht="16.5" customHeight="1">
      <c r="A43" s="561" t="s">
        <v>5</v>
      </c>
      <c r="B43" s="561" t="s">
        <v>509</v>
      </c>
      <c r="C43" s="557"/>
      <c r="D43" s="557"/>
      <c r="E43" s="554">
        <v>7555391</v>
      </c>
      <c r="F43" s="562"/>
    </row>
    <row r="44" spans="2:6" s="26" customFormat="1" ht="16.5" customHeight="1">
      <c r="B44" s="27" t="s">
        <v>3</v>
      </c>
      <c r="C44" s="68">
        <f>SUM(C42:C43)</f>
        <v>1478431</v>
      </c>
      <c r="D44" s="68">
        <f>SUM(D42:D43)</f>
        <v>1478431</v>
      </c>
      <c r="E44" s="68">
        <f>SUM(E42:E43)</f>
        <v>7555391</v>
      </c>
      <c r="F44" s="559">
        <f>ROUND(E44/D44*100,2)</f>
        <v>511.04</v>
      </c>
    </row>
    <row r="45" spans="2:6" s="26" customFormat="1" ht="16.5" customHeight="1">
      <c r="B45" s="26" t="s">
        <v>3</v>
      </c>
      <c r="C45" s="62">
        <f>C40+C44</f>
        <v>14294359</v>
      </c>
      <c r="D45" s="62">
        <f>D40+D44</f>
        <v>15183359</v>
      </c>
      <c r="E45" s="62">
        <f>E40+E44</f>
        <v>25838929</v>
      </c>
      <c r="F45" s="559">
        <f>ROUND(E45/D45*100,2)</f>
        <v>170.18</v>
      </c>
    </row>
    <row r="46" spans="2:6" s="26" customFormat="1" ht="16.5" customHeight="1">
      <c r="B46" s="78"/>
      <c r="C46" s="62"/>
      <c r="D46" s="62"/>
      <c r="E46" s="62"/>
      <c r="F46" s="389"/>
    </row>
    <row r="47" spans="2:6" s="26" customFormat="1" ht="28.5" customHeight="1">
      <c r="B47" s="61" t="s">
        <v>87</v>
      </c>
      <c r="C47" s="62">
        <f>C13+C31+C45</f>
        <v>261355061</v>
      </c>
      <c r="D47" s="62">
        <f>D13+D31+D45</f>
        <v>462395637</v>
      </c>
      <c r="E47" s="62">
        <f>E13+E31+E45</f>
        <v>527100858</v>
      </c>
      <c r="F47" s="559">
        <f>ROUND(E47/D47*100,2)</f>
        <v>113.99</v>
      </c>
    </row>
    <row r="48" spans="3:6" s="26" customFormat="1" ht="16.5" customHeight="1">
      <c r="C48" s="62"/>
      <c r="D48" s="62"/>
      <c r="E48" s="560"/>
      <c r="F48" s="559"/>
    </row>
    <row r="49" spans="1:6" s="26" customFormat="1" ht="16.5" customHeight="1">
      <c r="A49" s="26" t="s">
        <v>13</v>
      </c>
      <c r="B49" s="78" t="s">
        <v>88</v>
      </c>
      <c r="C49" s="62"/>
      <c r="D49" s="62"/>
      <c r="E49" s="62"/>
      <c r="F49" s="389"/>
    </row>
    <row r="50" spans="1:6" s="75" customFormat="1" ht="16.5" customHeight="1">
      <c r="A50" s="24">
        <v>1</v>
      </c>
      <c r="B50" s="24" t="s">
        <v>139</v>
      </c>
      <c r="C50" s="549">
        <v>5335793</v>
      </c>
      <c r="D50" s="549">
        <v>5335793</v>
      </c>
      <c r="E50" s="222">
        <v>5335793</v>
      </c>
      <c r="F50" s="390">
        <f aca="true" t="shared" si="4" ref="F50:F64">ROUND(E50/D50*100,2)</f>
        <v>100</v>
      </c>
    </row>
    <row r="51" spans="1:6" s="75" customFormat="1" ht="16.5" customHeight="1">
      <c r="A51" s="24">
        <v>2</v>
      </c>
      <c r="B51" s="24" t="s">
        <v>400</v>
      </c>
      <c r="C51" s="66">
        <f>11022089-1379435</f>
        <v>9642654</v>
      </c>
      <c r="D51" s="66">
        <f>11022089-1379435-1676400+419581</f>
        <v>8385835</v>
      </c>
      <c r="E51" s="222">
        <v>8385835</v>
      </c>
      <c r="F51" s="390">
        <f t="shared" si="4"/>
        <v>100</v>
      </c>
    </row>
    <row r="52" spans="1:6" s="75" customFormat="1" ht="16.5" customHeight="1">
      <c r="A52" s="24">
        <v>3</v>
      </c>
      <c r="B52" s="24" t="s">
        <v>401</v>
      </c>
      <c r="C52" s="66">
        <f>11503990-2500000</f>
        <v>9003990</v>
      </c>
      <c r="D52" s="66">
        <f>11503990-2500000</f>
        <v>9003990</v>
      </c>
      <c r="E52" s="222">
        <v>9003990</v>
      </c>
      <c r="F52" s="390">
        <f t="shared" si="4"/>
        <v>100</v>
      </c>
    </row>
    <row r="53" spans="1:6" s="75" customFormat="1" ht="16.5" customHeight="1">
      <c r="A53" s="561">
        <v>4</v>
      </c>
      <c r="B53" s="561" t="s">
        <v>402</v>
      </c>
      <c r="C53" s="557">
        <v>72619772</v>
      </c>
      <c r="D53" s="557">
        <v>72619772</v>
      </c>
      <c r="E53" s="554">
        <v>72619772</v>
      </c>
      <c r="F53" s="562">
        <f t="shared" si="4"/>
        <v>100</v>
      </c>
    </row>
    <row r="54" spans="1:6" s="75" customFormat="1" ht="16.5" customHeight="1">
      <c r="A54" s="24">
        <v>5</v>
      </c>
      <c r="B54" s="24" t="s">
        <v>403</v>
      </c>
      <c r="C54" s="66">
        <v>14000000</v>
      </c>
      <c r="D54" s="66">
        <v>14000000</v>
      </c>
      <c r="E54" s="222">
        <v>14000000</v>
      </c>
      <c r="F54" s="390">
        <f t="shared" si="4"/>
        <v>100</v>
      </c>
    </row>
    <row r="55" spans="1:6" s="75" customFormat="1" ht="16.5" customHeight="1">
      <c r="A55" s="24">
        <v>6</v>
      </c>
      <c r="B55" s="24" t="s">
        <v>333</v>
      </c>
      <c r="C55" s="66">
        <v>285303085</v>
      </c>
      <c r="D55" s="66">
        <v>285303085</v>
      </c>
      <c r="E55" s="222">
        <v>285303085</v>
      </c>
      <c r="F55" s="390">
        <f t="shared" si="4"/>
        <v>100</v>
      </c>
    </row>
    <row r="56" spans="1:6" s="75" customFormat="1" ht="16.5" customHeight="1">
      <c r="A56" s="24">
        <v>7</v>
      </c>
      <c r="B56" s="24" t="s">
        <v>334</v>
      </c>
      <c r="C56" s="66">
        <f>137437852-2917000</f>
        <v>134520852</v>
      </c>
      <c r="D56" s="66">
        <f>137437852-2917000</f>
        <v>134520852</v>
      </c>
      <c r="E56" s="222">
        <v>134520852</v>
      </c>
      <c r="F56" s="390">
        <f t="shared" si="4"/>
        <v>100</v>
      </c>
    </row>
    <row r="57" spans="1:6" s="75" customFormat="1" ht="16.5" customHeight="1">
      <c r="A57" s="24">
        <v>8</v>
      </c>
      <c r="B57" s="24" t="s">
        <v>335</v>
      </c>
      <c r="C57" s="66">
        <v>276033587</v>
      </c>
      <c r="D57" s="66">
        <v>276033587</v>
      </c>
      <c r="E57" s="222">
        <v>276033587</v>
      </c>
      <c r="F57" s="390">
        <f t="shared" si="4"/>
        <v>100</v>
      </c>
    </row>
    <row r="58" spans="1:6" s="75" customFormat="1" ht="16.5" customHeight="1">
      <c r="A58" s="24">
        <v>9</v>
      </c>
      <c r="B58" s="24" t="s">
        <v>336</v>
      </c>
      <c r="C58" s="66">
        <v>5795748</v>
      </c>
      <c r="D58" s="66">
        <v>5795748</v>
      </c>
      <c r="E58" s="222">
        <v>5795748</v>
      </c>
      <c r="F58" s="390">
        <f t="shared" si="4"/>
        <v>100</v>
      </c>
    </row>
    <row r="59" spans="1:6" s="75" customFormat="1" ht="16.5" customHeight="1">
      <c r="A59" s="24">
        <v>10</v>
      </c>
      <c r="B59" s="24" t="s">
        <v>404</v>
      </c>
      <c r="C59" s="66">
        <v>98529302</v>
      </c>
      <c r="D59" s="66">
        <v>98529302</v>
      </c>
      <c r="E59" s="222">
        <v>98529302</v>
      </c>
      <c r="F59" s="390">
        <f t="shared" si="4"/>
        <v>100</v>
      </c>
    </row>
    <row r="60" spans="1:6" s="75" customFormat="1" ht="16.5" customHeight="1">
      <c r="A60" s="24">
        <v>11</v>
      </c>
      <c r="B60" s="24" t="s">
        <v>405</v>
      </c>
      <c r="C60" s="66">
        <f>81319020-1385400</f>
        <v>79933620</v>
      </c>
      <c r="D60" s="66">
        <f>81319020-1385400</f>
        <v>79933620</v>
      </c>
      <c r="E60" s="222">
        <v>79933620</v>
      </c>
      <c r="F60" s="390">
        <f t="shared" si="4"/>
        <v>100</v>
      </c>
    </row>
    <row r="61" spans="1:6" s="75" customFormat="1" ht="16.5" customHeight="1">
      <c r="A61" s="24">
        <v>12</v>
      </c>
      <c r="B61" s="24" t="s">
        <v>339</v>
      </c>
      <c r="C61" s="66">
        <f>55918496-715000</f>
        <v>55203496</v>
      </c>
      <c r="D61" s="66">
        <f>55918496-715000</f>
        <v>55203496</v>
      </c>
      <c r="E61" s="222">
        <v>55203496</v>
      </c>
      <c r="F61" s="390">
        <f t="shared" si="4"/>
        <v>100</v>
      </c>
    </row>
    <row r="62" spans="1:6" s="75" customFormat="1" ht="16.5" customHeight="1">
      <c r="A62" s="24">
        <v>13</v>
      </c>
      <c r="B62" s="24" t="s">
        <v>340</v>
      </c>
      <c r="C62" s="66">
        <v>9689915</v>
      </c>
      <c r="D62" s="66">
        <v>9689915</v>
      </c>
      <c r="E62" s="222">
        <v>9689915</v>
      </c>
      <c r="F62" s="390">
        <f t="shared" si="4"/>
        <v>100</v>
      </c>
    </row>
    <row r="63" spans="1:6" s="75" customFormat="1" ht="16.5" customHeight="1">
      <c r="A63" s="24">
        <v>14</v>
      </c>
      <c r="B63" s="563" t="s">
        <v>406</v>
      </c>
      <c r="C63" s="66">
        <v>85119976</v>
      </c>
      <c r="D63" s="66">
        <v>85119976</v>
      </c>
      <c r="E63" s="222">
        <v>85119976</v>
      </c>
      <c r="F63" s="390">
        <f t="shared" si="4"/>
        <v>100</v>
      </c>
    </row>
    <row r="64" spans="2:6" s="26" customFormat="1" ht="16.5" customHeight="1">
      <c r="B64" s="70" t="s">
        <v>3</v>
      </c>
      <c r="C64" s="68">
        <f>SUM(C50:C63)</f>
        <v>1140731790</v>
      </c>
      <c r="D64" s="68">
        <f>SUM(D50:D63)</f>
        <v>1139474971</v>
      </c>
      <c r="E64" s="68">
        <f>SUM(E50:E63)</f>
        <v>1139474971</v>
      </c>
      <c r="F64" s="389">
        <f t="shared" si="4"/>
        <v>100</v>
      </c>
    </row>
    <row r="65" spans="3:6" s="63" customFormat="1" ht="16.5" customHeight="1">
      <c r="C65" s="81"/>
      <c r="D65" s="81"/>
      <c r="E65" s="81"/>
      <c r="F65" s="564"/>
    </row>
    <row r="66" spans="2:6" s="26" customFormat="1" ht="16.5" customHeight="1">
      <c r="B66" s="78" t="s">
        <v>89</v>
      </c>
      <c r="C66" s="62">
        <f>C64</f>
        <v>1140731790</v>
      </c>
      <c r="D66" s="62">
        <f>D64</f>
        <v>1139474971</v>
      </c>
      <c r="E66" s="62">
        <f>E64</f>
        <v>1139474971</v>
      </c>
      <c r="F66" s="389">
        <f>ROUND(E66/D66*100,2)</f>
        <v>100</v>
      </c>
    </row>
    <row r="67" spans="2:6" s="26" customFormat="1" ht="16.5" customHeight="1">
      <c r="B67" s="78"/>
      <c r="C67" s="62"/>
      <c r="D67" s="62"/>
      <c r="E67" s="62"/>
      <c r="F67" s="389"/>
    </row>
    <row r="68" spans="2:6" s="63" customFormat="1" ht="16.5" customHeight="1">
      <c r="B68" s="26" t="s">
        <v>14</v>
      </c>
      <c r="C68" s="560">
        <f>C47+C66</f>
        <v>1402086851</v>
      </c>
      <c r="D68" s="560">
        <f>D47+D66</f>
        <v>1601870608</v>
      </c>
      <c r="E68" s="560">
        <f>E47+E66</f>
        <v>1666575829</v>
      </c>
      <c r="F68" s="564">
        <f>ROUND(E68/D68*100,2)</f>
        <v>104.04</v>
      </c>
    </row>
    <row r="69" spans="2:6" s="63" customFormat="1" ht="16.5" customHeight="1">
      <c r="B69" s="26" t="s">
        <v>48</v>
      </c>
      <c r="C69" s="81"/>
      <c r="D69" s="81"/>
      <c r="E69" s="81"/>
      <c r="F69" s="564"/>
    </row>
    <row r="70" spans="2:6" s="63" customFormat="1" ht="16.5" customHeight="1">
      <c r="B70" s="565" t="s">
        <v>49</v>
      </c>
      <c r="C70" s="222">
        <f>C68-C71</f>
        <v>1282738867</v>
      </c>
      <c r="D70" s="222">
        <f>D68-D71</f>
        <v>1358411868</v>
      </c>
      <c r="E70" s="222">
        <f>E68-E71</f>
        <v>1416065183</v>
      </c>
      <c r="F70" s="390">
        <f>ROUND(E70/D70*100,2)</f>
        <v>104.24</v>
      </c>
    </row>
    <row r="71" spans="2:6" s="63" customFormat="1" ht="16.5" customHeight="1">
      <c r="B71" s="110" t="s">
        <v>47</v>
      </c>
      <c r="C71" s="566">
        <f>C38+C37+C36+C53+C19+C20+C24+C18</f>
        <v>119347984</v>
      </c>
      <c r="D71" s="566">
        <f>D38+D37+D36+D53+D19+D20+D24+D18</f>
        <v>243458740</v>
      </c>
      <c r="E71" s="566">
        <f>E38+E37+E36+E53+E19+E20+E24+E18</f>
        <v>250510646</v>
      </c>
      <c r="F71" s="562">
        <f>ROUND(E71/D71*100,2)</f>
        <v>102.9</v>
      </c>
    </row>
    <row r="72" spans="3:6" s="63" customFormat="1" ht="12.75">
      <c r="C72" s="81"/>
      <c r="D72" s="81"/>
      <c r="E72" s="81"/>
      <c r="F72" s="81"/>
    </row>
    <row r="74" spans="3:4" ht="12.75">
      <c r="C74" s="567"/>
      <c r="D74" s="567"/>
    </row>
  </sheetData>
  <sheetProtection/>
  <mergeCells count="3">
    <mergeCell ref="A2:C2"/>
    <mergeCell ref="A4:F4"/>
    <mergeCell ref="A5: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5.25390625" style="0" customWidth="1"/>
    <col min="4" max="4" width="15.625" style="0" customWidth="1"/>
    <col min="5" max="6" width="10.875" style="0" bestFit="1" customWidth="1"/>
    <col min="7" max="7" width="5.625" style="0" customWidth="1"/>
  </cols>
  <sheetData>
    <row r="1" spans="1:3" s="2" customFormat="1" ht="13.5" customHeight="1">
      <c r="A1" s="693" t="s">
        <v>581</v>
      </c>
      <c r="B1" s="693"/>
      <c r="C1" s="693"/>
    </row>
    <row r="2" spans="1:6" s="2" customFormat="1" ht="15" customHeight="1">
      <c r="A2" s="694" t="s">
        <v>407</v>
      </c>
      <c r="B2" s="694"/>
      <c r="C2" s="694"/>
      <c r="D2" s="694"/>
      <c r="E2" s="694"/>
      <c r="F2" s="694"/>
    </row>
    <row r="3" spans="1:6" s="2" customFormat="1" ht="48" customHeight="1">
      <c r="A3" s="1"/>
      <c r="B3" s="1"/>
      <c r="C3" s="547" t="s">
        <v>383</v>
      </c>
      <c r="D3" s="547" t="s">
        <v>496</v>
      </c>
      <c r="E3" s="547" t="s">
        <v>497</v>
      </c>
      <c r="F3" s="548" t="s">
        <v>181</v>
      </c>
    </row>
    <row r="4" spans="1:6" s="63" customFormat="1" ht="13.5" customHeight="1">
      <c r="A4" s="26" t="s">
        <v>1</v>
      </c>
      <c r="B4" s="61" t="s">
        <v>73</v>
      </c>
      <c r="C4" s="62"/>
      <c r="D4" s="62"/>
      <c r="E4" s="76"/>
      <c r="F4" s="76"/>
    </row>
    <row r="5" spans="1:8" s="65" customFormat="1" ht="16.5" customHeight="1">
      <c r="A5" s="568">
        <v>1</v>
      </c>
      <c r="B5" s="569" t="s">
        <v>22</v>
      </c>
      <c r="C5" s="570">
        <v>6000000</v>
      </c>
      <c r="D5" s="570">
        <v>5825000</v>
      </c>
      <c r="E5" s="549">
        <f>660400+20000+20000+101600+749300+692000</f>
        <v>2243300</v>
      </c>
      <c r="F5" s="550">
        <f aca="true" t="shared" si="0" ref="F5:F21">ROUND(E5/D5*100,2)</f>
        <v>38.51</v>
      </c>
      <c r="H5" s="571"/>
    </row>
    <row r="6" spans="1:8" s="65" customFormat="1" ht="16.5" customHeight="1">
      <c r="A6" s="568">
        <v>2</v>
      </c>
      <c r="B6" s="569" t="s">
        <v>20</v>
      </c>
      <c r="C6" s="570">
        <f>5000000+707390</f>
        <v>5707390</v>
      </c>
      <c r="D6" s="570">
        <f>5000000+707390-2866390</f>
        <v>2841000</v>
      </c>
      <c r="E6" s="549">
        <f>127000+2072552</f>
        <v>2199552</v>
      </c>
      <c r="F6" s="550">
        <f t="shared" si="0"/>
        <v>77.42</v>
      </c>
      <c r="H6" s="571"/>
    </row>
    <row r="7" spans="1:8" s="65" customFormat="1" ht="16.5" customHeight="1">
      <c r="A7" s="568">
        <v>3</v>
      </c>
      <c r="B7" s="221" t="s">
        <v>125</v>
      </c>
      <c r="C7" s="549">
        <v>3000000</v>
      </c>
      <c r="D7" s="549">
        <v>3175000</v>
      </c>
      <c r="E7" s="549">
        <v>0</v>
      </c>
      <c r="F7" s="550">
        <f t="shared" si="0"/>
        <v>0</v>
      </c>
      <c r="H7" s="571"/>
    </row>
    <row r="8" spans="1:8" s="64" customFormat="1" ht="16.5" customHeight="1">
      <c r="A8" s="568">
        <v>4</v>
      </c>
      <c r="B8" s="221" t="s">
        <v>64</v>
      </c>
      <c r="C8" s="549">
        <v>5000000</v>
      </c>
      <c r="D8" s="549">
        <v>500000</v>
      </c>
      <c r="E8" s="549">
        <v>0</v>
      </c>
      <c r="F8" s="550">
        <f t="shared" si="0"/>
        <v>0</v>
      </c>
      <c r="H8" s="63"/>
    </row>
    <row r="9" spans="1:8" s="64" customFormat="1" ht="15" customHeight="1">
      <c r="A9" s="568">
        <v>5</v>
      </c>
      <c r="B9" s="572" t="s">
        <v>408</v>
      </c>
      <c r="C9" s="549">
        <v>2500000</v>
      </c>
      <c r="D9" s="549">
        <v>2500000</v>
      </c>
      <c r="E9" s="549">
        <v>7490040</v>
      </c>
      <c r="F9" s="550">
        <f t="shared" si="0"/>
        <v>299.6</v>
      </c>
      <c r="H9" s="63"/>
    </row>
    <row r="10" spans="1:8" s="64" customFormat="1" ht="16.5" customHeight="1">
      <c r="A10" s="568">
        <v>6</v>
      </c>
      <c r="B10" s="572" t="s">
        <v>409</v>
      </c>
      <c r="C10" s="549">
        <v>14000000</v>
      </c>
      <c r="D10" s="549">
        <v>14000000</v>
      </c>
      <c r="E10" s="549">
        <v>11299700</v>
      </c>
      <c r="F10" s="550">
        <f t="shared" si="0"/>
        <v>80.71</v>
      </c>
      <c r="H10" s="63"/>
    </row>
    <row r="11" spans="1:8" s="64" customFormat="1" ht="16.5" customHeight="1">
      <c r="A11" s="568">
        <v>7</v>
      </c>
      <c r="B11" s="219" t="s">
        <v>410</v>
      </c>
      <c r="C11" s="223">
        <v>1000000</v>
      </c>
      <c r="D11" s="223">
        <v>11000000</v>
      </c>
      <c r="E11" s="549">
        <f>8886475+63980</f>
        <v>8950455</v>
      </c>
      <c r="F11" s="550">
        <f t="shared" si="0"/>
        <v>81.37</v>
      </c>
      <c r="H11" s="63"/>
    </row>
    <row r="12" spans="1:8" s="64" customFormat="1" ht="17.25" customHeight="1">
      <c r="A12" s="568">
        <v>8</v>
      </c>
      <c r="B12" s="220" t="s">
        <v>411</v>
      </c>
      <c r="C12" s="549">
        <v>6000000</v>
      </c>
      <c r="D12" s="549">
        <v>6000000</v>
      </c>
      <c r="E12" s="549">
        <v>9144000</v>
      </c>
      <c r="F12" s="550">
        <f t="shared" si="0"/>
        <v>152.4</v>
      </c>
      <c r="H12" s="63"/>
    </row>
    <row r="13" spans="1:8" s="64" customFormat="1" ht="15" customHeight="1">
      <c r="A13" s="568">
        <v>9</v>
      </c>
      <c r="B13" s="221" t="s">
        <v>412</v>
      </c>
      <c r="C13" s="549">
        <v>5847125</v>
      </c>
      <c r="D13" s="549">
        <v>4398648</v>
      </c>
      <c r="E13" s="549">
        <v>8440777</v>
      </c>
      <c r="F13" s="550">
        <f t="shared" si="0"/>
        <v>191.89</v>
      </c>
      <c r="H13" s="63"/>
    </row>
    <row r="14" spans="1:8" s="64" customFormat="1" ht="15" customHeight="1">
      <c r="A14" s="568">
        <v>10</v>
      </c>
      <c r="B14" s="219" t="s">
        <v>333</v>
      </c>
      <c r="C14" s="223">
        <v>285303085</v>
      </c>
      <c r="D14" s="223">
        <f>285303085-5840698</f>
        <v>279462387</v>
      </c>
      <c r="E14" s="549">
        <v>16909800</v>
      </c>
      <c r="F14" s="550">
        <f t="shared" si="0"/>
        <v>6.05</v>
      </c>
      <c r="G14" s="63"/>
      <c r="H14" s="63"/>
    </row>
    <row r="15" spans="1:8" s="64" customFormat="1" ht="15" customHeight="1">
      <c r="A15" s="568">
        <v>11</v>
      </c>
      <c r="B15" s="219" t="s">
        <v>334</v>
      </c>
      <c r="C15" s="223">
        <f>137437852-2917000</f>
        <v>134520852</v>
      </c>
      <c r="D15" s="223">
        <f>137437852-2917000-1815996</f>
        <v>132704856</v>
      </c>
      <c r="E15" s="549">
        <v>34440000</v>
      </c>
      <c r="F15" s="550">
        <f t="shared" si="0"/>
        <v>25.95</v>
      </c>
      <c r="H15" s="63"/>
    </row>
    <row r="16" spans="1:8" s="64" customFormat="1" ht="15.75" customHeight="1">
      <c r="A16" s="568">
        <v>12</v>
      </c>
      <c r="B16" s="219" t="s">
        <v>335</v>
      </c>
      <c r="C16" s="223">
        <v>276033587</v>
      </c>
      <c r="D16" s="223">
        <f>276033587-4362988</f>
        <v>271670599</v>
      </c>
      <c r="E16" s="549">
        <v>10490380</v>
      </c>
      <c r="F16" s="550">
        <f t="shared" si="0"/>
        <v>3.86</v>
      </c>
      <c r="H16" s="63"/>
    </row>
    <row r="17" spans="1:8" s="64" customFormat="1" ht="15.75" customHeight="1">
      <c r="A17" s="568">
        <v>13</v>
      </c>
      <c r="B17" s="219" t="s">
        <v>336</v>
      </c>
      <c r="C17" s="223">
        <v>5795748</v>
      </c>
      <c r="D17" s="223">
        <f>5795748-2247900</f>
        <v>3547848</v>
      </c>
      <c r="E17" s="549">
        <v>3320000</v>
      </c>
      <c r="F17" s="550">
        <f t="shared" si="0"/>
        <v>93.58</v>
      </c>
      <c r="G17" s="63"/>
      <c r="H17" s="63"/>
    </row>
    <row r="18" spans="1:8" s="64" customFormat="1" ht="12.75">
      <c r="A18" s="568">
        <v>14</v>
      </c>
      <c r="B18" s="219" t="s">
        <v>404</v>
      </c>
      <c r="C18" s="223">
        <v>98529302</v>
      </c>
      <c r="D18" s="223">
        <f>98529302-405000-2120900</f>
        <v>96003402</v>
      </c>
      <c r="E18" s="549">
        <v>4249599</v>
      </c>
      <c r="F18" s="550">
        <f t="shared" si="0"/>
        <v>4.43</v>
      </c>
      <c r="H18" s="63"/>
    </row>
    <row r="19" spans="1:8" s="64" customFormat="1" ht="12.75">
      <c r="A19" s="568">
        <v>15</v>
      </c>
      <c r="B19" s="219" t="s">
        <v>405</v>
      </c>
      <c r="C19" s="223">
        <f>81319020-1385400</f>
        <v>79933620</v>
      </c>
      <c r="D19" s="223">
        <v>84115878</v>
      </c>
      <c r="E19" s="549">
        <v>42056529</v>
      </c>
      <c r="F19" s="550">
        <f t="shared" si="0"/>
        <v>50</v>
      </c>
      <c r="H19" s="63"/>
    </row>
    <row r="20" spans="1:8" s="64" customFormat="1" ht="12.75">
      <c r="A20" s="568">
        <v>16</v>
      </c>
      <c r="B20" s="219" t="s">
        <v>339</v>
      </c>
      <c r="C20" s="223">
        <f>55918496-715000</f>
        <v>55203496</v>
      </c>
      <c r="D20" s="223">
        <f>55918496-715000+8000000+10041376-1436293</f>
        <v>71808579</v>
      </c>
      <c r="E20" s="549">
        <v>75005036</v>
      </c>
      <c r="F20" s="550">
        <f t="shared" si="0"/>
        <v>104.45</v>
      </c>
      <c r="H20" s="63"/>
    </row>
    <row r="21" spans="1:8" s="64" customFormat="1" ht="14.25" customHeight="1">
      <c r="A21" s="568">
        <v>17</v>
      </c>
      <c r="B21" s="219" t="s">
        <v>340</v>
      </c>
      <c r="C21" s="223">
        <v>9689915</v>
      </c>
      <c r="D21" s="223">
        <v>9689915</v>
      </c>
      <c r="E21" s="549">
        <v>2330000</v>
      </c>
      <c r="F21" s="550">
        <f t="shared" si="0"/>
        <v>24.05</v>
      </c>
      <c r="H21" s="63"/>
    </row>
    <row r="22" spans="1:8" s="64" customFormat="1" ht="13.5" customHeight="1">
      <c r="A22" s="568">
        <v>18</v>
      </c>
      <c r="B22" s="573" t="s">
        <v>413</v>
      </c>
      <c r="C22" s="574">
        <f>11503990-2500000</f>
        <v>9003990</v>
      </c>
      <c r="D22" s="574">
        <v>0</v>
      </c>
      <c r="E22" s="549">
        <v>0</v>
      </c>
      <c r="F22" s="550"/>
      <c r="H22" s="63"/>
    </row>
    <row r="23" spans="1:8" s="64" customFormat="1" ht="13.5" customHeight="1">
      <c r="A23" s="568">
        <v>19</v>
      </c>
      <c r="B23" s="573" t="s">
        <v>414</v>
      </c>
      <c r="C23" s="574">
        <f>11153745+4430631-1379435-850000</f>
        <v>13354941</v>
      </c>
      <c r="D23" s="574">
        <v>1621605</v>
      </c>
      <c r="E23" s="549">
        <v>0</v>
      </c>
      <c r="F23" s="550">
        <f>ROUND(E23/D23*100,2)</f>
        <v>0</v>
      </c>
      <c r="H23" s="63"/>
    </row>
    <row r="24" spans="1:8" s="64" customFormat="1" ht="14.25" customHeight="1">
      <c r="A24" s="568">
        <v>20</v>
      </c>
      <c r="B24" s="573" t="s">
        <v>415</v>
      </c>
      <c r="C24" s="574">
        <v>8000000</v>
      </c>
      <c r="D24" s="574">
        <f>8000000-8000000</f>
        <v>0</v>
      </c>
      <c r="E24" s="549"/>
      <c r="F24" s="550"/>
      <c r="H24" s="63"/>
    </row>
    <row r="25" spans="1:8" s="64" customFormat="1" ht="14.25" customHeight="1">
      <c r="A25" s="568">
        <v>21</v>
      </c>
      <c r="B25" s="573" t="s">
        <v>416</v>
      </c>
      <c r="C25" s="574">
        <v>4800000</v>
      </c>
      <c r="D25" s="574">
        <v>4800000</v>
      </c>
      <c r="E25" s="549">
        <v>4800000</v>
      </c>
      <c r="F25" s="550">
        <f>ROUND(E25/D25*100,2)</f>
        <v>100</v>
      </c>
      <c r="H25" s="63"/>
    </row>
    <row r="26" spans="1:8" s="64" customFormat="1" ht="14.25" customHeight="1">
      <c r="A26" s="568">
        <v>22</v>
      </c>
      <c r="B26" s="219" t="s">
        <v>417</v>
      </c>
      <c r="C26" s="574">
        <v>1790065</v>
      </c>
      <c r="D26" s="574">
        <v>0</v>
      </c>
      <c r="E26" s="549">
        <v>0</v>
      </c>
      <c r="F26" s="550"/>
      <c r="H26" s="63"/>
    </row>
    <row r="27" spans="1:8" s="64" customFormat="1" ht="14.25" customHeight="1">
      <c r="A27" s="568">
        <v>23</v>
      </c>
      <c r="B27" s="219" t="s">
        <v>418</v>
      </c>
      <c r="C27" s="574">
        <v>850000</v>
      </c>
      <c r="D27" s="574">
        <v>850000</v>
      </c>
      <c r="E27" s="549">
        <v>506222</v>
      </c>
      <c r="F27" s="550">
        <f aca="true" t="shared" si="1" ref="F27:F64">ROUND(E27/D27*100,2)</f>
        <v>59.56</v>
      </c>
      <c r="H27" s="63"/>
    </row>
    <row r="28" spans="1:8" s="64" customFormat="1" ht="14.25" customHeight="1">
      <c r="A28" s="568">
        <v>24</v>
      </c>
      <c r="B28" s="219" t="s">
        <v>419</v>
      </c>
      <c r="C28" s="574">
        <v>8000000</v>
      </c>
      <c r="D28" s="574">
        <f>8000000</f>
        <v>8000000</v>
      </c>
      <c r="E28" s="549">
        <v>0</v>
      </c>
      <c r="F28" s="550">
        <f t="shared" si="1"/>
        <v>0</v>
      </c>
      <c r="H28" s="63"/>
    </row>
    <row r="29" spans="1:8" s="64" customFormat="1" ht="14.25" customHeight="1">
      <c r="A29" s="568">
        <v>25</v>
      </c>
      <c r="B29" s="573" t="s">
        <v>420</v>
      </c>
      <c r="C29" s="574">
        <v>1478431</v>
      </c>
      <c r="D29" s="574">
        <v>1478431</v>
      </c>
      <c r="E29" s="549">
        <v>1478431</v>
      </c>
      <c r="F29" s="550">
        <f t="shared" si="1"/>
        <v>100</v>
      </c>
      <c r="H29" s="63"/>
    </row>
    <row r="30" spans="1:8" s="64" customFormat="1" ht="14.25" customHeight="1">
      <c r="A30" s="568">
        <v>26</v>
      </c>
      <c r="B30" s="573" t="s">
        <v>141</v>
      </c>
      <c r="C30" s="574">
        <v>1000000</v>
      </c>
      <c r="D30" s="574">
        <v>1000000</v>
      </c>
      <c r="E30" s="549">
        <v>1000000</v>
      </c>
      <c r="F30" s="550">
        <f t="shared" si="1"/>
        <v>100</v>
      </c>
      <c r="H30" s="63"/>
    </row>
    <row r="31" spans="1:8" s="64" customFormat="1" ht="26.25" customHeight="1">
      <c r="A31" s="568">
        <v>27</v>
      </c>
      <c r="B31" s="219" t="s">
        <v>421</v>
      </c>
      <c r="C31" s="574">
        <v>254000</v>
      </c>
      <c r="D31" s="574">
        <v>254000</v>
      </c>
      <c r="E31" s="549">
        <v>254000</v>
      </c>
      <c r="F31" s="550">
        <f t="shared" si="1"/>
        <v>100</v>
      </c>
      <c r="H31" s="63"/>
    </row>
    <row r="32" spans="1:8" s="64" customFormat="1" ht="14.25" customHeight="1">
      <c r="A32" s="568">
        <v>28</v>
      </c>
      <c r="B32" s="573" t="s">
        <v>142</v>
      </c>
      <c r="C32" s="574">
        <v>2000000</v>
      </c>
      <c r="D32" s="574">
        <f>4714674-230284</f>
        <v>4484390</v>
      </c>
      <c r="E32" s="549">
        <v>4484390</v>
      </c>
      <c r="F32" s="550">
        <f t="shared" si="1"/>
        <v>100</v>
      </c>
      <c r="H32" s="63"/>
    </row>
    <row r="33" spans="1:8" s="64" customFormat="1" ht="14.25" customHeight="1">
      <c r="A33" s="568">
        <v>29</v>
      </c>
      <c r="B33" s="573" t="s">
        <v>422</v>
      </c>
      <c r="C33" s="574">
        <v>890000</v>
      </c>
      <c r="D33" s="574">
        <v>1590000</v>
      </c>
      <c r="E33" s="549">
        <f>933074+184071</f>
        <v>1117145</v>
      </c>
      <c r="F33" s="550">
        <f t="shared" si="1"/>
        <v>70.26</v>
      </c>
      <c r="H33" s="63"/>
    </row>
    <row r="34" spans="1:8" s="64" customFormat="1" ht="14.25" customHeight="1">
      <c r="A34" s="568">
        <v>30</v>
      </c>
      <c r="B34" s="573" t="s">
        <v>423</v>
      </c>
      <c r="C34" s="574">
        <v>550000</v>
      </c>
      <c r="D34" s="574">
        <v>550000</v>
      </c>
      <c r="E34" s="549">
        <v>683132</v>
      </c>
      <c r="F34" s="550">
        <f t="shared" si="1"/>
        <v>124.21</v>
      </c>
      <c r="H34" s="63"/>
    </row>
    <row r="35" spans="1:8" s="64" customFormat="1" ht="14.25" customHeight="1">
      <c r="A35" s="568">
        <v>31</v>
      </c>
      <c r="B35" s="573" t="s">
        <v>424</v>
      </c>
      <c r="C35" s="574">
        <v>150000</v>
      </c>
      <c r="D35" s="574">
        <v>215900</v>
      </c>
      <c r="E35" s="549">
        <v>215900</v>
      </c>
      <c r="F35" s="550">
        <f t="shared" si="1"/>
        <v>100</v>
      </c>
      <c r="H35" s="63"/>
    </row>
    <row r="36" spans="1:8" s="64" customFormat="1" ht="14.25" customHeight="1">
      <c r="A36" s="568">
        <v>32</v>
      </c>
      <c r="B36" s="573" t="s">
        <v>425</v>
      </c>
      <c r="C36" s="574">
        <v>1000000</v>
      </c>
      <c r="D36" s="574">
        <v>1030531</v>
      </c>
      <c r="E36" s="549">
        <v>1060354</v>
      </c>
      <c r="F36" s="550">
        <f t="shared" si="1"/>
        <v>102.89</v>
      </c>
      <c r="H36" s="63"/>
    </row>
    <row r="37" spans="1:8" s="64" customFormat="1" ht="14.25" customHeight="1">
      <c r="A37" s="568">
        <v>33</v>
      </c>
      <c r="B37" s="573" t="s">
        <v>426</v>
      </c>
      <c r="C37" s="574">
        <v>200000</v>
      </c>
      <c r="D37" s="574">
        <v>200000</v>
      </c>
      <c r="E37" s="549">
        <v>170177</v>
      </c>
      <c r="F37" s="550">
        <f t="shared" si="1"/>
        <v>85.09</v>
      </c>
      <c r="H37" s="63"/>
    </row>
    <row r="38" spans="1:8" s="64" customFormat="1" ht="15" customHeight="1">
      <c r="A38" s="575">
        <v>34</v>
      </c>
      <c r="B38" s="576" t="s">
        <v>427</v>
      </c>
      <c r="C38" s="577">
        <v>3000000</v>
      </c>
      <c r="D38" s="577">
        <v>1323600</v>
      </c>
      <c r="E38" s="557">
        <v>965600</v>
      </c>
      <c r="F38" s="578">
        <f t="shared" si="1"/>
        <v>72.95</v>
      </c>
      <c r="H38" s="63"/>
    </row>
    <row r="39" spans="1:8" s="64" customFormat="1" ht="15" customHeight="1">
      <c r="A39" s="575">
        <v>35</v>
      </c>
      <c r="B39" s="579" t="s">
        <v>428</v>
      </c>
      <c r="C39" s="577">
        <v>12000000</v>
      </c>
      <c r="D39" s="577">
        <v>12000000</v>
      </c>
      <c r="E39" s="557">
        <v>0</v>
      </c>
      <c r="F39" s="578">
        <f t="shared" si="1"/>
        <v>0</v>
      </c>
      <c r="H39" s="77"/>
    </row>
    <row r="40" spans="1:8" s="64" customFormat="1" ht="15" customHeight="1">
      <c r="A40" s="575">
        <v>36</v>
      </c>
      <c r="B40" s="576" t="s">
        <v>140</v>
      </c>
      <c r="C40" s="577">
        <v>72619772</v>
      </c>
      <c r="D40" s="577">
        <v>72619772</v>
      </c>
      <c r="E40" s="557">
        <v>72619772</v>
      </c>
      <c r="F40" s="578">
        <f t="shared" si="1"/>
        <v>100</v>
      </c>
      <c r="H40" s="63"/>
    </row>
    <row r="41" spans="1:8" s="64" customFormat="1" ht="15" customHeight="1">
      <c r="A41" s="575">
        <v>37</v>
      </c>
      <c r="B41" s="576" t="s">
        <v>429</v>
      </c>
      <c r="C41" s="577">
        <v>85750000</v>
      </c>
      <c r="D41" s="577">
        <f>86793194-16740050</f>
        <v>70053144</v>
      </c>
      <c r="E41" s="557">
        <v>51834004</v>
      </c>
      <c r="F41" s="578">
        <f t="shared" si="1"/>
        <v>73.99</v>
      </c>
      <c r="H41" s="63"/>
    </row>
    <row r="42" spans="1:8" s="64" customFormat="1" ht="16.5" customHeight="1">
      <c r="A42" s="575">
        <v>38</v>
      </c>
      <c r="B42" s="576" t="s">
        <v>430</v>
      </c>
      <c r="C42" s="577">
        <v>22876000</v>
      </c>
      <c r="D42" s="577">
        <v>16695950</v>
      </c>
      <c r="E42" s="557">
        <v>15125000</v>
      </c>
      <c r="F42" s="578">
        <f t="shared" si="1"/>
        <v>90.59</v>
      </c>
      <c r="H42" s="63"/>
    </row>
    <row r="43" spans="1:8" s="64" customFormat="1" ht="16.5" customHeight="1">
      <c r="A43" s="575">
        <v>39</v>
      </c>
      <c r="B43" s="106" t="s">
        <v>148</v>
      </c>
      <c r="C43" s="553">
        <v>16300000</v>
      </c>
      <c r="D43" s="553">
        <f>16300000-926619-2650000</f>
        <v>12723381</v>
      </c>
      <c r="E43" s="557">
        <f>3355153+228600+11229471</f>
        <v>14813224</v>
      </c>
      <c r="F43" s="578">
        <f t="shared" si="1"/>
        <v>116.43</v>
      </c>
      <c r="H43" s="63"/>
    </row>
    <row r="44" spans="1:8" s="64" customFormat="1" ht="26.25" customHeight="1">
      <c r="A44" s="575">
        <v>40</v>
      </c>
      <c r="B44" s="106" t="s">
        <v>149</v>
      </c>
      <c r="C44" s="553">
        <v>3550000</v>
      </c>
      <c r="D44" s="553">
        <v>3550000</v>
      </c>
      <c r="E44" s="557"/>
      <c r="F44" s="578">
        <f t="shared" si="1"/>
        <v>0</v>
      </c>
      <c r="H44" s="63"/>
    </row>
    <row r="45" spans="1:8" s="64" customFormat="1" ht="26.25" customHeight="1">
      <c r="A45" s="575">
        <v>41</v>
      </c>
      <c r="B45" s="106" t="s">
        <v>150</v>
      </c>
      <c r="C45" s="553">
        <v>11000000</v>
      </c>
      <c r="D45" s="553">
        <v>10633382</v>
      </c>
      <c r="E45" s="557"/>
      <c r="F45" s="578">
        <f t="shared" si="1"/>
        <v>0</v>
      </c>
      <c r="H45" s="63"/>
    </row>
    <row r="46" spans="1:8" s="64" customFormat="1" ht="25.5" customHeight="1">
      <c r="A46" s="575">
        <v>42</v>
      </c>
      <c r="B46" s="106" t="s">
        <v>151</v>
      </c>
      <c r="C46" s="553">
        <v>2800000</v>
      </c>
      <c r="D46" s="553">
        <v>3166618</v>
      </c>
      <c r="E46" s="557">
        <f>774700+633324+50800+2533294+90000</f>
        <v>4082118</v>
      </c>
      <c r="F46" s="578">
        <f t="shared" si="1"/>
        <v>128.91</v>
      </c>
      <c r="H46" s="63"/>
    </row>
    <row r="47" spans="1:8" s="64" customFormat="1" ht="16.5" customHeight="1">
      <c r="A47" s="575">
        <v>43</v>
      </c>
      <c r="B47" s="106" t="s">
        <v>152</v>
      </c>
      <c r="C47" s="553">
        <v>5300000</v>
      </c>
      <c r="D47" s="553">
        <f>5300000+926619</f>
        <v>6226619</v>
      </c>
      <c r="E47" s="557">
        <f>757352+3029407+50000</f>
        <v>3836759</v>
      </c>
      <c r="F47" s="578">
        <f t="shared" si="1"/>
        <v>61.62</v>
      </c>
      <c r="H47" s="63"/>
    </row>
    <row r="48" spans="1:8" s="64" customFormat="1" ht="16.5" customHeight="1">
      <c r="A48" s="575">
        <v>44</v>
      </c>
      <c r="B48" s="106" t="s">
        <v>431</v>
      </c>
      <c r="C48" s="553">
        <v>1750000</v>
      </c>
      <c r="D48" s="553">
        <v>1750000</v>
      </c>
      <c r="E48" s="557"/>
      <c r="F48" s="578">
        <f t="shared" si="1"/>
        <v>0</v>
      </c>
      <c r="H48" s="63"/>
    </row>
    <row r="49" spans="1:8" s="64" customFormat="1" ht="16.5" customHeight="1">
      <c r="A49" s="575">
        <v>45</v>
      </c>
      <c r="B49" s="106" t="s">
        <v>432</v>
      </c>
      <c r="C49" s="553">
        <v>900000</v>
      </c>
      <c r="D49" s="553">
        <v>900000</v>
      </c>
      <c r="E49" s="557"/>
      <c r="F49" s="578">
        <f t="shared" si="1"/>
        <v>0</v>
      </c>
      <c r="H49" s="63"/>
    </row>
    <row r="50" spans="1:8" s="64" customFormat="1" ht="16.5" customHeight="1">
      <c r="A50" s="580">
        <v>46</v>
      </c>
      <c r="B50" s="581" t="s">
        <v>433</v>
      </c>
      <c r="C50" s="582">
        <v>0</v>
      </c>
      <c r="D50" s="582">
        <v>1706450</v>
      </c>
      <c r="E50" s="582"/>
      <c r="F50" s="583">
        <f t="shared" si="1"/>
        <v>0</v>
      </c>
      <c r="H50" s="63"/>
    </row>
    <row r="51" spans="1:8" s="64" customFormat="1" ht="16.5" customHeight="1">
      <c r="A51" s="580">
        <v>47</v>
      </c>
      <c r="B51" s="581" t="s">
        <v>434</v>
      </c>
      <c r="C51" s="582">
        <v>0</v>
      </c>
      <c r="D51" s="582">
        <v>11200000</v>
      </c>
      <c r="E51" s="582">
        <v>0</v>
      </c>
      <c r="F51" s="583">
        <f t="shared" si="1"/>
        <v>0</v>
      </c>
      <c r="H51" s="63"/>
    </row>
    <row r="52" spans="1:8" s="64" customFormat="1" ht="16.5" customHeight="1">
      <c r="A52" s="580">
        <v>48</v>
      </c>
      <c r="B52" s="581" t="s">
        <v>435</v>
      </c>
      <c r="C52" s="582">
        <v>0</v>
      </c>
      <c r="D52" s="582">
        <v>2000000</v>
      </c>
      <c r="E52" s="582"/>
      <c r="F52" s="583">
        <f t="shared" si="1"/>
        <v>0</v>
      </c>
      <c r="H52" s="63"/>
    </row>
    <row r="53" spans="1:8" s="64" customFormat="1" ht="16.5" customHeight="1">
      <c r="A53" s="580">
        <v>49</v>
      </c>
      <c r="B53" s="581" t="s">
        <v>436</v>
      </c>
      <c r="C53" s="582">
        <v>0</v>
      </c>
      <c r="D53" s="582">
        <v>2538938</v>
      </c>
      <c r="E53" s="582"/>
      <c r="F53" s="583">
        <f t="shared" si="1"/>
        <v>0</v>
      </c>
      <c r="H53" s="63"/>
    </row>
    <row r="54" spans="1:8" s="64" customFormat="1" ht="16.5" customHeight="1">
      <c r="A54" s="580">
        <v>51</v>
      </c>
      <c r="B54" s="581" t="s">
        <v>437</v>
      </c>
      <c r="C54" s="582">
        <v>0</v>
      </c>
      <c r="D54" s="582">
        <v>600000</v>
      </c>
      <c r="E54" s="582">
        <v>599980</v>
      </c>
      <c r="F54" s="583">
        <f t="shared" si="1"/>
        <v>100</v>
      </c>
      <c r="H54" s="63"/>
    </row>
    <row r="55" spans="1:8" s="64" customFormat="1" ht="16.5" customHeight="1">
      <c r="A55" s="580">
        <v>52</v>
      </c>
      <c r="B55" s="581" t="s">
        <v>438</v>
      </c>
      <c r="C55" s="582">
        <v>0</v>
      </c>
      <c r="D55" s="582">
        <v>200000</v>
      </c>
      <c r="E55" s="582"/>
      <c r="F55" s="583">
        <f t="shared" si="1"/>
        <v>0</v>
      </c>
      <c r="H55" s="63"/>
    </row>
    <row r="56" spans="1:8" s="64" customFormat="1" ht="16.5" customHeight="1">
      <c r="A56" s="580">
        <v>53</v>
      </c>
      <c r="B56" s="581" t="s">
        <v>439</v>
      </c>
      <c r="C56" s="582">
        <v>0</v>
      </c>
      <c r="D56" s="582">
        <v>3710686</v>
      </c>
      <c r="E56" s="582"/>
      <c r="F56" s="583">
        <f t="shared" si="1"/>
        <v>0</v>
      </c>
      <c r="H56" s="63"/>
    </row>
    <row r="57" spans="1:8" s="64" customFormat="1" ht="16.5" customHeight="1">
      <c r="A57" s="580">
        <v>54</v>
      </c>
      <c r="B57" s="581" t="s">
        <v>440</v>
      </c>
      <c r="C57" s="582">
        <v>0</v>
      </c>
      <c r="D57" s="582">
        <v>6847423</v>
      </c>
      <c r="E57" s="582"/>
      <c r="F57" s="583">
        <f t="shared" si="1"/>
        <v>0</v>
      </c>
      <c r="H57" s="63"/>
    </row>
    <row r="58" spans="1:8" s="64" customFormat="1" ht="16.5" customHeight="1">
      <c r="A58" s="584">
        <v>55</v>
      </c>
      <c r="B58" s="391" t="s">
        <v>441</v>
      </c>
      <c r="C58" s="549">
        <v>0</v>
      </c>
      <c r="D58" s="549">
        <v>239202</v>
      </c>
      <c r="E58" s="549">
        <v>239202</v>
      </c>
      <c r="F58" s="550">
        <f t="shared" si="1"/>
        <v>100</v>
      </c>
      <c r="H58" s="63"/>
    </row>
    <row r="59" spans="1:8" s="64" customFormat="1" ht="16.5" customHeight="1">
      <c r="A59" s="584">
        <v>56</v>
      </c>
      <c r="B59" s="391" t="s">
        <v>442</v>
      </c>
      <c r="C59" s="549">
        <v>0</v>
      </c>
      <c r="D59" s="549">
        <v>2000000</v>
      </c>
      <c r="E59" s="549">
        <v>167667</v>
      </c>
      <c r="F59" s="550">
        <f t="shared" si="1"/>
        <v>8.38</v>
      </c>
      <c r="H59" s="63"/>
    </row>
    <row r="60" spans="1:8" s="64" customFormat="1" ht="16.5" customHeight="1">
      <c r="A60" s="584">
        <v>57</v>
      </c>
      <c r="B60" s="391" t="s">
        <v>443</v>
      </c>
      <c r="C60" s="549">
        <v>0</v>
      </c>
      <c r="D60" s="549">
        <v>520000</v>
      </c>
      <c r="E60" s="549">
        <v>520000</v>
      </c>
      <c r="F60" s="550">
        <f t="shared" si="1"/>
        <v>100</v>
      </c>
      <c r="H60" s="63"/>
    </row>
    <row r="61" spans="1:8" s="64" customFormat="1" ht="16.5" customHeight="1">
      <c r="A61" s="584">
        <v>58</v>
      </c>
      <c r="B61" s="391" t="s">
        <v>444</v>
      </c>
      <c r="C61" s="549">
        <v>0</v>
      </c>
      <c r="D61" s="549">
        <v>670610</v>
      </c>
      <c r="E61" s="549">
        <v>670610</v>
      </c>
      <c r="F61" s="550">
        <f t="shared" si="1"/>
        <v>100</v>
      </c>
      <c r="H61" s="63"/>
    </row>
    <row r="62" spans="1:8" s="64" customFormat="1" ht="16.5" customHeight="1">
      <c r="A62" s="584">
        <v>59</v>
      </c>
      <c r="B62" s="391" t="s">
        <v>445</v>
      </c>
      <c r="C62" s="549">
        <v>0</v>
      </c>
      <c r="D62" s="549">
        <v>1314900</v>
      </c>
      <c r="E62" s="549">
        <v>1314900</v>
      </c>
      <c r="F62" s="550">
        <f t="shared" si="1"/>
        <v>100</v>
      </c>
      <c r="H62" s="63"/>
    </row>
    <row r="63" spans="1:8" s="64" customFormat="1" ht="16.5" customHeight="1">
      <c r="A63" s="584">
        <v>60</v>
      </c>
      <c r="B63" s="391" t="s">
        <v>446</v>
      </c>
      <c r="C63" s="549">
        <v>0</v>
      </c>
      <c r="D63" s="549">
        <f>1779992-165100</f>
        <v>1614892</v>
      </c>
      <c r="E63" s="549">
        <v>1424248</v>
      </c>
      <c r="F63" s="550">
        <f t="shared" si="1"/>
        <v>88.19</v>
      </c>
      <c r="H63" s="63"/>
    </row>
    <row r="64" spans="1:8" s="64" customFormat="1" ht="16.5" customHeight="1">
      <c r="A64" s="584">
        <v>61</v>
      </c>
      <c r="B64" s="391" t="s">
        <v>447</v>
      </c>
      <c r="C64" s="549">
        <v>0</v>
      </c>
      <c r="D64" s="549">
        <v>19500000</v>
      </c>
      <c r="E64" s="549">
        <v>18478500</v>
      </c>
      <c r="F64" s="550">
        <f t="shared" si="1"/>
        <v>94.76</v>
      </c>
      <c r="H64" s="63"/>
    </row>
    <row r="65" spans="1:8" s="64" customFormat="1" ht="16.5" customHeight="1">
      <c r="A65" s="584">
        <v>62</v>
      </c>
      <c r="B65" s="569" t="s">
        <v>448</v>
      </c>
      <c r="C65" s="549">
        <v>0</v>
      </c>
      <c r="D65" s="549">
        <v>0</v>
      </c>
      <c r="E65" s="549">
        <v>0</v>
      </c>
      <c r="F65" s="550"/>
      <c r="H65" s="63"/>
    </row>
    <row r="66" spans="1:8" s="64" customFormat="1" ht="16.5" customHeight="1">
      <c r="A66" s="584">
        <v>63</v>
      </c>
      <c r="B66" s="569" t="s">
        <v>449</v>
      </c>
      <c r="C66" s="549">
        <v>0</v>
      </c>
      <c r="D66" s="549">
        <v>12478385</v>
      </c>
      <c r="E66" s="549">
        <f>7566584+1219</f>
        <v>7567803</v>
      </c>
      <c r="F66" s="550">
        <f aca="true" t="shared" si="2" ref="F66:F73">ROUND(E66/D66*100,2)</f>
        <v>60.65</v>
      </c>
      <c r="G66" s="63"/>
      <c r="H66" s="63"/>
    </row>
    <row r="67" spans="1:8" s="64" customFormat="1" ht="16.5" customHeight="1">
      <c r="A67" s="584">
        <v>64</v>
      </c>
      <c r="B67" s="569" t="s">
        <v>450</v>
      </c>
      <c r="C67" s="549">
        <v>0</v>
      </c>
      <c r="D67" s="549">
        <f>1900000+482847</f>
        <v>2382847</v>
      </c>
      <c r="E67" s="549">
        <v>2382847</v>
      </c>
      <c r="F67" s="550">
        <f t="shared" si="2"/>
        <v>100</v>
      </c>
      <c r="H67" s="63"/>
    </row>
    <row r="68" spans="1:8" s="64" customFormat="1" ht="16.5" customHeight="1">
      <c r="A68" s="584">
        <v>65</v>
      </c>
      <c r="B68" s="569" t="s">
        <v>451</v>
      </c>
      <c r="C68" s="549">
        <v>0</v>
      </c>
      <c r="D68" s="549">
        <v>150000</v>
      </c>
      <c r="E68" s="549">
        <v>0</v>
      </c>
      <c r="F68" s="550">
        <f t="shared" si="2"/>
        <v>0</v>
      </c>
      <c r="G68" s="63"/>
      <c r="H68" s="63"/>
    </row>
    <row r="69" spans="1:8" s="64" customFormat="1" ht="16.5" customHeight="1">
      <c r="A69" s="584">
        <v>66</v>
      </c>
      <c r="B69" s="569" t="s">
        <v>452</v>
      </c>
      <c r="C69" s="549">
        <v>0</v>
      </c>
      <c r="D69" s="549">
        <v>3626264</v>
      </c>
      <c r="E69" s="549">
        <v>3626264</v>
      </c>
      <c r="F69" s="550">
        <f t="shared" si="2"/>
        <v>100</v>
      </c>
      <c r="H69" s="63"/>
    </row>
    <row r="70" spans="1:8" s="64" customFormat="1" ht="16.5" customHeight="1">
      <c r="A70" s="584">
        <v>67</v>
      </c>
      <c r="B70" s="573" t="s">
        <v>453</v>
      </c>
      <c r="C70" s="549">
        <v>0</v>
      </c>
      <c r="D70" s="549">
        <v>150324</v>
      </c>
      <c r="E70" s="549">
        <v>150322</v>
      </c>
      <c r="F70" s="550">
        <f t="shared" si="2"/>
        <v>100</v>
      </c>
      <c r="H70" s="63"/>
    </row>
    <row r="71" spans="1:8" s="64" customFormat="1" ht="16.5" customHeight="1">
      <c r="A71" s="584">
        <v>68</v>
      </c>
      <c r="B71" s="573" t="s">
        <v>454</v>
      </c>
      <c r="C71" s="549">
        <v>0</v>
      </c>
      <c r="D71" s="549">
        <v>54864</v>
      </c>
      <c r="E71" s="549">
        <v>0</v>
      </c>
      <c r="F71" s="550">
        <f t="shared" si="2"/>
        <v>0</v>
      </c>
      <c r="H71" s="63"/>
    </row>
    <row r="72" spans="1:8" s="64" customFormat="1" ht="16.5" customHeight="1">
      <c r="A72" s="584">
        <v>69</v>
      </c>
      <c r="B72" s="573" t="s">
        <v>511</v>
      </c>
      <c r="C72" s="549">
        <v>0</v>
      </c>
      <c r="D72" s="549">
        <v>1780000</v>
      </c>
      <c r="E72" s="549">
        <v>0</v>
      </c>
      <c r="F72" s="550">
        <f t="shared" si="2"/>
        <v>0</v>
      </c>
      <c r="H72" s="63"/>
    </row>
    <row r="73" spans="1:8" s="64" customFormat="1" ht="12.75">
      <c r="A73" s="585"/>
      <c r="B73" s="26" t="s">
        <v>3</v>
      </c>
      <c r="C73" s="67">
        <f>SUM(C5:C72)</f>
        <v>1285231319</v>
      </c>
      <c r="D73" s="67">
        <f>SUM(D5:D72)</f>
        <v>1312246220</v>
      </c>
      <c r="E73" s="67">
        <f>SUM(E5:E72)</f>
        <v>454757739</v>
      </c>
      <c r="F73" s="586">
        <f t="shared" si="2"/>
        <v>34.65</v>
      </c>
      <c r="H73" s="63"/>
    </row>
    <row r="74" spans="1:8" s="64" customFormat="1" ht="12.75">
      <c r="A74" s="585"/>
      <c r="B74" s="26"/>
      <c r="C74" s="67"/>
      <c r="D74" s="67"/>
      <c r="E74" s="76"/>
      <c r="F74" s="587"/>
      <c r="H74" s="63"/>
    </row>
    <row r="75" spans="1:8" s="64" customFormat="1" ht="12.75">
      <c r="A75" s="585"/>
      <c r="B75" s="26"/>
      <c r="C75" s="67"/>
      <c r="D75" s="67"/>
      <c r="E75" s="76"/>
      <c r="F75" s="587"/>
      <c r="H75" s="63"/>
    </row>
    <row r="76" spans="1:8" s="64" customFormat="1" ht="12.75">
      <c r="A76" s="585"/>
      <c r="B76" s="26"/>
      <c r="C76" s="67"/>
      <c r="D76" s="67"/>
      <c r="E76" s="76"/>
      <c r="F76" s="587"/>
      <c r="H76" s="63"/>
    </row>
    <row r="77" spans="1:8" s="64" customFormat="1" ht="12.75">
      <c r="A77" s="585"/>
      <c r="B77" s="26"/>
      <c r="C77" s="67"/>
      <c r="D77" s="67"/>
      <c r="E77" s="76"/>
      <c r="F77" s="587"/>
      <c r="H77" s="63"/>
    </row>
    <row r="78" spans="1:8" s="64" customFormat="1" ht="12.75">
      <c r="A78" s="585"/>
      <c r="B78" s="26"/>
      <c r="C78" s="67"/>
      <c r="D78" s="67"/>
      <c r="E78" s="76"/>
      <c r="F78" s="587"/>
      <c r="H78" s="63"/>
    </row>
    <row r="79" spans="1:8" s="65" customFormat="1" ht="15.75">
      <c r="A79" s="26" t="s">
        <v>2</v>
      </c>
      <c r="B79" s="26" t="s">
        <v>74</v>
      </c>
      <c r="C79" s="62"/>
      <c r="D79" s="62"/>
      <c r="E79" s="588"/>
      <c r="F79" s="589"/>
      <c r="H79" s="571"/>
    </row>
    <row r="80" spans="1:8" s="64" customFormat="1" ht="16.5" customHeight="1">
      <c r="A80" s="584">
        <v>1</v>
      </c>
      <c r="B80" s="569" t="s">
        <v>455</v>
      </c>
      <c r="C80" s="570">
        <v>85119976</v>
      </c>
      <c r="D80" s="570">
        <v>73691862</v>
      </c>
      <c r="E80" s="549">
        <v>68394377</v>
      </c>
      <c r="F80" s="550">
        <f aca="true" t="shared" si="3" ref="F80:F102">ROUND(E80/D80*100,2)</f>
        <v>92.81</v>
      </c>
      <c r="H80" s="63"/>
    </row>
    <row r="81" spans="1:8" s="64" customFormat="1" ht="16.5" customHeight="1">
      <c r="A81" s="584">
        <v>2</v>
      </c>
      <c r="B81" s="220" t="s">
        <v>143</v>
      </c>
      <c r="C81" s="570">
        <v>5335793</v>
      </c>
      <c r="D81" s="570">
        <v>8432539</v>
      </c>
      <c r="E81" s="549">
        <v>8432479</v>
      </c>
      <c r="F81" s="550">
        <f t="shared" si="3"/>
        <v>100</v>
      </c>
      <c r="H81" s="63"/>
    </row>
    <row r="82" spans="1:6" s="26" customFormat="1" ht="12.75">
      <c r="A82" s="584">
        <v>3</v>
      </c>
      <c r="B82" s="219" t="s">
        <v>456</v>
      </c>
      <c r="C82" s="574">
        <v>7500000</v>
      </c>
      <c r="D82" s="574">
        <f>7500000+5200000</f>
        <v>12700000</v>
      </c>
      <c r="E82" s="549">
        <v>20083315</v>
      </c>
      <c r="F82" s="550">
        <f t="shared" si="3"/>
        <v>158.14</v>
      </c>
    </row>
    <row r="83" spans="1:6" s="26" customFormat="1" ht="12.75">
      <c r="A83" s="584">
        <v>4</v>
      </c>
      <c r="B83" s="573" t="s">
        <v>457</v>
      </c>
      <c r="C83" s="574">
        <v>190500</v>
      </c>
      <c r="D83" s="574">
        <v>190500</v>
      </c>
      <c r="E83" s="549">
        <v>0</v>
      </c>
      <c r="F83" s="550">
        <f t="shared" si="3"/>
        <v>0</v>
      </c>
    </row>
    <row r="84" spans="1:6" s="26" customFormat="1" ht="12.75">
      <c r="A84" s="584">
        <v>5</v>
      </c>
      <c r="B84" s="573" t="s">
        <v>458</v>
      </c>
      <c r="C84" s="574">
        <v>381000</v>
      </c>
      <c r="D84" s="574">
        <f>381000-153823</f>
        <v>227177</v>
      </c>
      <c r="E84" s="549">
        <v>0</v>
      </c>
      <c r="F84" s="550">
        <f t="shared" si="3"/>
        <v>0</v>
      </c>
    </row>
    <row r="85" spans="1:6" s="26" customFormat="1" ht="12.75">
      <c r="A85" s="584">
        <v>6</v>
      </c>
      <c r="B85" s="573" t="s">
        <v>459</v>
      </c>
      <c r="C85" s="574">
        <v>127000</v>
      </c>
      <c r="D85" s="574">
        <v>96469</v>
      </c>
      <c r="E85" s="549">
        <v>83725</v>
      </c>
      <c r="F85" s="550">
        <f t="shared" si="3"/>
        <v>86.79</v>
      </c>
    </row>
    <row r="86" spans="1:6" s="26" customFormat="1" ht="25.5">
      <c r="A86" s="584">
        <v>7</v>
      </c>
      <c r="B86" s="219" t="s">
        <v>460</v>
      </c>
      <c r="C86" s="574">
        <v>1267206</v>
      </c>
      <c r="D86" s="574">
        <v>1267206</v>
      </c>
      <c r="E86" s="549">
        <v>1267206</v>
      </c>
      <c r="F86" s="550">
        <f t="shared" si="3"/>
        <v>100</v>
      </c>
    </row>
    <row r="87" spans="1:6" s="26" customFormat="1" ht="12.75">
      <c r="A87" s="584">
        <v>8</v>
      </c>
      <c r="B87" s="573" t="s">
        <v>461</v>
      </c>
      <c r="C87" s="574">
        <v>4500000</v>
      </c>
      <c r="D87" s="574">
        <f>4500000+10551000+60730</f>
        <v>15111730</v>
      </c>
      <c r="E87" s="549">
        <v>15111730</v>
      </c>
      <c r="F87" s="550">
        <f t="shared" si="3"/>
        <v>100</v>
      </c>
    </row>
    <row r="88" spans="1:6" s="26" customFormat="1" ht="15">
      <c r="A88" s="580">
        <v>9</v>
      </c>
      <c r="B88" s="581" t="s">
        <v>462</v>
      </c>
      <c r="C88" s="590">
        <v>0</v>
      </c>
      <c r="D88" s="590">
        <v>15395870</v>
      </c>
      <c r="E88" s="582">
        <v>0</v>
      </c>
      <c r="F88" s="583">
        <f t="shared" si="3"/>
        <v>0</v>
      </c>
    </row>
    <row r="89" spans="1:6" s="26" customFormat="1" ht="15">
      <c r="A89" s="580">
        <v>10</v>
      </c>
      <c r="B89" s="581" t="s">
        <v>463</v>
      </c>
      <c r="C89" s="590">
        <v>0</v>
      </c>
      <c r="D89" s="590">
        <v>1500000</v>
      </c>
      <c r="E89" s="582">
        <v>0</v>
      </c>
      <c r="F89" s="583">
        <f t="shared" si="3"/>
        <v>0</v>
      </c>
    </row>
    <row r="90" spans="1:6" s="26" customFormat="1" ht="15">
      <c r="A90" s="580">
        <v>11</v>
      </c>
      <c r="B90" s="581" t="s">
        <v>464</v>
      </c>
      <c r="C90" s="590">
        <v>0</v>
      </c>
      <c r="D90" s="590">
        <v>1000000</v>
      </c>
      <c r="E90" s="582">
        <v>599999</v>
      </c>
      <c r="F90" s="583">
        <f t="shared" si="3"/>
        <v>60</v>
      </c>
    </row>
    <row r="91" spans="1:6" s="26" customFormat="1" ht="15">
      <c r="A91" s="580">
        <v>12</v>
      </c>
      <c r="B91" s="581" t="s">
        <v>465</v>
      </c>
      <c r="C91" s="590">
        <v>0</v>
      </c>
      <c r="D91" s="590">
        <v>900000</v>
      </c>
      <c r="E91" s="582">
        <v>0</v>
      </c>
      <c r="F91" s="583">
        <f t="shared" si="3"/>
        <v>0</v>
      </c>
    </row>
    <row r="92" spans="1:6" s="26" customFormat="1" ht="15">
      <c r="A92" s="580">
        <v>13</v>
      </c>
      <c r="B92" s="581" t="s">
        <v>466</v>
      </c>
      <c r="C92" s="590">
        <v>0</v>
      </c>
      <c r="D92" s="590">
        <v>1750000</v>
      </c>
      <c r="E92" s="582">
        <v>1778000</v>
      </c>
      <c r="F92" s="583">
        <f t="shared" si="3"/>
        <v>101.6</v>
      </c>
    </row>
    <row r="93" spans="1:6" s="26" customFormat="1" ht="15">
      <c r="A93" s="580">
        <v>14</v>
      </c>
      <c r="B93" s="581" t="s">
        <v>467</v>
      </c>
      <c r="C93" s="590">
        <v>0</v>
      </c>
      <c r="D93" s="590">
        <v>2000000</v>
      </c>
      <c r="E93" s="582">
        <v>1998980</v>
      </c>
      <c r="F93" s="583">
        <f t="shared" si="3"/>
        <v>99.95</v>
      </c>
    </row>
    <row r="94" spans="1:6" s="26" customFormat="1" ht="15">
      <c r="A94" s="580">
        <v>15</v>
      </c>
      <c r="B94" s="581" t="s">
        <v>468</v>
      </c>
      <c r="C94" s="590">
        <v>0</v>
      </c>
      <c r="D94" s="590">
        <f>10050000-3710686+2500000+23038686</f>
        <v>31878000</v>
      </c>
      <c r="E94" s="582">
        <v>6817878</v>
      </c>
      <c r="F94" s="583">
        <f t="shared" si="3"/>
        <v>21.39</v>
      </c>
    </row>
    <row r="95" spans="1:6" s="26" customFormat="1" ht="15">
      <c r="A95" s="580">
        <v>16</v>
      </c>
      <c r="B95" s="581" t="s">
        <v>469</v>
      </c>
      <c r="C95" s="590">
        <v>0</v>
      </c>
      <c r="D95" s="590">
        <v>40001698</v>
      </c>
      <c r="E95" s="582">
        <v>0</v>
      </c>
      <c r="F95" s="583">
        <f t="shared" si="3"/>
        <v>0</v>
      </c>
    </row>
    <row r="96" spans="1:6" s="26" customFormat="1" ht="15">
      <c r="A96" s="584">
        <v>17</v>
      </c>
      <c r="B96" s="591" t="s">
        <v>470</v>
      </c>
      <c r="C96" s="574">
        <v>0</v>
      </c>
      <c r="D96" s="574">
        <v>2698000</v>
      </c>
      <c r="E96" s="549">
        <v>19050</v>
      </c>
      <c r="F96" s="550">
        <f t="shared" si="3"/>
        <v>0.71</v>
      </c>
    </row>
    <row r="97" spans="1:6" s="26" customFormat="1" ht="15">
      <c r="A97" s="584">
        <v>18</v>
      </c>
      <c r="B97" s="591" t="s">
        <v>471</v>
      </c>
      <c r="C97" s="574">
        <v>0</v>
      </c>
      <c r="D97" s="574">
        <v>2308475</v>
      </c>
      <c r="E97" s="549">
        <v>2308475</v>
      </c>
      <c r="F97" s="550">
        <f t="shared" si="3"/>
        <v>100</v>
      </c>
    </row>
    <row r="98" spans="1:6" s="26" customFormat="1" ht="15">
      <c r="A98" s="584">
        <v>19</v>
      </c>
      <c r="B98" s="591" t="s">
        <v>356</v>
      </c>
      <c r="C98" s="574">
        <v>0</v>
      </c>
      <c r="D98" s="574">
        <v>707390</v>
      </c>
      <c r="E98" s="549">
        <v>707390</v>
      </c>
      <c r="F98" s="550">
        <f t="shared" si="3"/>
        <v>100</v>
      </c>
    </row>
    <row r="99" spans="1:6" s="26" customFormat="1" ht="15">
      <c r="A99" s="584">
        <v>20</v>
      </c>
      <c r="B99" s="591" t="s">
        <v>472</v>
      </c>
      <c r="C99" s="574">
        <v>0</v>
      </c>
      <c r="D99" s="574">
        <v>689000</v>
      </c>
      <c r="E99" s="549">
        <v>689000</v>
      </c>
      <c r="F99" s="550">
        <f t="shared" si="3"/>
        <v>100</v>
      </c>
    </row>
    <row r="100" spans="1:6" s="26" customFormat="1" ht="12.75">
      <c r="A100" s="584">
        <v>21</v>
      </c>
      <c r="B100" s="569" t="s">
        <v>449</v>
      </c>
      <c r="C100" s="574">
        <v>0</v>
      </c>
      <c r="D100" s="574">
        <v>19999889</v>
      </c>
      <c r="E100" s="549">
        <v>0</v>
      </c>
      <c r="F100" s="550">
        <f t="shared" si="3"/>
        <v>0</v>
      </c>
    </row>
    <row r="101" spans="1:6" s="26" customFormat="1" ht="12.75">
      <c r="A101" s="584">
        <v>22</v>
      </c>
      <c r="B101" s="391" t="s">
        <v>446</v>
      </c>
      <c r="C101" s="574">
        <v>0</v>
      </c>
      <c r="D101" s="574">
        <v>165100</v>
      </c>
      <c r="E101" s="549">
        <v>165100</v>
      </c>
      <c r="F101" s="550">
        <f t="shared" si="3"/>
        <v>100</v>
      </c>
    </row>
    <row r="102" spans="1:6" s="26" customFormat="1" ht="16.5" customHeight="1">
      <c r="A102" s="63"/>
      <c r="B102" s="61" t="s">
        <v>3</v>
      </c>
      <c r="C102" s="67">
        <f>SUM(C80:C101)</f>
        <v>104421475</v>
      </c>
      <c r="D102" s="67">
        <f>SUM(D80:D101)</f>
        <v>232710905</v>
      </c>
      <c r="E102" s="67">
        <f>SUM(E80:E101)</f>
        <v>128456704</v>
      </c>
      <c r="F102" s="586">
        <f t="shared" si="3"/>
        <v>55.2</v>
      </c>
    </row>
    <row r="103" spans="1:6" s="26" customFormat="1" ht="13.5" customHeight="1">
      <c r="A103" s="63"/>
      <c r="B103" s="61"/>
      <c r="C103" s="67"/>
      <c r="D103" s="67"/>
      <c r="E103" s="62"/>
      <c r="F103" s="586"/>
    </row>
    <row r="104" spans="1:6" s="63" customFormat="1" ht="16.5" customHeight="1">
      <c r="A104" s="26" t="s">
        <v>10</v>
      </c>
      <c r="B104" s="26" t="s">
        <v>90</v>
      </c>
      <c r="C104" s="62"/>
      <c r="D104" s="62"/>
      <c r="E104" s="76"/>
      <c r="F104" s="587"/>
    </row>
    <row r="105" spans="1:6" s="26" customFormat="1" ht="16.5" customHeight="1">
      <c r="A105" s="27" t="s">
        <v>4</v>
      </c>
      <c r="B105" s="27" t="s">
        <v>91</v>
      </c>
      <c r="C105" s="68"/>
      <c r="D105" s="68"/>
      <c r="E105" s="62"/>
      <c r="F105" s="586"/>
    </row>
    <row r="106" spans="1:6" s="26" customFormat="1" ht="16.5" customHeight="1">
      <c r="A106" s="592">
        <v>1</v>
      </c>
      <c r="B106" s="108" t="s">
        <v>12</v>
      </c>
      <c r="C106" s="109">
        <v>1165207</v>
      </c>
      <c r="D106" s="109">
        <v>1165207</v>
      </c>
      <c r="E106" s="593">
        <v>0</v>
      </c>
      <c r="F106" s="594">
        <f>ROUND(E106/D106*100,2)</f>
        <v>0</v>
      </c>
    </row>
    <row r="107" spans="1:6" s="63" customFormat="1" ht="16.5" customHeight="1">
      <c r="A107" s="592">
        <v>2</v>
      </c>
      <c r="B107" s="108" t="s">
        <v>46</v>
      </c>
      <c r="C107" s="109">
        <v>0</v>
      </c>
      <c r="D107" s="109">
        <v>0</v>
      </c>
      <c r="E107" s="557">
        <v>0</v>
      </c>
      <c r="F107" s="578"/>
    </row>
    <row r="108" spans="1:6" s="63" customFormat="1" ht="16.5" customHeight="1">
      <c r="A108" s="26"/>
      <c r="B108" s="27" t="s">
        <v>3</v>
      </c>
      <c r="C108" s="68">
        <f>SUM(C106:C107)</f>
        <v>1165207</v>
      </c>
      <c r="D108" s="68">
        <f>SUM(D106:D107)</f>
        <v>1165207</v>
      </c>
      <c r="E108" s="68">
        <f>SUM(E106:E107)</f>
        <v>0</v>
      </c>
      <c r="F108" s="587">
        <f>ROUND(E108/D108*100,2)</f>
        <v>0</v>
      </c>
    </row>
    <row r="109" spans="1:6" s="63" customFormat="1" ht="16.5" customHeight="1">
      <c r="A109" s="27" t="s">
        <v>5</v>
      </c>
      <c r="B109" s="27" t="s">
        <v>92</v>
      </c>
      <c r="C109" s="62"/>
      <c r="D109" s="62"/>
      <c r="E109" s="76"/>
      <c r="F109" s="587"/>
    </row>
    <row r="110" spans="1:6" s="26" customFormat="1" ht="16.5" customHeight="1">
      <c r="A110" s="595">
        <v>1</v>
      </c>
      <c r="B110" s="573" t="s">
        <v>473</v>
      </c>
      <c r="C110" s="223">
        <v>5802000</v>
      </c>
      <c r="D110" s="223">
        <v>5802000</v>
      </c>
      <c r="E110" s="596">
        <v>0</v>
      </c>
      <c r="F110" s="597">
        <f>ROUND(E110/D110*100,2)</f>
        <v>0</v>
      </c>
    </row>
    <row r="111" spans="2:6" s="26" customFormat="1" ht="16.5" customHeight="1">
      <c r="B111" s="27" t="s">
        <v>3</v>
      </c>
      <c r="C111" s="68">
        <f>SUM(C110:C110)</f>
        <v>5802000</v>
      </c>
      <c r="D111" s="68">
        <f>SUM(D110:D110)</f>
        <v>5802000</v>
      </c>
      <c r="E111" s="68">
        <f>SUM(E110:E110)</f>
        <v>0</v>
      </c>
      <c r="F111" s="586">
        <f>ROUND(E111/D111*100,2)</f>
        <v>0</v>
      </c>
    </row>
    <row r="112" spans="1:6" s="63" customFormat="1" ht="16.5" customHeight="1">
      <c r="A112" s="80" t="s">
        <v>6</v>
      </c>
      <c r="B112" s="27" t="s">
        <v>93</v>
      </c>
      <c r="C112" s="62"/>
      <c r="D112" s="62"/>
      <c r="E112" s="76"/>
      <c r="F112" s="587"/>
    </row>
    <row r="113" spans="1:6" s="65" customFormat="1" ht="25.5">
      <c r="A113" s="592">
        <v>1</v>
      </c>
      <c r="B113" s="112" t="s">
        <v>474</v>
      </c>
      <c r="C113" s="109">
        <v>1466850</v>
      </c>
      <c r="D113" s="109">
        <v>1466850</v>
      </c>
      <c r="E113" s="598">
        <v>1466850</v>
      </c>
      <c r="F113" s="599">
        <f>ROUND(E113/D113*100,2)</f>
        <v>100</v>
      </c>
    </row>
    <row r="114" spans="1:6" s="63" customFormat="1" ht="12.75">
      <c r="A114" s="592">
        <v>2</v>
      </c>
      <c r="B114" s="108" t="s">
        <v>475</v>
      </c>
      <c r="C114" s="109">
        <v>4000000</v>
      </c>
      <c r="D114" s="109">
        <v>4000000</v>
      </c>
      <c r="E114" s="557">
        <v>4000000</v>
      </c>
      <c r="F114" s="578">
        <f>ROUND(E114/D114*100,2)</f>
        <v>100</v>
      </c>
    </row>
    <row r="115" spans="1:6" s="63" customFormat="1" ht="12.75">
      <c r="A115" s="592" t="s">
        <v>6</v>
      </c>
      <c r="B115" s="108" t="s">
        <v>512</v>
      </c>
      <c r="C115" s="109">
        <v>0</v>
      </c>
      <c r="D115" s="109">
        <v>6442654</v>
      </c>
      <c r="E115" s="557">
        <v>6442654</v>
      </c>
      <c r="F115" s="578">
        <f>ROUND(E115/D115*100,2)</f>
        <v>100</v>
      </c>
    </row>
    <row r="116" spans="2:6" s="26" customFormat="1" ht="12.75">
      <c r="B116" s="27" t="s">
        <v>3</v>
      </c>
      <c r="C116" s="68">
        <f>SUM(C113:C115)</f>
        <v>5466850</v>
      </c>
      <c r="D116" s="68">
        <f>SUM(D113:D115)</f>
        <v>11909504</v>
      </c>
      <c r="E116" s="68">
        <f>SUM(E113:E115)</f>
        <v>11909504</v>
      </c>
      <c r="F116" s="586">
        <f>ROUND(E116/D116*100,2)</f>
        <v>100</v>
      </c>
    </row>
    <row r="117" spans="1:6" s="26" customFormat="1" ht="16.5" customHeight="1">
      <c r="A117" s="69" t="s">
        <v>7</v>
      </c>
      <c r="B117" s="70" t="s">
        <v>94</v>
      </c>
      <c r="C117" s="71"/>
      <c r="D117" s="71"/>
      <c r="E117" s="62"/>
      <c r="F117" s="586"/>
    </row>
    <row r="118" spans="1:6" s="26" customFormat="1" ht="16.5" customHeight="1">
      <c r="A118" s="600">
        <v>1</v>
      </c>
      <c r="B118" s="601" t="s">
        <v>510</v>
      </c>
      <c r="C118" s="602"/>
      <c r="D118" s="602">
        <v>0</v>
      </c>
      <c r="E118" s="557">
        <v>0</v>
      </c>
      <c r="F118" s="578"/>
    </row>
    <row r="119" spans="1:6" s="26" customFormat="1" ht="16.5" customHeight="1">
      <c r="A119" s="72"/>
      <c r="B119" s="70" t="s">
        <v>3</v>
      </c>
      <c r="C119" s="73">
        <f>SUM(C118:C118)</f>
        <v>0</v>
      </c>
      <c r="D119" s="73">
        <f>SUM(D118:D118)</f>
        <v>0</v>
      </c>
      <c r="E119" s="73">
        <f>SUM(E118:E118)</f>
        <v>0</v>
      </c>
      <c r="F119" s="603"/>
    </row>
    <row r="120" spans="1:6" s="26" customFormat="1" ht="16.5" customHeight="1">
      <c r="A120" s="63"/>
      <c r="B120" s="61" t="s">
        <v>3</v>
      </c>
      <c r="C120" s="67">
        <f>C119+C116+C111+C108</f>
        <v>12434057</v>
      </c>
      <c r="D120" s="67">
        <f>D119+D116+D111+D108</f>
        <v>18876711</v>
      </c>
      <c r="E120" s="67">
        <f>E119+E116+E111+E108</f>
        <v>11909504</v>
      </c>
      <c r="F120" s="586">
        <f>ROUND(E120/D120*100,2)</f>
        <v>63.09</v>
      </c>
    </row>
    <row r="121" spans="1:6" s="75" customFormat="1" ht="9.75" customHeight="1">
      <c r="A121" s="26"/>
      <c r="B121" s="26"/>
      <c r="C121" s="62"/>
      <c r="D121" s="62"/>
      <c r="E121" s="604"/>
      <c r="F121" s="605"/>
    </row>
    <row r="122" spans="2:6" s="26" customFormat="1" ht="16.5" customHeight="1">
      <c r="B122" s="61" t="s">
        <v>95</v>
      </c>
      <c r="C122" s="62">
        <f>C120+C102+C73</f>
        <v>1402086851</v>
      </c>
      <c r="D122" s="62">
        <f>D120+D102+D73</f>
        <v>1563833836</v>
      </c>
      <c r="E122" s="62">
        <f>E120+E102+E73</f>
        <v>595123947</v>
      </c>
      <c r="F122" s="586">
        <f>ROUND(E122/D122*100,2)</f>
        <v>38.06</v>
      </c>
    </row>
    <row r="123" spans="1:6" s="75" customFormat="1" ht="10.5" customHeight="1">
      <c r="A123" s="26"/>
      <c r="B123" s="61"/>
      <c r="C123" s="62"/>
      <c r="D123" s="62"/>
      <c r="E123" s="604"/>
      <c r="F123" s="605"/>
    </row>
    <row r="124" spans="1:6" s="26" customFormat="1" ht="16.5" customHeight="1">
      <c r="A124" s="26" t="s">
        <v>13</v>
      </c>
      <c r="B124" s="74" t="s">
        <v>98</v>
      </c>
      <c r="C124" s="62"/>
      <c r="D124" s="62"/>
      <c r="E124" s="62"/>
      <c r="F124" s="586"/>
    </row>
    <row r="125" spans="1:6" s="26" customFormat="1" ht="16.5" customHeight="1">
      <c r="A125" s="595">
        <v>1</v>
      </c>
      <c r="B125" s="221" t="s">
        <v>97</v>
      </c>
      <c r="C125" s="549">
        <v>0</v>
      </c>
      <c r="D125" s="549">
        <v>0</v>
      </c>
      <c r="E125" s="596"/>
      <c r="F125" s="597"/>
    </row>
    <row r="126" spans="2:6" s="26" customFormat="1" ht="16.5" customHeight="1">
      <c r="B126" s="74" t="s">
        <v>3</v>
      </c>
      <c r="C126" s="62">
        <f>SUM(C125:C125)</f>
        <v>0</v>
      </c>
      <c r="D126" s="62">
        <f>SUM(D125:D125)</f>
        <v>0</v>
      </c>
      <c r="E126" s="62">
        <f>SUM(E125:E125)</f>
        <v>0</v>
      </c>
      <c r="F126" s="586"/>
    </row>
    <row r="127" spans="1:6" s="63" customFormat="1" ht="16.5" customHeight="1">
      <c r="A127" s="75"/>
      <c r="B127" s="74" t="s">
        <v>96</v>
      </c>
      <c r="C127" s="62">
        <v>0</v>
      </c>
      <c r="D127" s="62">
        <v>0</v>
      </c>
      <c r="E127" s="62">
        <v>0</v>
      </c>
      <c r="F127" s="587"/>
    </row>
    <row r="128" spans="2:6" s="63" customFormat="1" ht="8.25" customHeight="1">
      <c r="B128" s="26"/>
      <c r="C128" s="62"/>
      <c r="D128" s="62"/>
      <c r="E128" s="76"/>
      <c r="F128" s="587"/>
    </row>
    <row r="129" spans="2:6" s="63" customFormat="1" ht="11.25" customHeight="1">
      <c r="B129" s="26" t="s">
        <v>14</v>
      </c>
      <c r="C129" s="62">
        <f>C122+C127</f>
        <v>1402086851</v>
      </c>
      <c r="D129" s="62">
        <f>D122+D127</f>
        <v>1563833836</v>
      </c>
      <c r="E129" s="62">
        <f>E122+E127</f>
        <v>595123947</v>
      </c>
      <c r="F129" s="586">
        <f>ROUND(E129/D129*100,2)</f>
        <v>38.06</v>
      </c>
    </row>
    <row r="130" spans="2:6" s="63" customFormat="1" ht="11.25" customHeight="1">
      <c r="B130" s="26" t="s">
        <v>48</v>
      </c>
      <c r="C130" s="62"/>
      <c r="D130" s="62"/>
      <c r="E130" s="76"/>
      <c r="F130" s="587"/>
    </row>
    <row r="131" spans="2:6" s="63" customFormat="1" ht="23.25" customHeight="1">
      <c r="B131" s="606" t="s">
        <v>49</v>
      </c>
      <c r="C131" s="596">
        <f>C129-C132</f>
        <v>1161609022</v>
      </c>
      <c r="D131" s="596">
        <f>D129-D132</f>
        <v>1343116659</v>
      </c>
      <c r="E131" s="596">
        <f>E129-E132</f>
        <v>423937966</v>
      </c>
      <c r="F131" s="597">
        <f>ROUND(E131/D131*100,2)</f>
        <v>31.56</v>
      </c>
    </row>
    <row r="132" spans="1:6" s="63" customFormat="1" ht="11.25" customHeight="1">
      <c r="A132" s="63" t="s">
        <v>476</v>
      </c>
      <c r="B132" s="110" t="s">
        <v>47</v>
      </c>
      <c r="C132" s="111">
        <f>C118+C107+C106+C43+C44+C45+C46+C113+C48+C47+C42+C40+C115+C38+C39+C41+C49</f>
        <v>240477829</v>
      </c>
      <c r="D132" s="111">
        <f>D118+D107+D106+D43+D44+D45+D46+D113+D48+D47+D42+D40+D115+D38+D39+D41+D49</f>
        <v>220717177</v>
      </c>
      <c r="E132" s="111">
        <f>E118+E107+E106+E43+E44+E45+E46+E113+E48+E47+E42+E40+E115+E38+E39+E41+E49</f>
        <v>171185981</v>
      </c>
      <c r="F132" s="607">
        <f>ROUND(E132/D132*100,2)</f>
        <v>77.56</v>
      </c>
    </row>
    <row r="133" spans="3:6" s="63" customFormat="1" ht="11.25" customHeight="1">
      <c r="C133" s="76"/>
      <c r="D133" s="76"/>
      <c r="E133" s="76"/>
      <c r="F133" s="76"/>
    </row>
    <row r="134" spans="1:6" s="77" customFormat="1" ht="12.75">
      <c r="A134" s="63"/>
      <c r="B134" s="26" t="s">
        <v>66</v>
      </c>
      <c r="C134" s="62">
        <f>'[1]4. melléklet'!C58-C129</f>
        <v>0</v>
      </c>
      <c r="D134" s="62">
        <f>'[1]4. melléklet'!D58-D129</f>
        <v>-48375815</v>
      </c>
      <c r="E134" s="608"/>
      <c r="F134" s="608"/>
    </row>
    <row r="135" spans="2:6" s="63" customFormat="1" ht="12.75">
      <c r="B135" s="26"/>
      <c r="C135" s="62"/>
      <c r="D135" s="62"/>
      <c r="E135" s="76"/>
      <c r="F135" s="76"/>
    </row>
    <row r="136" spans="1:6" s="77" customFormat="1" ht="12.75">
      <c r="A136" s="63" t="s">
        <v>120</v>
      </c>
      <c r="B136" s="26" t="s">
        <v>65</v>
      </c>
      <c r="C136" s="76"/>
      <c r="D136" s="76"/>
      <c r="E136" s="608"/>
      <c r="F136" s="608"/>
    </row>
    <row r="137" spans="1:6" s="77" customFormat="1" ht="12.75">
      <c r="A137" s="63"/>
      <c r="B137" s="105" t="s">
        <v>477</v>
      </c>
      <c r="C137" s="76">
        <v>10000000</v>
      </c>
      <c r="D137" s="76"/>
      <c r="E137" s="608"/>
      <c r="F137" s="608"/>
    </row>
    <row r="138" spans="1:6" s="77" customFormat="1" ht="12.75">
      <c r="A138" s="63"/>
      <c r="B138" s="105" t="s">
        <v>478</v>
      </c>
      <c r="C138" s="76">
        <v>6608779</v>
      </c>
      <c r="D138" s="76"/>
      <c r="E138" s="608"/>
      <c r="F138" s="608"/>
    </row>
    <row r="139" spans="1:6" s="77" customFormat="1" ht="12.75">
      <c r="A139" s="63"/>
      <c r="B139" s="105" t="s">
        <v>153</v>
      </c>
      <c r="C139" s="76">
        <v>8000000</v>
      </c>
      <c r="D139" s="76"/>
      <c r="E139" s="608"/>
      <c r="F139" s="608"/>
    </row>
    <row r="140" spans="1:7" ht="12.75">
      <c r="A140" s="63"/>
      <c r="B140" s="105" t="s">
        <v>144</v>
      </c>
      <c r="C140" s="76">
        <v>2490000</v>
      </c>
      <c r="D140" s="76"/>
      <c r="E140" s="609"/>
      <c r="F140" s="609"/>
      <c r="G140" s="102"/>
    </row>
    <row r="141" spans="1:7" ht="12.75">
      <c r="A141" s="63"/>
      <c r="B141" s="105" t="s">
        <v>146</v>
      </c>
      <c r="C141" s="104">
        <v>8636000</v>
      </c>
      <c r="D141" s="104"/>
      <c r="E141" s="609"/>
      <c r="F141" s="609"/>
      <c r="G141" s="102"/>
    </row>
    <row r="142" spans="1:7" ht="12.75">
      <c r="A142" s="63"/>
      <c r="B142" s="103" t="s">
        <v>145</v>
      </c>
      <c r="C142" s="81">
        <v>2230000</v>
      </c>
      <c r="D142" s="81"/>
      <c r="E142" s="609"/>
      <c r="F142" s="609"/>
      <c r="G142" s="102"/>
    </row>
    <row r="143" spans="1:7" ht="12.75">
      <c r="A143" s="63"/>
      <c r="B143" s="63" t="s">
        <v>479</v>
      </c>
      <c r="C143" s="81">
        <v>3810000</v>
      </c>
      <c r="D143" s="81"/>
      <c r="E143" s="609"/>
      <c r="F143" s="609"/>
      <c r="G143" s="102"/>
    </row>
    <row r="144" spans="1:7" ht="12.75">
      <c r="A144" s="63"/>
      <c r="B144" s="105" t="s">
        <v>480</v>
      </c>
      <c r="C144" s="81">
        <v>41000000</v>
      </c>
      <c r="D144" s="81"/>
      <c r="E144" s="609"/>
      <c r="F144" s="609"/>
      <c r="G144" s="102"/>
    </row>
    <row r="145" spans="1:6" ht="12.75">
      <c r="A145" s="63"/>
      <c r="B145" s="103" t="s">
        <v>481</v>
      </c>
      <c r="C145" s="104">
        <v>350000</v>
      </c>
      <c r="D145" s="104"/>
      <c r="E145" s="567"/>
      <c r="F145" s="567"/>
    </row>
    <row r="146" spans="1:6" ht="12.75">
      <c r="A146" s="63"/>
      <c r="B146" s="103" t="s">
        <v>482</v>
      </c>
      <c r="C146" s="104">
        <v>550000</v>
      </c>
      <c r="D146" s="104"/>
      <c r="E146" s="567"/>
      <c r="F146" s="567"/>
    </row>
    <row r="147" spans="1:6" ht="12.75">
      <c r="A147" s="63"/>
      <c r="B147" s="103" t="s">
        <v>483</v>
      </c>
      <c r="C147" s="104">
        <v>23707655</v>
      </c>
      <c r="D147" s="104"/>
      <c r="E147" s="567"/>
      <c r="F147" s="567"/>
    </row>
    <row r="148" spans="1:6" ht="12.75">
      <c r="A148" s="63"/>
      <c r="B148" s="103" t="s">
        <v>484</v>
      </c>
      <c r="C148" s="104">
        <v>90542364</v>
      </c>
      <c r="D148" s="104"/>
      <c r="E148" s="567"/>
      <c r="F148" s="567"/>
    </row>
    <row r="149" spans="1:6" ht="12.75">
      <c r="A149" s="26"/>
      <c r="B149" s="74" t="s">
        <v>3</v>
      </c>
      <c r="C149" s="62">
        <f>SUM(C137:C148)</f>
        <v>197924798</v>
      </c>
      <c r="D149" s="62"/>
      <c r="E149" s="567"/>
      <c r="F149" s="567"/>
    </row>
  </sheetData>
  <sheetProtection/>
  <mergeCells count="2">
    <mergeCell ref="A1:C1"/>
    <mergeCell ref="A2:F2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64" r:id="rId1"/>
  <rowBreaks count="2" manualBreakCount="2">
    <brk id="75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4.875" style="392" customWidth="1"/>
    <col min="2" max="2" width="11.125" style="392" customWidth="1"/>
    <col min="3" max="4" width="11.00390625" style="392" customWidth="1"/>
    <col min="5" max="8" width="11.375" style="392" bestFit="1" customWidth="1"/>
    <col min="9" max="9" width="14.25390625" style="392" customWidth="1"/>
    <col min="10" max="10" width="13.125" style="392" customWidth="1"/>
    <col min="11" max="16384" width="9.125" style="392" customWidth="1"/>
  </cols>
  <sheetData>
    <row r="1" spans="1:9" ht="13.5">
      <c r="A1" s="695" t="s">
        <v>582</v>
      </c>
      <c r="B1" s="695"/>
      <c r="C1" s="695"/>
      <c r="D1" s="695"/>
      <c r="E1" s="695"/>
      <c r="F1" s="695"/>
      <c r="G1" s="695"/>
      <c r="H1" s="695"/>
      <c r="I1" s="695"/>
    </row>
    <row r="2" spans="1:3" ht="12.75">
      <c r="A2" s="393"/>
      <c r="B2" s="393"/>
      <c r="C2" s="393"/>
    </row>
    <row r="3" spans="1:10" ht="15.75">
      <c r="A3" s="696" t="s">
        <v>485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0" ht="14.25" thickBot="1">
      <c r="A4" s="697" t="s">
        <v>326</v>
      </c>
      <c r="B4" s="697"/>
      <c r="C4" s="697"/>
      <c r="D4" s="697"/>
      <c r="E4" s="697"/>
      <c r="F4" s="697"/>
      <c r="G4" s="697"/>
      <c r="H4" s="697"/>
      <c r="I4" s="697"/>
      <c r="J4" s="697"/>
    </row>
    <row r="5" spans="1:10" s="396" customFormat="1" ht="68.25" thickBot="1">
      <c r="A5" s="394" t="s">
        <v>183</v>
      </c>
      <c r="B5" s="613" t="s">
        <v>184</v>
      </c>
      <c r="C5" s="613" t="s">
        <v>185</v>
      </c>
      <c r="D5" s="614" t="s">
        <v>67</v>
      </c>
      <c r="E5" s="615" t="s">
        <v>186</v>
      </c>
      <c r="F5" s="615" t="s">
        <v>137</v>
      </c>
      <c r="G5" s="615" t="s">
        <v>327</v>
      </c>
      <c r="H5" s="615" t="s">
        <v>162</v>
      </c>
      <c r="I5" s="613" t="s">
        <v>34</v>
      </c>
      <c r="J5" s="395" t="s">
        <v>187</v>
      </c>
    </row>
    <row r="6" spans="1:10" ht="21" customHeight="1">
      <c r="A6" s="397" t="s">
        <v>188</v>
      </c>
      <c r="B6" s="398">
        <v>37186248</v>
      </c>
      <c r="C6" s="399">
        <v>154272059</v>
      </c>
      <c r="D6" s="399">
        <v>7379891</v>
      </c>
      <c r="E6" s="399">
        <v>11075756</v>
      </c>
      <c r="F6" s="399">
        <v>93409860</v>
      </c>
      <c r="G6" s="399">
        <v>2784925</v>
      </c>
      <c r="H6" s="399">
        <v>4702267</v>
      </c>
      <c r="I6" s="399">
        <v>2033753007</v>
      </c>
      <c r="J6" s="400">
        <f>SUM(B6:I6)</f>
        <v>2344564013</v>
      </c>
    </row>
    <row r="7" spans="1:10" ht="21" customHeight="1">
      <c r="A7" s="401" t="s">
        <v>189</v>
      </c>
      <c r="B7" s="402">
        <v>55209512</v>
      </c>
      <c r="C7" s="403">
        <v>203747213</v>
      </c>
      <c r="D7" s="403">
        <v>59141334</v>
      </c>
      <c r="E7" s="403">
        <v>335506909</v>
      </c>
      <c r="F7" s="403">
        <v>250109921</v>
      </c>
      <c r="G7" s="403">
        <v>201680823</v>
      </c>
      <c r="H7" s="403">
        <v>126929090</v>
      </c>
      <c r="I7" s="403">
        <v>1270289819</v>
      </c>
      <c r="J7" s="404">
        <f>SUM(B7:I7)</f>
        <v>2502614621</v>
      </c>
    </row>
    <row r="8" spans="1:10" ht="21" customHeight="1">
      <c r="A8" s="405" t="s">
        <v>190</v>
      </c>
      <c r="B8" s="406">
        <f aca="true" t="shared" si="0" ref="B8:J8">B6-B7</f>
        <v>-18023264</v>
      </c>
      <c r="C8" s="406">
        <f t="shared" si="0"/>
        <v>-49475154</v>
      </c>
      <c r="D8" s="406">
        <f t="shared" si="0"/>
        <v>-51761443</v>
      </c>
      <c r="E8" s="406">
        <f t="shared" si="0"/>
        <v>-324431153</v>
      </c>
      <c r="F8" s="406">
        <f t="shared" si="0"/>
        <v>-156700061</v>
      </c>
      <c r="G8" s="406">
        <f t="shared" si="0"/>
        <v>-198895898</v>
      </c>
      <c r="H8" s="406">
        <f t="shared" si="0"/>
        <v>-122226823</v>
      </c>
      <c r="I8" s="406">
        <f t="shared" si="0"/>
        <v>763463188</v>
      </c>
      <c r="J8" s="406">
        <f t="shared" si="0"/>
        <v>-158050608</v>
      </c>
    </row>
    <row r="9" spans="1:10" ht="21" customHeight="1">
      <c r="A9" s="401" t="s">
        <v>191</v>
      </c>
      <c r="B9" s="402">
        <v>46513699</v>
      </c>
      <c r="C9" s="403">
        <v>62787944</v>
      </c>
      <c r="D9" s="403">
        <v>59952164</v>
      </c>
      <c r="E9" s="403">
        <v>328449325</v>
      </c>
      <c r="F9" s="403">
        <v>177152431</v>
      </c>
      <c r="G9" s="403">
        <v>210374047</v>
      </c>
      <c r="H9" s="403">
        <v>128484722</v>
      </c>
      <c r="I9" s="403">
        <v>1428025434</v>
      </c>
      <c r="J9" s="404">
        <f aca="true" t="shared" si="1" ref="J9:J24">SUM(B9:I9)</f>
        <v>2441739766</v>
      </c>
    </row>
    <row r="10" spans="1:10" ht="21" customHeight="1">
      <c r="A10" s="401" t="s">
        <v>192</v>
      </c>
      <c r="B10" s="402"/>
      <c r="C10" s="407"/>
      <c r="D10" s="407"/>
      <c r="E10" s="407"/>
      <c r="F10" s="407"/>
      <c r="G10" s="407"/>
      <c r="H10" s="407"/>
      <c r="I10" s="403">
        <v>973172633</v>
      </c>
      <c r="J10" s="404">
        <f t="shared" si="1"/>
        <v>973172633</v>
      </c>
    </row>
    <row r="11" spans="1:10" ht="21" customHeight="1">
      <c r="A11" s="405" t="s">
        <v>193</v>
      </c>
      <c r="B11" s="406">
        <f aca="true" t="shared" si="2" ref="B11:I11">B9-B10</f>
        <v>46513699</v>
      </c>
      <c r="C11" s="406">
        <f t="shared" si="2"/>
        <v>62787944</v>
      </c>
      <c r="D11" s="406">
        <f t="shared" si="2"/>
        <v>59952164</v>
      </c>
      <c r="E11" s="406">
        <f t="shared" si="2"/>
        <v>328449325</v>
      </c>
      <c r="F11" s="406">
        <f t="shared" si="2"/>
        <v>177152431</v>
      </c>
      <c r="G11" s="406">
        <f t="shared" si="2"/>
        <v>210374047</v>
      </c>
      <c r="H11" s="406">
        <f t="shared" si="2"/>
        <v>128484722</v>
      </c>
      <c r="I11" s="406">
        <f t="shared" si="2"/>
        <v>454852801</v>
      </c>
      <c r="J11" s="404">
        <f t="shared" si="1"/>
        <v>1468567133</v>
      </c>
    </row>
    <row r="12" spans="1:10" ht="21" customHeight="1">
      <c r="A12" s="405" t="s">
        <v>194</v>
      </c>
      <c r="B12" s="406">
        <f aca="true" t="shared" si="3" ref="B12:I12">B8+B11</f>
        <v>28490435</v>
      </c>
      <c r="C12" s="406">
        <f t="shared" si="3"/>
        <v>13312790</v>
      </c>
      <c r="D12" s="406">
        <f t="shared" si="3"/>
        <v>8190721</v>
      </c>
      <c r="E12" s="406">
        <f t="shared" si="3"/>
        <v>4018172</v>
      </c>
      <c r="F12" s="406">
        <f t="shared" si="3"/>
        <v>20452370</v>
      </c>
      <c r="G12" s="406">
        <f t="shared" si="3"/>
        <v>11478149</v>
      </c>
      <c r="H12" s="406">
        <f t="shared" si="3"/>
        <v>6257899</v>
      </c>
      <c r="I12" s="406">
        <f t="shared" si="3"/>
        <v>1218315989</v>
      </c>
      <c r="J12" s="404">
        <f t="shared" si="1"/>
        <v>1310516525</v>
      </c>
    </row>
    <row r="13" spans="1:10" ht="21" customHeight="1">
      <c r="A13" s="401" t="s">
        <v>195</v>
      </c>
      <c r="B13" s="402">
        <v>0</v>
      </c>
      <c r="C13" s="408"/>
      <c r="D13" s="408"/>
      <c r="E13" s="403"/>
      <c r="F13" s="403"/>
      <c r="G13" s="403"/>
      <c r="H13" s="403"/>
      <c r="I13" s="403"/>
      <c r="J13" s="404">
        <f t="shared" si="1"/>
        <v>0</v>
      </c>
    </row>
    <row r="14" spans="1:10" ht="21" customHeight="1">
      <c r="A14" s="401" t="s">
        <v>196</v>
      </c>
      <c r="B14" s="402">
        <v>0</v>
      </c>
      <c r="C14" s="409"/>
      <c r="D14" s="409"/>
      <c r="E14" s="409"/>
      <c r="F14" s="409"/>
      <c r="G14" s="409"/>
      <c r="H14" s="409"/>
      <c r="I14" s="403"/>
      <c r="J14" s="404">
        <f t="shared" si="1"/>
        <v>0</v>
      </c>
    </row>
    <row r="15" spans="1:10" ht="21" customHeight="1">
      <c r="A15" s="405" t="s">
        <v>197</v>
      </c>
      <c r="B15" s="406">
        <f aca="true" t="shared" si="4" ref="B15:I15">B13-B14</f>
        <v>0</v>
      </c>
      <c r="C15" s="406">
        <f t="shared" si="4"/>
        <v>0</v>
      </c>
      <c r="D15" s="406">
        <f t="shared" si="4"/>
        <v>0</v>
      </c>
      <c r="E15" s="406">
        <f t="shared" si="4"/>
        <v>0</v>
      </c>
      <c r="F15" s="406">
        <f t="shared" si="4"/>
        <v>0</v>
      </c>
      <c r="G15" s="406">
        <f t="shared" si="4"/>
        <v>0</v>
      </c>
      <c r="H15" s="406">
        <f t="shared" si="4"/>
        <v>0</v>
      </c>
      <c r="I15" s="406">
        <f t="shared" si="4"/>
        <v>0</v>
      </c>
      <c r="J15" s="404">
        <f t="shared" si="1"/>
        <v>0</v>
      </c>
    </row>
    <row r="16" spans="1:10" ht="21" customHeight="1">
      <c r="A16" s="401" t="s">
        <v>198</v>
      </c>
      <c r="B16" s="402">
        <v>0</v>
      </c>
      <c r="C16" s="403"/>
      <c r="D16" s="403"/>
      <c r="E16" s="403"/>
      <c r="F16" s="403"/>
      <c r="G16" s="403"/>
      <c r="H16" s="403"/>
      <c r="I16" s="403"/>
      <c r="J16" s="404">
        <f t="shared" si="1"/>
        <v>0</v>
      </c>
    </row>
    <row r="17" spans="1:10" ht="21" customHeight="1">
      <c r="A17" s="401" t="s">
        <v>199</v>
      </c>
      <c r="B17" s="402">
        <v>0</v>
      </c>
      <c r="C17" s="403"/>
      <c r="D17" s="403"/>
      <c r="E17" s="403"/>
      <c r="F17" s="403"/>
      <c r="G17" s="403"/>
      <c r="H17" s="403"/>
      <c r="I17" s="403"/>
      <c r="J17" s="404">
        <f t="shared" si="1"/>
        <v>0</v>
      </c>
    </row>
    <row r="18" spans="1:10" ht="21" customHeight="1">
      <c r="A18" s="405" t="s">
        <v>200</v>
      </c>
      <c r="B18" s="406">
        <f aca="true" t="shared" si="5" ref="B18:I18">B16-B17</f>
        <v>0</v>
      </c>
      <c r="C18" s="406">
        <f t="shared" si="5"/>
        <v>0</v>
      </c>
      <c r="D18" s="406">
        <f t="shared" si="5"/>
        <v>0</v>
      </c>
      <c r="E18" s="406">
        <f t="shared" si="5"/>
        <v>0</v>
      </c>
      <c r="F18" s="406">
        <f t="shared" si="5"/>
        <v>0</v>
      </c>
      <c r="G18" s="406">
        <f t="shared" si="5"/>
        <v>0</v>
      </c>
      <c r="H18" s="406">
        <f t="shared" si="5"/>
        <v>0</v>
      </c>
      <c r="I18" s="406">
        <f t="shared" si="5"/>
        <v>0</v>
      </c>
      <c r="J18" s="404">
        <f t="shared" si="1"/>
        <v>0</v>
      </c>
    </row>
    <row r="19" spans="1:10" ht="21" customHeight="1">
      <c r="A19" s="405" t="s">
        <v>201</v>
      </c>
      <c r="B19" s="406">
        <f aca="true" t="shared" si="6" ref="B19:I19">B15+B18</f>
        <v>0</v>
      </c>
      <c r="C19" s="406">
        <f t="shared" si="6"/>
        <v>0</v>
      </c>
      <c r="D19" s="406">
        <f t="shared" si="6"/>
        <v>0</v>
      </c>
      <c r="E19" s="406">
        <f t="shared" si="6"/>
        <v>0</v>
      </c>
      <c r="F19" s="406">
        <f t="shared" si="6"/>
        <v>0</v>
      </c>
      <c r="G19" s="406">
        <f t="shared" si="6"/>
        <v>0</v>
      </c>
      <c r="H19" s="406">
        <f t="shared" si="6"/>
        <v>0</v>
      </c>
      <c r="I19" s="406">
        <f t="shared" si="6"/>
        <v>0</v>
      </c>
      <c r="J19" s="404">
        <f t="shared" si="1"/>
        <v>0</v>
      </c>
    </row>
    <row r="20" spans="1:10" ht="25.5" customHeight="1">
      <c r="A20" s="405" t="s">
        <v>202</v>
      </c>
      <c r="B20" s="406">
        <f aca="true" t="shared" si="7" ref="B20:I20">B19+B12</f>
        <v>28490435</v>
      </c>
      <c r="C20" s="406">
        <f t="shared" si="7"/>
        <v>13312790</v>
      </c>
      <c r="D20" s="406">
        <f t="shared" si="7"/>
        <v>8190721</v>
      </c>
      <c r="E20" s="406">
        <f t="shared" si="7"/>
        <v>4018172</v>
      </c>
      <c r="F20" s="406">
        <f t="shared" si="7"/>
        <v>20452370</v>
      </c>
      <c r="G20" s="406">
        <f t="shared" si="7"/>
        <v>11478149</v>
      </c>
      <c r="H20" s="406">
        <f t="shared" si="7"/>
        <v>6257899</v>
      </c>
      <c r="I20" s="406">
        <f t="shared" si="7"/>
        <v>1218315989</v>
      </c>
      <c r="J20" s="404">
        <f t="shared" si="1"/>
        <v>1310516525</v>
      </c>
    </row>
    <row r="21" spans="1:10" s="410" customFormat="1" ht="26.25" customHeight="1">
      <c r="A21" s="405" t="s">
        <v>203</v>
      </c>
      <c r="B21" s="406">
        <v>25315576</v>
      </c>
      <c r="C21" s="409">
        <v>13131114</v>
      </c>
      <c r="D21" s="409">
        <v>2500000</v>
      </c>
      <c r="E21" s="409">
        <v>178958</v>
      </c>
      <c r="F21" s="409">
        <v>5506240</v>
      </c>
      <c r="G21" s="409">
        <v>89879</v>
      </c>
      <c r="H21" s="409">
        <v>665170</v>
      </c>
      <c r="I21" s="409">
        <v>951369910</v>
      </c>
      <c r="J21" s="404">
        <f t="shared" si="1"/>
        <v>998756847</v>
      </c>
    </row>
    <row r="22" spans="1:10" ht="21" customHeight="1">
      <c r="A22" s="405" t="s">
        <v>204</v>
      </c>
      <c r="B22" s="406">
        <f aca="true" t="shared" si="8" ref="B22:I22">B12-B21</f>
        <v>3174859</v>
      </c>
      <c r="C22" s="406">
        <f t="shared" si="8"/>
        <v>181676</v>
      </c>
      <c r="D22" s="406">
        <f t="shared" si="8"/>
        <v>5690721</v>
      </c>
      <c r="E22" s="406">
        <f t="shared" si="8"/>
        <v>3839214</v>
      </c>
      <c r="F22" s="406">
        <f t="shared" si="8"/>
        <v>14946130</v>
      </c>
      <c r="G22" s="406">
        <f t="shared" si="8"/>
        <v>11388270</v>
      </c>
      <c r="H22" s="406">
        <f t="shared" si="8"/>
        <v>5592729</v>
      </c>
      <c r="I22" s="406">
        <f t="shared" si="8"/>
        <v>266946079</v>
      </c>
      <c r="J22" s="404">
        <f t="shared" si="1"/>
        <v>311759678</v>
      </c>
    </row>
    <row r="23" spans="1:10" ht="30.75" customHeight="1">
      <c r="A23" s="405" t="s">
        <v>205</v>
      </c>
      <c r="B23" s="406">
        <v>0</v>
      </c>
      <c r="C23" s="406">
        <v>0</v>
      </c>
      <c r="D23" s="406">
        <v>0</v>
      </c>
      <c r="E23" s="406">
        <v>0</v>
      </c>
      <c r="F23" s="406">
        <v>0</v>
      </c>
      <c r="G23" s="406">
        <v>0</v>
      </c>
      <c r="H23" s="406">
        <v>0</v>
      </c>
      <c r="I23" s="406">
        <v>0</v>
      </c>
      <c r="J23" s="404">
        <f t="shared" si="1"/>
        <v>0</v>
      </c>
    </row>
    <row r="24" spans="1:10" ht="29.25" customHeight="1" thickBot="1">
      <c r="A24" s="411" t="s">
        <v>206</v>
      </c>
      <c r="B24" s="412">
        <v>0</v>
      </c>
      <c r="C24" s="412">
        <v>0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12">
        <v>0</v>
      </c>
      <c r="J24" s="413">
        <f t="shared" si="1"/>
        <v>0</v>
      </c>
    </row>
  </sheetData>
  <sheetProtection/>
  <mergeCells count="3">
    <mergeCell ref="A1:I1"/>
    <mergeCell ref="A3:J3"/>
    <mergeCell ref="A4:J4"/>
  </mergeCells>
  <printOptions/>
  <pageMargins left="0.7874015748031497" right="0.7874015748031497" top="0.61" bottom="0.4" header="0.5118110236220472" footer="0.2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415" customWidth="1"/>
    <col min="2" max="2" width="64.125" style="452" customWidth="1"/>
    <col min="3" max="3" width="18.625" style="417" customWidth="1"/>
    <col min="4" max="4" width="22.75390625" style="415" customWidth="1"/>
    <col min="5" max="5" width="17.625" style="415" customWidth="1"/>
    <col min="6" max="16384" width="9.125" style="415" customWidth="1"/>
  </cols>
  <sheetData>
    <row r="1" spans="1:3" ht="13.5">
      <c r="A1" s="414"/>
      <c r="B1" s="414" t="s">
        <v>583</v>
      </c>
      <c r="C1" s="414"/>
    </row>
    <row r="2" ht="6" customHeight="1">
      <c r="B2" s="416"/>
    </row>
    <row r="3" spans="1:5" ht="13.5">
      <c r="A3" s="698" t="s">
        <v>207</v>
      </c>
      <c r="B3" s="698"/>
      <c r="C3" s="698"/>
      <c r="D3" s="698"/>
      <c r="E3" s="698"/>
    </row>
    <row r="4" spans="1:5" ht="13.5">
      <c r="A4" s="698" t="s">
        <v>326</v>
      </c>
      <c r="B4" s="698"/>
      <c r="C4" s="698"/>
      <c r="D4" s="698"/>
      <c r="E4" s="698"/>
    </row>
    <row r="5" spans="1:5" s="419" customFormat="1" ht="40.5">
      <c r="A5" s="418" t="s">
        <v>1</v>
      </c>
      <c r="B5" s="628" t="s">
        <v>515</v>
      </c>
      <c r="C5" s="626" t="s">
        <v>513</v>
      </c>
      <c r="D5" s="627" t="s">
        <v>514</v>
      </c>
      <c r="E5" s="627" t="s">
        <v>208</v>
      </c>
    </row>
    <row r="6" spans="2:6" s="420" customFormat="1" ht="13.5">
      <c r="B6" s="421" t="s">
        <v>209</v>
      </c>
      <c r="C6" s="422">
        <f>SUM(C7:C21)</f>
        <v>951369910</v>
      </c>
      <c r="D6" s="422">
        <f>SUM(D7:D21)</f>
        <v>0</v>
      </c>
      <c r="E6" s="422">
        <f>SUM(E7:E21)</f>
        <v>951369910</v>
      </c>
      <c r="F6" s="423"/>
    </row>
    <row r="7" spans="2:5" s="420" customFormat="1" ht="12.75">
      <c r="B7" s="424" t="s">
        <v>555</v>
      </c>
      <c r="C7" s="425">
        <v>29943218</v>
      </c>
      <c r="D7" s="425"/>
      <c r="E7" s="425">
        <f aca="true" t="shared" si="0" ref="E7:E21">SUM(C7:D7)</f>
        <v>29943218</v>
      </c>
    </row>
    <row r="8" spans="2:5" s="420" customFormat="1" ht="12.75">
      <c r="B8" s="424" t="s">
        <v>558</v>
      </c>
      <c r="C8" s="426">
        <v>1021509</v>
      </c>
      <c r="D8" s="427"/>
      <c r="E8" s="425">
        <f t="shared" si="0"/>
        <v>1021509</v>
      </c>
    </row>
    <row r="9" spans="2:6" s="420" customFormat="1" ht="12.75">
      <c r="B9" s="424" t="s">
        <v>560</v>
      </c>
      <c r="C9" s="426">
        <f>40001704-2275250</f>
        <v>37726454</v>
      </c>
      <c r="D9" s="427"/>
      <c r="E9" s="425">
        <f t="shared" si="0"/>
        <v>37726454</v>
      </c>
      <c r="F9" s="423"/>
    </row>
    <row r="10" spans="2:5" s="420" customFormat="1" ht="12.75">
      <c r="B10" s="424" t="s">
        <v>503</v>
      </c>
      <c r="C10" s="426">
        <v>44077146</v>
      </c>
      <c r="D10" s="427"/>
      <c r="E10" s="425">
        <f t="shared" si="0"/>
        <v>44077146</v>
      </c>
    </row>
    <row r="11" spans="2:5" s="428" customFormat="1" ht="12.75">
      <c r="B11" s="424" t="s">
        <v>333</v>
      </c>
      <c r="C11" s="478">
        <f>3232698+261095887+4198500</f>
        <v>268527085</v>
      </c>
      <c r="D11" s="430"/>
      <c r="E11" s="425">
        <f t="shared" si="0"/>
        <v>268527085</v>
      </c>
    </row>
    <row r="12" spans="2:5" s="420" customFormat="1" ht="12.75">
      <c r="B12" s="424" t="s">
        <v>334</v>
      </c>
      <c r="C12" s="426">
        <f>1502000+90333856</f>
        <v>91835856</v>
      </c>
      <c r="D12" s="425">
        <v>0</v>
      </c>
      <c r="E12" s="425">
        <f t="shared" si="0"/>
        <v>91835856</v>
      </c>
    </row>
    <row r="13" spans="2:5" s="420" customFormat="1" ht="12.75">
      <c r="B13" s="424" t="s">
        <v>335</v>
      </c>
      <c r="C13" s="426">
        <f>91458525+169113881+24999500+18128293</f>
        <v>303700199</v>
      </c>
      <c r="D13" s="427"/>
      <c r="E13" s="425">
        <f t="shared" si="0"/>
        <v>303700199</v>
      </c>
    </row>
    <row r="14" spans="2:6" s="420" customFormat="1" ht="12.75">
      <c r="B14" s="424" t="s">
        <v>336</v>
      </c>
      <c r="C14" s="426">
        <f>2247900+227848</f>
        <v>2475748</v>
      </c>
      <c r="D14" s="427"/>
      <c r="E14" s="425">
        <f t="shared" si="0"/>
        <v>2475748</v>
      </c>
      <c r="F14" s="423"/>
    </row>
    <row r="15" spans="2:5" s="420" customFormat="1" ht="12.75">
      <c r="B15" s="424" t="s">
        <v>337</v>
      </c>
      <c r="C15" s="426">
        <v>91775543</v>
      </c>
      <c r="D15" s="427"/>
      <c r="E15" s="425">
        <f t="shared" si="0"/>
        <v>91775543</v>
      </c>
    </row>
    <row r="16" spans="2:5" s="420" customFormat="1" ht="12.75">
      <c r="B16" s="424" t="s">
        <v>338</v>
      </c>
      <c r="C16" s="426">
        <f>100000+37166272</f>
        <v>37266272</v>
      </c>
      <c r="D16" s="427"/>
      <c r="E16" s="425">
        <f t="shared" si="0"/>
        <v>37266272</v>
      </c>
    </row>
    <row r="17" spans="2:5" s="428" customFormat="1" ht="12.75">
      <c r="B17" s="424" t="s">
        <v>339</v>
      </c>
      <c r="C17" s="478">
        <f>388541</f>
        <v>388541</v>
      </c>
      <c r="D17" s="430"/>
      <c r="E17" s="425">
        <f t="shared" si="0"/>
        <v>388541</v>
      </c>
    </row>
    <row r="18" spans="2:5" s="420" customFormat="1" ht="12.75">
      <c r="B18" s="424" t="s">
        <v>340</v>
      </c>
      <c r="C18" s="426">
        <f>622300+4867615</f>
        <v>5489915</v>
      </c>
      <c r="D18" s="425">
        <v>0</v>
      </c>
      <c r="E18" s="425">
        <f t="shared" si="0"/>
        <v>5489915</v>
      </c>
    </row>
    <row r="19" spans="2:5" s="420" customFormat="1" ht="12.75">
      <c r="B19" s="424" t="s">
        <v>557</v>
      </c>
      <c r="C19" s="426">
        <v>1470000</v>
      </c>
      <c r="D19" s="425">
        <v>0</v>
      </c>
      <c r="E19" s="425">
        <f t="shared" si="0"/>
        <v>1470000</v>
      </c>
    </row>
    <row r="20" spans="2:5" s="420" customFormat="1" ht="12.75">
      <c r="B20" s="424" t="s">
        <v>341</v>
      </c>
      <c r="C20" s="425">
        <v>35672424</v>
      </c>
      <c r="D20" s="425"/>
      <c r="E20" s="425">
        <f t="shared" si="0"/>
        <v>35672424</v>
      </c>
    </row>
    <row r="21" spans="2:5" s="420" customFormat="1" ht="12.75">
      <c r="B21" s="424"/>
      <c r="C21" s="425"/>
      <c r="D21" s="425"/>
      <c r="E21" s="425">
        <f t="shared" si="0"/>
        <v>0</v>
      </c>
    </row>
    <row r="22" spans="2:6" s="420" customFormat="1" ht="13.5">
      <c r="B22" s="421" t="s">
        <v>210</v>
      </c>
      <c r="C22" s="422">
        <f>SUM(C23:C33)</f>
        <v>246493502</v>
      </c>
      <c r="D22" s="422">
        <f>SUM(D23:D33)</f>
        <v>20452577</v>
      </c>
      <c r="E22" s="422">
        <f>SUM(E23:E33)</f>
        <v>266946079</v>
      </c>
      <c r="F22" s="423"/>
    </row>
    <row r="23" spans="2:5" s="420" customFormat="1" ht="14.25" customHeight="1">
      <c r="B23" s="424" t="s">
        <v>561</v>
      </c>
      <c r="C23" s="425">
        <f>192535404+1000000</f>
        <v>193535404</v>
      </c>
      <c r="E23" s="425">
        <f aca="true" t="shared" si="1" ref="E23:E33">SUM(C23:D23)</f>
        <v>193535404</v>
      </c>
    </row>
    <row r="24" spans="2:5" s="420" customFormat="1" ht="12.75">
      <c r="B24" s="424" t="s">
        <v>556</v>
      </c>
      <c r="C24" s="425">
        <v>44657535</v>
      </c>
      <c r="D24" s="425"/>
      <c r="E24" s="425">
        <f t="shared" si="1"/>
        <v>44657535</v>
      </c>
    </row>
    <row r="25" spans="2:5" s="420" customFormat="1" ht="12.75">
      <c r="B25" s="424" t="s">
        <v>559</v>
      </c>
      <c r="C25" s="425">
        <v>6025313</v>
      </c>
      <c r="D25" s="425"/>
      <c r="E25" s="425">
        <f t="shared" si="1"/>
        <v>6025313</v>
      </c>
    </row>
    <row r="26" spans="2:5" s="420" customFormat="1" ht="12.75">
      <c r="B26" s="424" t="s">
        <v>560</v>
      </c>
      <c r="C26" s="425">
        <v>2275250</v>
      </c>
      <c r="D26" s="425"/>
      <c r="E26" s="425">
        <f t="shared" si="1"/>
        <v>2275250</v>
      </c>
    </row>
    <row r="27" spans="2:5" s="420" customFormat="1" ht="12.75">
      <c r="B27" s="424" t="s">
        <v>565</v>
      </c>
      <c r="C27" s="425"/>
      <c r="D27" s="425">
        <v>6612000</v>
      </c>
      <c r="E27" s="425">
        <f t="shared" si="1"/>
        <v>6612000</v>
      </c>
    </row>
    <row r="28" spans="2:5" s="420" customFormat="1" ht="12.75">
      <c r="B28" s="424" t="s">
        <v>345</v>
      </c>
      <c r="C28" s="425"/>
      <c r="D28" s="425">
        <v>10000000</v>
      </c>
      <c r="E28" s="425">
        <f t="shared" si="1"/>
        <v>10000000</v>
      </c>
    </row>
    <row r="29" spans="2:5" s="420" customFormat="1" ht="12.75">
      <c r="B29" s="424" t="s">
        <v>562</v>
      </c>
      <c r="C29" s="425"/>
      <c r="D29" s="425">
        <v>571500</v>
      </c>
      <c r="E29" s="425">
        <f t="shared" si="1"/>
        <v>571500</v>
      </c>
    </row>
    <row r="30" spans="2:5" s="420" customFormat="1" ht="12.75">
      <c r="B30" s="424" t="s">
        <v>563</v>
      </c>
      <c r="C30" s="425"/>
      <c r="D30" s="425">
        <v>3000000</v>
      </c>
      <c r="E30" s="425">
        <f t="shared" si="1"/>
        <v>3000000</v>
      </c>
    </row>
    <row r="31" spans="2:5" s="420" customFormat="1" ht="12.75">
      <c r="B31" s="424" t="s">
        <v>564</v>
      </c>
      <c r="C31" s="425"/>
      <c r="D31" s="425">
        <v>269077</v>
      </c>
      <c r="E31" s="425">
        <f t="shared" si="1"/>
        <v>269077</v>
      </c>
    </row>
    <row r="32" spans="2:5" s="420" customFormat="1" ht="12.75">
      <c r="B32" s="424"/>
      <c r="C32" s="426"/>
      <c r="D32" s="425"/>
      <c r="E32" s="425">
        <f t="shared" si="1"/>
        <v>0</v>
      </c>
    </row>
    <row r="33" spans="2:5" s="428" customFormat="1" ht="12.75">
      <c r="B33" s="424"/>
      <c r="C33" s="429"/>
      <c r="D33" s="430"/>
      <c r="E33" s="425">
        <f t="shared" si="1"/>
        <v>0</v>
      </c>
    </row>
    <row r="34" spans="2:6" s="431" customFormat="1" ht="12.75">
      <c r="B34" s="432" t="s">
        <v>211</v>
      </c>
      <c r="C34" s="433">
        <f>C22+C6</f>
        <v>1197863412</v>
      </c>
      <c r="D34" s="433">
        <f>D22+D6</f>
        <v>20452577</v>
      </c>
      <c r="E34" s="433">
        <f>E22+E6</f>
        <v>1218315989</v>
      </c>
      <c r="F34" s="434"/>
    </row>
    <row r="35" spans="2:6" s="431" customFormat="1" ht="12.75">
      <c r="B35" s="485"/>
      <c r="C35" s="486"/>
      <c r="D35" s="486"/>
      <c r="E35" s="486"/>
      <c r="F35" s="434"/>
    </row>
    <row r="36" spans="2:3" s="435" customFormat="1" ht="13.5">
      <c r="B36" s="436"/>
      <c r="C36" s="437"/>
    </row>
    <row r="37" spans="1:5" s="419" customFormat="1" ht="40.5">
      <c r="A37" s="418" t="s">
        <v>2</v>
      </c>
      <c r="B37" s="628" t="s">
        <v>516</v>
      </c>
      <c r="C37" s="626" t="s">
        <v>513</v>
      </c>
      <c r="D37" s="627" t="s">
        <v>514</v>
      </c>
      <c r="E37" s="627" t="s">
        <v>208</v>
      </c>
    </row>
    <row r="38" spans="2:6" s="420" customFormat="1" ht="13.5">
      <c r="B38" s="421" t="s">
        <v>209</v>
      </c>
      <c r="C38" s="422">
        <f>C40+C39</f>
        <v>0</v>
      </c>
      <c r="D38" s="422">
        <f>D40+D39</f>
        <v>178958</v>
      </c>
      <c r="E38" s="422">
        <f>E40+E39</f>
        <v>178958</v>
      </c>
      <c r="F38" s="423"/>
    </row>
    <row r="39" spans="2:5" s="420" customFormat="1" ht="18" customHeight="1">
      <c r="B39" s="479"/>
      <c r="C39" s="426"/>
      <c r="D39" s="425">
        <v>0</v>
      </c>
      <c r="E39" s="425">
        <f>SUM(C39:D39)</f>
        <v>0</v>
      </c>
    </row>
    <row r="40" spans="2:5" s="420" customFormat="1" ht="18" customHeight="1">
      <c r="B40" s="424" t="s">
        <v>342</v>
      </c>
      <c r="C40" s="426"/>
      <c r="D40" s="425">
        <v>178958</v>
      </c>
      <c r="E40" s="425">
        <f>SUM(C40:D40)</f>
        <v>178958</v>
      </c>
    </row>
    <row r="41" spans="2:6" s="420" customFormat="1" ht="13.5">
      <c r="B41" s="421" t="s">
        <v>210</v>
      </c>
      <c r="C41" s="422">
        <f>SUM(C42:C48)</f>
        <v>0</v>
      </c>
      <c r="D41" s="422">
        <f>SUM(D42:D48)</f>
        <v>3839214</v>
      </c>
      <c r="E41" s="422">
        <f>SUM(E42:E48)</f>
        <v>3839214</v>
      </c>
      <c r="F41" s="423"/>
    </row>
    <row r="42" spans="2:5" s="420" customFormat="1" ht="25.5">
      <c r="B42" s="438" t="s">
        <v>546</v>
      </c>
      <c r="C42" s="425"/>
      <c r="D42" s="425">
        <v>700000</v>
      </c>
      <c r="E42" s="425">
        <f aca="true" t="shared" si="2" ref="E42:E48">SUM(C42:D42)</f>
        <v>700000</v>
      </c>
    </row>
    <row r="43" spans="2:5" s="420" customFormat="1" ht="12.75">
      <c r="B43" s="438" t="s">
        <v>531</v>
      </c>
      <c r="C43" s="425"/>
      <c r="D43" s="425">
        <v>977214</v>
      </c>
      <c r="E43" s="425">
        <f t="shared" si="2"/>
        <v>977214</v>
      </c>
    </row>
    <row r="44" spans="2:5" s="420" customFormat="1" ht="12.75">
      <c r="B44" s="438" t="s">
        <v>545</v>
      </c>
      <c r="C44" s="425"/>
      <c r="D44" s="425">
        <v>1077214</v>
      </c>
      <c r="E44" s="425">
        <f t="shared" si="2"/>
        <v>1077214</v>
      </c>
    </row>
    <row r="45" spans="2:5" s="420" customFormat="1" ht="12.75">
      <c r="B45" s="438" t="s">
        <v>547</v>
      </c>
      <c r="C45" s="425"/>
      <c r="D45" s="425">
        <v>1000000</v>
      </c>
      <c r="E45" s="425">
        <f t="shared" si="2"/>
        <v>1000000</v>
      </c>
    </row>
    <row r="46" spans="2:5" s="420" customFormat="1" ht="12.75">
      <c r="B46" s="438" t="s">
        <v>541</v>
      </c>
      <c r="C46" s="425"/>
      <c r="D46" s="425">
        <v>84786</v>
      </c>
      <c r="E46" s="425">
        <f t="shared" si="2"/>
        <v>84786</v>
      </c>
    </row>
    <row r="47" spans="2:5" s="420" customFormat="1" ht="12.75">
      <c r="B47" s="438" t="s">
        <v>543</v>
      </c>
      <c r="C47" s="425"/>
      <c r="D47" s="425">
        <v>0</v>
      </c>
      <c r="E47" s="425">
        <f t="shared" si="2"/>
        <v>0</v>
      </c>
    </row>
    <row r="48" spans="2:5" s="420" customFormat="1" ht="12.75">
      <c r="B48" s="439"/>
      <c r="C48" s="425"/>
      <c r="D48" s="425"/>
      <c r="E48" s="425">
        <f t="shared" si="2"/>
        <v>0</v>
      </c>
    </row>
    <row r="49" spans="2:6" s="431" customFormat="1" ht="12.75">
      <c r="B49" s="432" t="s">
        <v>211</v>
      </c>
      <c r="C49" s="433">
        <f>C41+C38</f>
        <v>0</v>
      </c>
      <c r="D49" s="433">
        <f>D41+D38</f>
        <v>4018172</v>
      </c>
      <c r="E49" s="433">
        <f>E41+E38</f>
        <v>4018172</v>
      </c>
      <c r="F49" s="434"/>
    </row>
    <row r="50" spans="3:4" s="431" customFormat="1" ht="12.75">
      <c r="C50" s="440"/>
      <c r="D50" s="441"/>
    </row>
    <row r="51" spans="1:5" s="419" customFormat="1" ht="40.5">
      <c r="A51" s="418" t="s">
        <v>10</v>
      </c>
      <c r="B51" s="625" t="s">
        <v>517</v>
      </c>
      <c r="C51" s="626" t="s">
        <v>513</v>
      </c>
      <c r="D51" s="627" t="s">
        <v>514</v>
      </c>
      <c r="E51" s="627" t="s">
        <v>208</v>
      </c>
    </row>
    <row r="52" spans="2:6" s="420" customFormat="1" ht="13.5">
      <c r="B52" s="421" t="s">
        <v>209</v>
      </c>
      <c r="C52" s="422">
        <f>C53+C54+C55</f>
        <v>25315576</v>
      </c>
      <c r="D52" s="422">
        <f>D53+D54+D55</f>
        <v>0</v>
      </c>
      <c r="E52" s="422">
        <f>E53+E54+E55</f>
        <v>25315576</v>
      </c>
      <c r="F52" s="423"/>
    </row>
    <row r="53" spans="2:5" s="420" customFormat="1" ht="12.75">
      <c r="B53" s="424" t="s">
        <v>342</v>
      </c>
      <c r="C53" s="426"/>
      <c r="D53" s="425"/>
      <c r="E53" s="425">
        <f>SUM(C53:D53)</f>
        <v>0</v>
      </c>
    </row>
    <row r="54" spans="2:5" s="420" customFormat="1" ht="12.75">
      <c r="B54" s="424" t="s">
        <v>530</v>
      </c>
      <c r="C54" s="426">
        <v>25315576</v>
      </c>
      <c r="D54" s="425"/>
      <c r="E54" s="425">
        <f>SUM(C54:D54)</f>
        <v>25315576</v>
      </c>
    </row>
    <row r="55" spans="2:5" s="420" customFormat="1" ht="12.75">
      <c r="B55" s="424"/>
      <c r="C55" s="426"/>
      <c r="D55" s="425"/>
      <c r="E55" s="425">
        <f>SUM(C55:D55)</f>
        <v>0</v>
      </c>
    </row>
    <row r="56" spans="2:6" s="420" customFormat="1" ht="13.5">
      <c r="B56" s="421" t="s">
        <v>210</v>
      </c>
      <c r="C56" s="422">
        <f>SUM(C57:C61)</f>
        <v>0</v>
      </c>
      <c r="D56" s="422">
        <f>SUM(D57:D61)</f>
        <v>3174859</v>
      </c>
      <c r="E56" s="422">
        <f>SUM(E57:E61)</f>
        <v>3174859</v>
      </c>
      <c r="F56" s="423"/>
    </row>
    <row r="57" spans="2:5" s="420" customFormat="1" ht="12.75">
      <c r="B57" s="438"/>
      <c r="C57" s="426"/>
      <c r="D57" s="425"/>
      <c r="E57" s="425">
        <f>SUM(C57:D57)</f>
        <v>0</v>
      </c>
    </row>
    <row r="58" spans="2:5" s="420" customFormat="1" ht="12.75">
      <c r="B58" s="438" t="s">
        <v>544</v>
      </c>
      <c r="C58" s="425"/>
      <c r="D58" s="425">
        <v>3157305</v>
      </c>
      <c r="E58" s="425">
        <f>SUM(C58:D58)</f>
        <v>3157305</v>
      </c>
    </row>
    <row r="59" spans="2:5" s="420" customFormat="1" ht="12.75">
      <c r="B59" s="438" t="s">
        <v>541</v>
      </c>
      <c r="C59" s="425"/>
      <c r="D59" s="425">
        <v>17554</v>
      </c>
      <c r="E59" s="425">
        <f>SUM(C59:D59)</f>
        <v>17554</v>
      </c>
    </row>
    <row r="60" spans="2:5" s="420" customFormat="1" ht="12.75">
      <c r="B60" s="438" t="s">
        <v>543</v>
      </c>
      <c r="C60" s="425"/>
      <c r="D60" s="425">
        <v>0</v>
      </c>
      <c r="E60" s="425">
        <f>SUM(C60:D60)</f>
        <v>0</v>
      </c>
    </row>
    <row r="61" spans="2:5" s="420" customFormat="1" ht="12.75">
      <c r="B61" s="438"/>
      <c r="C61" s="425"/>
      <c r="D61" s="425"/>
      <c r="E61" s="425">
        <f>SUM(C61:D61)</f>
        <v>0</v>
      </c>
    </row>
    <row r="62" spans="2:6" s="431" customFormat="1" ht="12.75">
      <c r="B62" s="432" t="s">
        <v>211</v>
      </c>
      <c r="C62" s="433">
        <f>C56+C52</f>
        <v>25315576</v>
      </c>
      <c r="D62" s="433">
        <f>D56+D52</f>
        <v>3174859</v>
      </c>
      <c r="E62" s="433">
        <f>E56+E52</f>
        <v>28490435</v>
      </c>
      <c r="F62" s="434"/>
    </row>
    <row r="63" spans="2:6" s="431" customFormat="1" ht="12.75">
      <c r="B63" s="485"/>
      <c r="C63" s="486"/>
      <c r="D63" s="486"/>
      <c r="E63" s="486"/>
      <c r="F63" s="434"/>
    </row>
    <row r="64" spans="2:4" s="420" customFormat="1" ht="11.25" customHeight="1">
      <c r="B64" s="442"/>
      <c r="C64" s="443"/>
      <c r="D64" s="423"/>
    </row>
    <row r="65" spans="1:5" s="419" customFormat="1" ht="40.5">
      <c r="A65" s="418" t="s">
        <v>13</v>
      </c>
      <c r="B65" s="625" t="s">
        <v>518</v>
      </c>
      <c r="C65" s="626" t="s">
        <v>513</v>
      </c>
      <c r="D65" s="627" t="s">
        <v>514</v>
      </c>
      <c r="E65" s="627" t="s">
        <v>208</v>
      </c>
    </row>
    <row r="66" spans="2:6" s="420" customFormat="1" ht="13.5">
      <c r="B66" s="421" t="s">
        <v>209</v>
      </c>
      <c r="C66" s="422">
        <f>C70+C67+C68+C69</f>
        <v>13131114</v>
      </c>
      <c r="D66" s="422">
        <f>D70+D67+D68+D69</f>
        <v>0</v>
      </c>
      <c r="E66" s="422">
        <f>E70+E67+E68+E69</f>
        <v>13131114</v>
      </c>
      <c r="F66" s="423"/>
    </row>
    <row r="67" spans="2:5" s="420" customFormat="1" ht="12.75">
      <c r="B67" s="424" t="s">
        <v>530</v>
      </c>
      <c r="C67" s="426">
        <v>13131114</v>
      </c>
      <c r="D67" s="425"/>
      <c r="E67" s="425">
        <f>SUM(C67:D67)</f>
        <v>13131114</v>
      </c>
    </row>
    <row r="68" spans="2:5" s="420" customFormat="1" ht="12.75">
      <c r="B68" s="424" t="s">
        <v>343</v>
      </c>
      <c r="C68" s="426"/>
      <c r="D68" s="425"/>
      <c r="E68" s="425">
        <f>SUM(C68:D68)</f>
        <v>0</v>
      </c>
    </row>
    <row r="69" spans="2:5" s="420" customFormat="1" ht="12.75">
      <c r="B69" s="424" t="s">
        <v>342</v>
      </c>
      <c r="C69" s="426"/>
      <c r="D69" s="425"/>
      <c r="E69" s="425">
        <f>SUM(C69:D69)</f>
        <v>0</v>
      </c>
    </row>
    <row r="70" spans="2:5" s="420" customFormat="1" ht="12.75">
      <c r="B70" s="424" t="s">
        <v>344</v>
      </c>
      <c r="C70" s="426"/>
      <c r="D70" s="425"/>
      <c r="E70" s="425">
        <f>SUM(C70:D70)</f>
        <v>0</v>
      </c>
    </row>
    <row r="71" spans="2:6" s="420" customFormat="1" ht="13.5">
      <c r="B71" s="421" t="s">
        <v>210</v>
      </c>
      <c r="C71" s="422">
        <f>SUM(C72:C75)</f>
        <v>0</v>
      </c>
      <c r="D71" s="422">
        <f>SUM(D72:D75)</f>
        <v>181676</v>
      </c>
      <c r="E71" s="422">
        <f>SUM(E72:E75)</f>
        <v>181676</v>
      </c>
      <c r="F71" s="423"/>
    </row>
    <row r="72" spans="2:5" s="420" customFormat="1" ht="12.75">
      <c r="B72" s="424"/>
      <c r="C72" s="425"/>
      <c r="D72" s="425"/>
      <c r="E72" s="425">
        <f>SUM(C72:D72)</f>
        <v>0</v>
      </c>
    </row>
    <row r="73" spans="2:5" s="420" customFormat="1" ht="12.75">
      <c r="B73" s="438" t="s">
        <v>531</v>
      </c>
      <c r="C73" s="425"/>
      <c r="D73" s="425">
        <v>179615</v>
      </c>
      <c r="E73" s="425">
        <f>SUM(C73:D73)</f>
        <v>179615</v>
      </c>
    </row>
    <row r="74" spans="2:5" s="420" customFormat="1" ht="12.75">
      <c r="B74" s="438" t="s">
        <v>543</v>
      </c>
      <c r="C74" s="425"/>
      <c r="D74" s="425">
        <v>0</v>
      </c>
      <c r="E74" s="425">
        <f>SUM(C74:D74)</f>
        <v>0</v>
      </c>
    </row>
    <row r="75" spans="2:5" s="420" customFormat="1" ht="12.75">
      <c r="B75" s="438" t="s">
        <v>541</v>
      </c>
      <c r="C75" s="425"/>
      <c r="D75" s="425">
        <v>2061</v>
      </c>
      <c r="E75" s="425">
        <f>SUM(C75:D75)</f>
        <v>2061</v>
      </c>
    </row>
    <row r="76" spans="2:6" s="431" customFormat="1" ht="12.75">
      <c r="B76" s="432" t="s">
        <v>211</v>
      </c>
      <c r="C76" s="433">
        <f>C71+C66</f>
        <v>13131114</v>
      </c>
      <c r="D76" s="433">
        <f>D71+D66</f>
        <v>181676</v>
      </c>
      <c r="E76" s="433">
        <f>E71+E66</f>
        <v>13312790</v>
      </c>
      <c r="F76" s="434"/>
    </row>
    <row r="77" spans="2:4" s="420" customFormat="1" ht="11.25" customHeight="1">
      <c r="B77" s="442"/>
      <c r="C77" s="443"/>
      <c r="D77" s="423"/>
    </row>
    <row r="78" spans="1:5" s="419" customFormat="1" ht="40.5">
      <c r="A78" s="418" t="s">
        <v>212</v>
      </c>
      <c r="B78" s="625" t="s">
        <v>519</v>
      </c>
      <c r="C78" s="626" t="s">
        <v>513</v>
      </c>
      <c r="D78" s="627" t="s">
        <v>514</v>
      </c>
      <c r="E78" s="627" t="s">
        <v>208</v>
      </c>
    </row>
    <row r="79" spans="2:6" s="420" customFormat="1" ht="13.5">
      <c r="B79" s="421" t="s">
        <v>209</v>
      </c>
      <c r="C79" s="422">
        <f>SUM(C80:C83)</f>
        <v>2500000</v>
      </c>
      <c r="D79" s="422">
        <f>SUM(D80:D83)</f>
        <v>0</v>
      </c>
      <c r="E79" s="422">
        <f>SUM(E80:E83)</f>
        <v>2500000</v>
      </c>
      <c r="F79" s="423"/>
    </row>
    <row r="80" spans="2:5" s="420" customFormat="1" ht="12.75">
      <c r="B80" s="438" t="s">
        <v>532</v>
      </c>
      <c r="C80" s="426">
        <v>2500000</v>
      </c>
      <c r="D80" s="425"/>
      <c r="E80" s="425">
        <f>SUM(C80:D80)</f>
        <v>2500000</v>
      </c>
    </row>
    <row r="81" spans="2:5" s="420" customFormat="1" ht="12.75">
      <c r="B81" s="438"/>
      <c r="C81" s="425"/>
      <c r="D81" s="425"/>
      <c r="E81" s="425">
        <f>SUM(C81:D81)</f>
        <v>0</v>
      </c>
    </row>
    <row r="82" spans="2:5" s="420" customFormat="1" ht="12.75">
      <c r="B82" s="424"/>
      <c r="C82" s="426"/>
      <c r="D82" s="425"/>
      <c r="E82" s="425">
        <f>SUM(C82:D82)</f>
        <v>0</v>
      </c>
    </row>
    <row r="83" spans="2:5" s="420" customFormat="1" ht="12.75">
      <c r="B83" s="424"/>
      <c r="C83" s="426"/>
      <c r="D83" s="425"/>
      <c r="E83" s="425">
        <f>SUM(C83:D83)</f>
        <v>0</v>
      </c>
    </row>
    <row r="84" spans="2:6" s="420" customFormat="1" ht="13.5">
      <c r="B84" s="421" t="s">
        <v>210</v>
      </c>
      <c r="C84" s="422">
        <f>SUM(C85:C95)</f>
        <v>0</v>
      </c>
      <c r="D84" s="422">
        <f>SUM(D85:D95)</f>
        <v>5690721</v>
      </c>
      <c r="E84" s="422">
        <f>SUM(E85:E95)</f>
        <v>5690721</v>
      </c>
      <c r="F84" s="423"/>
    </row>
    <row r="85" spans="2:5" s="420" customFormat="1" ht="12.75">
      <c r="B85" s="444"/>
      <c r="C85" s="425"/>
      <c r="D85" s="425"/>
      <c r="E85" s="425">
        <f aca="true" t="shared" si="3" ref="E85:E95">SUM(C85:D85)</f>
        <v>0</v>
      </c>
    </row>
    <row r="86" spans="2:5" s="420" customFormat="1" ht="25.5">
      <c r="B86" s="438" t="s">
        <v>533</v>
      </c>
      <c r="C86" s="425"/>
      <c r="D86" s="425">
        <v>1400000</v>
      </c>
      <c r="E86" s="425">
        <f t="shared" si="3"/>
        <v>1400000</v>
      </c>
    </row>
    <row r="87" spans="2:5" s="420" customFormat="1" ht="38.25">
      <c r="B87" s="438" t="s">
        <v>534</v>
      </c>
      <c r="C87" s="425"/>
      <c r="D87" s="425">
        <v>1330000</v>
      </c>
      <c r="E87" s="425">
        <f t="shared" si="3"/>
        <v>1330000</v>
      </c>
    </row>
    <row r="88" spans="2:5" s="420" customFormat="1" ht="25.5">
      <c r="B88" s="438" t="s">
        <v>535</v>
      </c>
      <c r="C88" s="425"/>
      <c r="D88" s="425">
        <v>650000</v>
      </c>
      <c r="E88" s="425">
        <f t="shared" si="3"/>
        <v>650000</v>
      </c>
    </row>
    <row r="89" spans="2:5" s="420" customFormat="1" ht="12.75">
      <c r="B89" s="438" t="s">
        <v>537</v>
      </c>
      <c r="C89" s="425"/>
      <c r="D89" s="425">
        <v>80000</v>
      </c>
      <c r="E89" s="425">
        <f t="shared" si="3"/>
        <v>80000</v>
      </c>
    </row>
    <row r="90" spans="2:5" s="392" customFormat="1" ht="25.5">
      <c r="B90" s="438" t="s">
        <v>538</v>
      </c>
      <c r="C90" s="425"/>
      <c r="D90" s="425">
        <v>230000</v>
      </c>
      <c r="E90" s="425">
        <f t="shared" si="3"/>
        <v>230000</v>
      </c>
    </row>
    <row r="91" spans="2:5" s="420" customFormat="1" ht="12.75">
      <c r="B91" s="438" t="s">
        <v>536</v>
      </c>
      <c r="C91" s="425"/>
      <c r="D91" s="425">
        <v>1400000</v>
      </c>
      <c r="E91" s="425">
        <f t="shared" si="3"/>
        <v>1400000</v>
      </c>
    </row>
    <row r="92" spans="2:5" s="392" customFormat="1" ht="12.75">
      <c r="B92" s="438" t="s">
        <v>539</v>
      </c>
      <c r="C92" s="425"/>
      <c r="D92" s="425">
        <v>405138</v>
      </c>
      <c r="E92" s="425">
        <f t="shared" si="3"/>
        <v>405138</v>
      </c>
    </row>
    <row r="93" spans="2:5" s="392" customFormat="1" ht="12.75">
      <c r="B93" s="438" t="s">
        <v>540</v>
      </c>
      <c r="C93" s="425"/>
      <c r="D93" s="425">
        <v>190000</v>
      </c>
      <c r="E93" s="425">
        <f t="shared" si="3"/>
        <v>190000</v>
      </c>
    </row>
    <row r="94" spans="2:5" s="392" customFormat="1" ht="12.75">
      <c r="B94" s="438" t="s">
        <v>541</v>
      </c>
      <c r="C94" s="425"/>
      <c r="D94" s="425">
        <v>5583</v>
      </c>
      <c r="E94" s="425">
        <f t="shared" si="3"/>
        <v>5583</v>
      </c>
    </row>
    <row r="95" spans="2:5" s="392" customFormat="1" ht="12.75">
      <c r="B95" s="438" t="s">
        <v>543</v>
      </c>
      <c r="C95" s="425"/>
      <c r="D95" s="425">
        <v>0</v>
      </c>
      <c r="E95" s="425">
        <f t="shared" si="3"/>
        <v>0</v>
      </c>
    </row>
    <row r="96" spans="2:6" s="431" customFormat="1" ht="12.75">
      <c r="B96" s="432" t="s">
        <v>211</v>
      </c>
      <c r="C96" s="433">
        <f>C84+C79</f>
        <v>2500000</v>
      </c>
      <c r="D96" s="433">
        <f>D84+D79</f>
        <v>5690721</v>
      </c>
      <c r="E96" s="433">
        <f>E84+E79</f>
        <v>8190721</v>
      </c>
      <c r="F96" s="434"/>
    </row>
    <row r="97" spans="2:4" s="420" customFormat="1" ht="11.25" customHeight="1">
      <c r="B97" s="442"/>
      <c r="C97" s="443"/>
      <c r="D97" s="423"/>
    </row>
    <row r="98" spans="1:5" s="419" customFormat="1" ht="40.5">
      <c r="A98" s="418" t="s">
        <v>328</v>
      </c>
      <c r="B98" s="625" t="s">
        <v>520</v>
      </c>
      <c r="C98" s="626" t="s">
        <v>513</v>
      </c>
      <c r="D98" s="627" t="s">
        <v>514</v>
      </c>
      <c r="E98" s="627" t="s">
        <v>208</v>
      </c>
    </row>
    <row r="99" spans="2:6" s="420" customFormat="1" ht="13.5">
      <c r="B99" s="421" t="s">
        <v>209</v>
      </c>
      <c r="C99" s="422">
        <f>SUM(C100:C102)</f>
        <v>2280000</v>
      </c>
      <c r="D99" s="422">
        <f>SUM(D100:D102)</f>
        <v>3226240</v>
      </c>
      <c r="E99" s="422">
        <f>SUM(E100:E102)</f>
        <v>5506240</v>
      </c>
      <c r="F99" s="423"/>
    </row>
    <row r="100" spans="2:5" s="420" customFormat="1" ht="12.75">
      <c r="B100" s="424" t="s">
        <v>342</v>
      </c>
      <c r="C100" s="426"/>
      <c r="D100" s="425"/>
      <c r="E100" s="425">
        <f>SUM(C100:D100)</f>
        <v>0</v>
      </c>
    </row>
    <row r="101" spans="2:5" s="420" customFormat="1" ht="12.75">
      <c r="B101" s="438" t="s">
        <v>354</v>
      </c>
      <c r="C101" s="425">
        <v>500000</v>
      </c>
      <c r="D101" s="425">
        <v>3226240</v>
      </c>
      <c r="E101" s="425">
        <f>SUM(C101:D101)</f>
        <v>3726240</v>
      </c>
    </row>
    <row r="102" spans="2:5" s="420" customFormat="1" ht="12.75">
      <c r="B102" s="424" t="s">
        <v>542</v>
      </c>
      <c r="C102" s="426">
        <v>1780000</v>
      </c>
      <c r="D102" s="425"/>
      <c r="E102" s="425">
        <f>SUM(C102:D102)</f>
        <v>1780000</v>
      </c>
    </row>
    <row r="103" spans="2:6" s="420" customFormat="1" ht="13.5">
      <c r="B103" s="421" t="s">
        <v>210</v>
      </c>
      <c r="C103" s="422">
        <f>SUM(C104:C108)</f>
        <v>0</v>
      </c>
      <c r="D103" s="422">
        <f>SUM(D104:D108)</f>
        <v>14946130</v>
      </c>
      <c r="E103" s="422">
        <f>SUM(E104:E108)</f>
        <v>14946130</v>
      </c>
      <c r="F103" s="423"/>
    </row>
    <row r="104" spans="2:5" s="420" customFormat="1" ht="12.75">
      <c r="B104" s="444"/>
      <c r="C104" s="425"/>
      <c r="D104" s="425"/>
      <c r="E104" s="425">
        <f>SUM(C104:D104)</f>
        <v>0</v>
      </c>
    </row>
    <row r="105" spans="2:5" s="392" customFormat="1" ht="12.75">
      <c r="B105" s="438" t="s">
        <v>548</v>
      </c>
      <c r="C105" s="425"/>
      <c r="D105" s="425">
        <v>1084037</v>
      </c>
      <c r="E105" s="425">
        <f>SUM(C105:D105)</f>
        <v>1084037</v>
      </c>
    </row>
    <row r="106" spans="2:5" s="392" customFormat="1" ht="12.75">
      <c r="B106" s="438" t="s">
        <v>541</v>
      </c>
      <c r="C106" s="425"/>
      <c r="D106" s="425">
        <v>116375</v>
      </c>
      <c r="E106" s="425">
        <f>SUM(C106:D106)</f>
        <v>116375</v>
      </c>
    </row>
    <row r="107" spans="2:5" s="392" customFormat="1" ht="12.75">
      <c r="B107" s="438" t="s">
        <v>543</v>
      </c>
      <c r="C107" s="425"/>
      <c r="D107" s="425">
        <v>13745718</v>
      </c>
      <c r="E107" s="425">
        <f>SUM(C107:D107)</f>
        <v>13745718</v>
      </c>
    </row>
    <row r="108" spans="2:5" s="392" customFormat="1" ht="12.75">
      <c r="B108" s="438"/>
      <c r="C108" s="425"/>
      <c r="D108" s="425"/>
      <c r="E108" s="425">
        <f>SUM(C108:D108)</f>
        <v>0</v>
      </c>
    </row>
    <row r="109" spans="2:6" s="431" customFormat="1" ht="12.75">
      <c r="B109" s="432" t="s">
        <v>211</v>
      </c>
      <c r="C109" s="433">
        <f>C103+C99</f>
        <v>2280000</v>
      </c>
      <c r="D109" s="433">
        <f>D103+D99</f>
        <v>18172370</v>
      </c>
      <c r="E109" s="433">
        <f>E103+E99</f>
        <v>20452370</v>
      </c>
      <c r="F109" s="434"/>
    </row>
    <row r="110" spans="2:6" s="431" customFormat="1" ht="12.75">
      <c r="B110" s="480"/>
      <c r="C110" s="481"/>
      <c r="D110" s="481"/>
      <c r="E110" s="481"/>
      <c r="F110" s="434"/>
    </row>
    <row r="111" spans="2:4" s="420" customFormat="1" ht="11.25" customHeight="1">
      <c r="B111" s="442"/>
      <c r="C111" s="443"/>
      <c r="D111" s="423"/>
    </row>
    <row r="112" spans="1:5" s="419" customFormat="1" ht="40.5">
      <c r="A112" s="418" t="s">
        <v>329</v>
      </c>
      <c r="B112" s="629" t="s">
        <v>521</v>
      </c>
      <c r="C112" s="626" t="s">
        <v>513</v>
      </c>
      <c r="D112" s="627" t="s">
        <v>514</v>
      </c>
      <c r="E112" s="627" t="s">
        <v>208</v>
      </c>
    </row>
    <row r="113" spans="2:6" s="420" customFormat="1" ht="13.5">
      <c r="B113" s="421" t="s">
        <v>209</v>
      </c>
      <c r="C113" s="422">
        <f>SUM(C114:C117)</f>
        <v>0</v>
      </c>
      <c r="D113" s="422">
        <f>SUM(D114:D117)</f>
        <v>89879</v>
      </c>
      <c r="E113" s="422">
        <f>SUM(E114:E117)</f>
        <v>89879</v>
      </c>
      <c r="F113" s="423"/>
    </row>
    <row r="114" spans="2:5" s="420" customFormat="1" ht="12.75">
      <c r="B114" s="424"/>
      <c r="C114" s="426"/>
      <c r="D114" s="425"/>
      <c r="E114" s="425">
        <f>SUM(C114:D114)</f>
        <v>0</v>
      </c>
    </row>
    <row r="115" spans="2:5" s="420" customFormat="1" ht="12.75">
      <c r="B115" s="424" t="s">
        <v>342</v>
      </c>
      <c r="C115" s="425"/>
      <c r="D115" s="425">
        <v>89879</v>
      </c>
      <c r="E115" s="425">
        <f>SUM(C115:D115)</f>
        <v>89879</v>
      </c>
    </row>
    <row r="116" spans="2:5" s="420" customFormat="1" ht="12.75">
      <c r="B116" s="424"/>
      <c r="C116" s="426"/>
      <c r="D116" s="425"/>
      <c r="E116" s="425">
        <f>SUM(C116:D116)</f>
        <v>0</v>
      </c>
    </row>
    <row r="117" spans="2:5" s="420" customFormat="1" ht="12.75">
      <c r="B117" s="424"/>
      <c r="C117" s="426"/>
      <c r="D117" s="425"/>
      <c r="E117" s="425">
        <f>SUM(C117:D117)</f>
        <v>0</v>
      </c>
    </row>
    <row r="118" spans="2:6" s="420" customFormat="1" ht="13.5">
      <c r="B118" s="421" t="s">
        <v>210</v>
      </c>
      <c r="C118" s="422">
        <f>SUM(C119:C124)</f>
        <v>0</v>
      </c>
      <c r="D118" s="422">
        <f>SUM(D119:D124)</f>
        <v>4615755</v>
      </c>
      <c r="E118" s="422">
        <f>SUM(E119:E124)</f>
        <v>4615755</v>
      </c>
      <c r="F118" s="423"/>
    </row>
    <row r="119" spans="2:5" s="420" customFormat="1" ht="12.75">
      <c r="B119" s="444"/>
      <c r="C119" s="425"/>
      <c r="D119" s="425"/>
      <c r="E119" s="425">
        <f aca="true" t="shared" si="4" ref="E119:E124">SUM(C119:D119)</f>
        <v>0</v>
      </c>
    </row>
    <row r="120" spans="2:5" s="392" customFormat="1" ht="25.5">
      <c r="B120" s="438" t="s">
        <v>549</v>
      </c>
      <c r="C120" s="425"/>
      <c r="D120" s="425">
        <v>1500000</v>
      </c>
      <c r="E120" s="425">
        <f t="shared" si="4"/>
        <v>1500000</v>
      </c>
    </row>
    <row r="121" spans="2:5" s="392" customFormat="1" ht="12.75">
      <c r="B121" s="438" t="s">
        <v>541</v>
      </c>
      <c r="C121" s="425"/>
      <c r="D121" s="425">
        <v>39100</v>
      </c>
      <c r="E121" s="425">
        <f t="shared" si="4"/>
        <v>39100</v>
      </c>
    </row>
    <row r="122" spans="2:5" s="392" customFormat="1" ht="12.75">
      <c r="B122" s="438" t="s">
        <v>543</v>
      </c>
      <c r="C122" s="425"/>
      <c r="D122" s="425">
        <v>3076655</v>
      </c>
      <c r="E122" s="425">
        <f t="shared" si="4"/>
        <v>3076655</v>
      </c>
    </row>
    <row r="123" spans="2:5" s="392" customFormat="1" ht="12.75">
      <c r="B123" s="438"/>
      <c r="C123" s="425"/>
      <c r="D123" s="425"/>
      <c r="E123" s="425">
        <f t="shared" si="4"/>
        <v>0</v>
      </c>
    </row>
    <row r="124" spans="2:5" s="392" customFormat="1" ht="12.75">
      <c r="B124" s="438"/>
      <c r="C124" s="425"/>
      <c r="D124" s="425"/>
      <c r="E124" s="425">
        <f t="shared" si="4"/>
        <v>0</v>
      </c>
    </row>
    <row r="125" spans="2:6" s="431" customFormat="1" ht="12.75">
      <c r="B125" s="432" t="s">
        <v>211</v>
      </c>
      <c r="C125" s="433">
        <f>C118+C113</f>
        <v>0</v>
      </c>
      <c r="D125" s="433">
        <f>D118+D113</f>
        <v>4705634</v>
      </c>
      <c r="E125" s="433">
        <f>E118+E113</f>
        <v>4705634</v>
      </c>
      <c r="F125" s="434"/>
    </row>
    <row r="126" spans="2:6" s="431" customFormat="1" ht="12.75">
      <c r="B126" s="480"/>
      <c r="C126" s="481"/>
      <c r="D126" s="481"/>
      <c r="E126" s="481"/>
      <c r="F126" s="434"/>
    </row>
    <row r="127" spans="2:4" s="420" customFormat="1" ht="11.25" customHeight="1">
      <c r="B127" s="442"/>
      <c r="C127" s="443"/>
      <c r="D127" s="423"/>
    </row>
    <row r="128" spans="1:5" s="419" customFormat="1" ht="40.5">
      <c r="A128" s="418" t="s">
        <v>330</v>
      </c>
      <c r="B128" s="629" t="s">
        <v>522</v>
      </c>
      <c r="C128" s="626" t="s">
        <v>513</v>
      </c>
      <c r="D128" s="627" t="s">
        <v>514</v>
      </c>
      <c r="E128" s="627" t="s">
        <v>208</v>
      </c>
    </row>
    <row r="129" spans="2:6" s="420" customFormat="1" ht="13.5">
      <c r="B129" s="421" t="s">
        <v>209</v>
      </c>
      <c r="C129" s="422">
        <f>SUM(C130:C133)</f>
        <v>0</v>
      </c>
      <c r="D129" s="422">
        <f>SUM(D130:D133)</f>
        <v>0</v>
      </c>
      <c r="E129" s="422">
        <f>SUM(E130:E133)</f>
        <v>0</v>
      </c>
      <c r="F129" s="423"/>
    </row>
    <row r="130" spans="2:5" s="420" customFormat="1" ht="12.75">
      <c r="B130" s="424"/>
      <c r="C130" s="426"/>
      <c r="D130" s="425"/>
      <c r="E130" s="425">
        <f>SUM(C130:D130)</f>
        <v>0</v>
      </c>
    </row>
    <row r="131" spans="2:5" s="420" customFormat="1" ht="12.75">
      <c r="B131" s="424" t="s">
        <v>342</v>
      </c>
      <c r="C131" s="425"/>
      <c r="D131" s="425"/>
      <c r="E131" s="425">
        <f>SUM(C131:D131)</f>
        <v>0</v>
      </c>
    </row>
    <row r="132" spans="2:5" s="420" customFormat="1" ht="12.75">
      <c r="B132" s="424"/>
      <c r="C132" s="426"/>
      <c r="D132" s="425"/>
      <c r="E132" s="425">
        <f>SUM(C132:D132)</f>
        <v>0</v>
      </c>
    </row>
    <row r="133" spans="2:5" s="420" customFormat="1" ht="12.75">
      <c r="B133" s="424"/>
      <c r="C133" s="426"/>
      <c r="D133" s="425"/>
      <c r="E133" s="425">
        <f>SUM(C133:D133)</f>
        <v>0</v>
      </c>
    </row>
    <row r="134" spans="2:6" s="420" customFormat="1" ht="13.5">
      <c r="B134" s="421" t="s">
        <v>210</v>
      </c>
      <c r="C134" s="422">
        <f>SUM(C135:C140)</f>
        <v>0</v>
      </c>
      <c r="D134" s="422">
        <f>SUM(D135:D140)</f>
        <v>2122810</v>
      </c>
      <c r="E134" s="422">
        <f>SUM(E135:E140)</f>
        <v>2122810</v>
      </c>
      <c r="F134" s="423"/>
    </row>
    <row r="135" spans="2:5" s="420" customFormat="1" ht="12.75">
      <c r="B135" s="444"/>
      <c r="C135" s="425"/>
      <c r="D135" s="425"/>
      <c r="E135" s="425">
        <f aca="true" t="shared" si="5" ref="E135:E140">SUM(C135:D135)</f>
        <v>0</v>
      </c>
    </row>
    <row r="136" spans="2:5" s="392" customFormat="1" ht="12.75">
      <c r="B136" s="438" t="s">
        <v>550</v>
      </c>
      <c r="C136" s="425"/>
      <c r="D136" s="425">
        <v>0</v>
      </c>
      <c r="E136" s="425">
        <f t="shared" si="5"/>
        <v>0</v>
      </c>
    </row>
    <row r="137" spans="2:5" s="392" customFormat="1" ht="12.75">
      <c r="B137" s="438" t="s">
        <v>541</v>
      </c>
      <c r="C137" s="425"/>
      <c r="D137" s="425">
        <v>0</v>
      </c>
      <c r="E137" s="425">
        <f t="shared" si="5"/>
        <v>0</v>
      </c>
    </row>
    <row r="138" spans="2:5" s="392" customFormat="1" ht="12.75">
      <c r="B138" s="438" t="s">
        <v>543</v>
      </c>
      <c r="C138" s="425"/>
      <c r="D138" s="425">
        <v>2122810</v>
      </c>
      <c r="E138" s="425">
        <f t="shared" si="5"/>
        <v>2122810</v>
      </c>
    </row>
    <row r="139" spans="2:5" s="392" customFormat="1" ht="12.75">
      <c r="B139" s="438"/>
      <c r="C139" s="425"/>
      <c r="D139" s="425"/>
      <c r="E139" s="425">
        <f t="shared" si="5"/>
        <v>0</v>
      </c>
    </row>
    <row r="140" spans="2:5" s="392" customFormat="1" ht="12.75">
      <c r="B140" s="438"/>
      <c r="C140" s="425"/>
      <c r="D140" s="425"/>
      <c r="E140" s="425">
        <f t="shared" si="5"/>
        <v>0</v>
      </c>
    </row>
    <row r="141" spans="2:6" s="431" customFormat="1" ht="12.75">
      <c r="B141" s="432" t="s">
        <v>211</v>
      </c>
      <c r="C141" s="433">
        <f>C134+C129</f>
        <v>0</v>
      </c>
      <c r="D141" s="433">
        <f>D134+D129</f>
        <v>2122810</v>
      </c>
      <c r="E141" s="433">
        <f>E134+E129</f>
        <v>2122810</v>
      </c>
      <c r="F141" s="434"/>
    </row>
    <row r="142" spans="2:6" s="431" customFormat="1" ht="12.75">
      <c r="B142" s="480"/>
      <c r="C142" s="481"/>
      <c r="D142" s="481"/>
      <c r="E142" s="481"/>
      <c r="F142" s="434"/>
    </row>
    <row r="143" spans="2:4" s="420" customFormat="1" ht="11.25" customHeight="1">
      <c r="B143" s="442"/>
      <c r="C143" s="443"/>
      <c r="D143" s="423"/>
    </row>
    <row r="144" spans="1:5" s="419" customFormat="1" ht="40.5">
      <c r="A144" s="418" t="s">
        <v>346</v>
      </c>
      <c r="B144" s="629" t="s">
        <v>523</v>
      </c>
      <c r="C144" s="626" t="s">
        <v>513</v>
      </c>
      <c r="D144" s="627" t="s">
        <v>514</v>
      </c>
      <c r="E144" s="627" t="s">
        <v>208</v>
      </c>
    </row>
    <row r="145" spans="2:6" s="420" customFormat="1" ht="13.5">
      <c r="B145" s="421" t="s">
        <v>209</v>
      </c>
      <c r="C145" s="422">
        <f>SUM(C146:C149)</f>
        <v>0</v>
      </c>
      <c r="D145" s="422">
        <f>SUM(D146:D149)</f>
        <v>0</v>
      </c>
      <c r="E145" s="422">
        <f>SUM(E146:E149)</f>
        <v>0</v>
      </c>
      <c r="F145" s="423"/>
    </row>
    <row r="146" spans="2:5" s="420" customFormat="1" ht="12.75">
      <c r="B146" s="424"/>
      <c r="C146" s="426"/>
      <c r="D146" s="425"/>
      <c r="E146" s="425">
        <f>SUM(C146:D146)</f>
        <v>0</v>
      </c>
    </row>
    <row r="147" spans="2:5" s="420" customFormat="1" ht="12.75">
      <c r="B147" s="424" t="s">
        <v>342</v>
      </c>
      <c r="C147" s="425"/>
      <c r="D147" s="425"/>
      <c r="E147" s="425">
        <f>SUM(C147:D147)</f>
        <v>0</v>
      </c>
    </row>
    <row r="148" spans="2:5" s="420" customFormat="1" ht="12.75">
      <c r="B148" s="424"/>
      <c r="C148" s="426"/>
      <c r="D148" s="425"/>
      <c r="E148" s="425">
        <f>SUM(C148:D148)</f>
        <v>0</v>
      </c>
    </row>
    <row r="149" spans="2:5" s="420" customFormat="1" ht="12.75">
      <c r="B149" s="424"/>
      <c r="C149" s="426"/>
      <c r="D149" s="425"/>
      <c r="E149" s="425">
        <f>SUM(C149:D149)</f>
        <v>0</v>
      </c>
    </row>
    <row r="150" spans="2:6" s="420" customFormat="1" ht="13.5">
      <c r="B150" s="421" t="s">
        <v>210</v>
      </c>
      <c r="C150" s="422">
        <f>SUM(C151:C155)</f>
        <v>0</v>
      </c>
      <c r="D150" s="422">
        <f>SUM(D151:D155)</f>
        <v>3791130</v>
      </c>
      <c r="E150" s="422">
        <f>SUM(E151:E155)</f>
        <v>3791130</v>
      </c>
      <c r="F150" s="423"/>
    </row>
    <row r="151" spans="2:5" s="420" customFormat="1" ht="12.75">
      <c r="B151" s="444"/>
      <c r="C151" s="425"/>
      <c r="D151" s="425"/>
      <c r="E151" s="425">
        <f>SUM(C151:D151)</f>
        <v>0</v>
      </c>
    </row>
    <row r="152" spans="2:5" s="392" customFormat="1" ht="12.75">
      <c r="B152" s="438" t="s">
        <v>550</v>
      </c>
      <c r="C152" s="425"/>
      <c r="D152" s="425">
        <v>0</v>
      </c>
      <c r="E152" s="425">
        <f>SUM(C152:D152)</f>
        <v>0</v>
      </c>
    </row>
    <row r="153" spans="2:5" s="392" customFormat="1" ht="12.75">
      <c r="B153" s="438" t="s">
        <v>541</v>
      </c>
      <c r="C153" s="425"/>
      <c r="D153" s="425">
        <v>0</v>
      </c>
      <c r="E153" s="425">
        <f>SUM(C153:D153)</f>
        <v>0</v>
      </c>
    </row>
    <row r="154" spans="2:5" s="392" customFormat="1" ht="12.75">
      <c r="B154" s="438" t="s">
        <v>543</v>
      </c>
      <c r="C154" s="425"/>
      <c r="D154" s="425">
        <v>3791130</v>
      </c>
      <c r="E154" s="425">
        <f>SUM(C154:D154)</f>
        <v>3791130</v>
      </c>
    </row>
    <row r="155" spans="2:5" s="392" customFormat="1" ht="12.75">
      <c r="B155" s="445"/>
      <c r="C155" s="425"/>
      <c r="D155" s="425"/>
      <c r="E155" s="425">
        <f>SUM(C155:D155)</f>
        <v>0</v>
      </c>
    </row>
    <row r="156" spans="2:6" s="431" customFormat="1" ht="12.75">
      <c r="B156" s="432" t="s">
        <v>211</v>
      </c>
      <c r="C156" s="433">
        <f>C150+C145</f>
        <v>0</v>
      </c>
      <c r="D156" s="433">
        <f>D150+D145</f>
        <v>3791130</v>
      </c>
      <c r="E156" s="433">
        <f>E150+E145</f>
        <v>3791130</v>
      </c>
      <c r="F156" s="434"/>
    </row>
    <row r="157" spans="2:6" s="431" customFormat="1" ht="12.75">
      <c r="B157" s="480"/>
      <c r="C157" s="481"/>
      <c r="D157" s="481"/>
      <c r="E157" s="481"/>
      <c r="F157" s="434"/>
    </row>
    <row r="158" spans="2:4" s="420" customFormat="1" ht="11.25" customHeight="1">
      <c r="B158" s="442"/>
      <c r="C158" s="443"/>
      <c r="D158" s="423"/>
    </row>
    <row r="159" spans="1:5" s="419" customFormat="1" ht="40.5">
      <c r="A159" s="418" t="s">
        <v>347</v>
      </c>
      <c r="B159" s="629" t="s">
        <v>524</v>
      </c>
      <c r="C159" s="626" t="s">
        <v>513</v>
      </c>
      <c r="D159" s="627" t="s">
        <v>514</v>
      </c>
      <c r="E159" s="627" t="s">
        <v>208</v>
      </c>
    </row>
    <row r="160" spans="2:6" s="420" customFormat="1" ht="13.5">
      <c r="B160" s="421" t="s">
        <v>209</v>
      </c>
      <c r="C160" s="422">
        <f>SUM(C161:C164)</f>
        <v>0</v>
      </c>
      <c r="D160" s="422">
        <f>SUM(D161:D164)</f>
        <v>0</v>
      </c>
      <c r="E160" s="422">
        <f>SUM(E161:E164)</f>
        <v>0</v>
      </c>
      <c r="F160" s="423"/>
    </row>
    <row r="161" spans="2:5" s="420" customFormat="1" ht="12.75">
      <c r="B161" s="424"/>
      <c r="C161" s="426"/>
      <c r="D161" s="425"/>
      <c r="E161" s="425">
        <f>SUM(C161:D161)</f>
        <v>0</v>
      </c>
    </row>
    <row r="162" spans="2:5" s="420" customFormat="1" ht="12.75">
      <c r="B162" s="424" t="s">
        <v>342</v>
      </c>
      <c r="C162" s="425"/>
      <c r="D162" s="425"/>
      <c r="E162" s="425">
        <f>SUM(C162:D162)</f>
        <v>0</v>
      </c>
    </row>
    <row r="163" spans="2:5" s="420" customFormat="1" ht="12.75">
      <c r="B163" s="424"/>
      <c r="C163" s="426"/>
      <c r="D163" s="425"/>
      <c r="E163" s="425">
        <f>SUM(C163:D163)</f>
        <v>0</v>
      </c>
    </row>
    <row r="164" spans="2:5" s="420" customFormat="1" ht="12.75">
      <c r="B164" s="424"/>
      <c r="C164" s="426"/>
      <c r="D164" s="425"/>
      <c r="E164" s="425">
        <f>SUM(C164:D164)</f>
        <v>0</v>
      </c>
    </row>
    <row r="165" spans="2:6" s="420" customFormat="1" ht="13.5">
      <c r="B165" s="421" t="s">
        <v>210</v>
      </c>
      <c r="C165" s="422">
        <f>SUM(C166:C171)</f>
        <v>0</v>
      </c>
      <c r="D165" s="422">
        <f>SUM(D166:D171)</f>
        <v>167226</v>
      </c>
      <c r="E165" s="422">
        <f>SUM(E166:E171)</f>
        <v>167226</v>
      </c>
      <c r="F165" s="423"/>
    </row>
    <row r="166" spans="2:5" s="420" customFormat="1" ht="12.75">
      <c r="B166" s="444"/>
      <c r="C166" s="425"/>
      <c r="D166" s="425"/>
      <c r="E166" s="425">
        <f aca="true" t="shared" si="6" ref="E166:E171">SUM(C166:D166)</f>
        <v>0</v>
      </c>
    </row>
    <row r="167" spans="2:5" s="392" customFormat="1" ht="12.75">
      <c r="B167" s="438" t="s">
        <v>355</v>
      </c>
      <c r="C167" s="425"/>
      <c r="D167" s="425">
        <v>167226</v>
      </c>
      <c r="E167" s="425">
        <f t="shared" si="6"/>
        <v>167226</v>
      </c>
    </row>
    <row r="168" spans="2:5" s="392" customFormat="1" ht="12.75">
      <c r="B168" s="438" t="s">
        <v>541</v>
      </c>
      <c r="C168" s="425"/>
      <c r="D168" s="425">
        <v>0</v>
      </c>
      <c r="E168" s="425">
        <f t="shared" si="6"/>
        <v>0</v>
      </c>
    </row>
    <row r="169" spans="2:5" s="392" customFormat="1" ht="12.75">
      <c r="B169" s="445" t="s">
        <v>353</v>
      </c>
      <c r="C169" s="425"/>
      <c r="D169" s="425">
        <v>0</v>
      </c>
      <c r="E169" s="425">
        <f t="shared" si="6"/>
        <v>0</v>
      </c>
    </row>
    <row r="170" spans="2:5" s="392" customFormat="1" ht="12.75">
      <c r="B170" s="445"/>
      <c r="C170" s="425"/>
      <c r="D170" s="425"/>
      <c r="E170" s="425">
        <f t="shared" si="6"/>
        <v>0</v>
      </c>
    </row>
    <row r="171" spans="2:5" s="392" customFormat="1" ht="12.75">
      <c r="B171" s="445"/>
      <c r="C171" s="425"/>
      <c r="D171" s="425"/>
      <c r="E171" s="425">
        <f t="shared" si="6"/>
        <v>0</v>
      </c>
    </row>
    <row r="172" spans="2:6" s="431" customFormat="1" ht="12.75">
      <c r="B172" s="432" t="s">
        <v>211</v>
      </c>
      <c r="C172" s="433">
        <f>C165+C160</f>
        <v>0</v>
      </c>
      <c r="D172" s="433">
        <f>D165+D160</f>
        <v>167226</v>
      </c>
      <c r="E172" s="433">
        <f>E165+E160</f>
        <v>167226</v>
      </c>
      <c r="F172" s="434"/>
    </row>
    <row r="173" spans="2:6" s="431" customFormat="1" ht="12.75">
      <c r="B173" s="480"/>
      <c r="C173" s="481"/>
      <c r="D173" s="481"/>
      <c r="E173" s="481"/>
      <c r="F173" s="434"/>
    </row>
    <row r="174" spans="2:4" s="420" customFormat="1" ht="11.25" customHeight="1">
      <c r="B174" s="442"/>
      <c r="C174" s="443"/>
      <c r="D174" s="423"/>
    </row>
    <row r="175" spans="1:5" s="419" customFormat="1" ht="40.5">
      <c r="A175" s="418" t="s">
        <v>348</v>
      </c>
      <c r="B175" s="629" t="s">
        <v>525</v>
      </c>
      <c r="C175" s="626" t="s">
        <v>513</v>
      </c>
      <c r="D175" s="627" t="s">
        <v>514</v>
      </c>
      <c r="E175" s="627" t="s">
        <v>208</v>
      </c>
    </row>
    <row r="176" spans="2:6" s="420" customFormat="1" ht="13.5">
      <c r="B176" s="421" t="s">
        <v>209</v>
      </c>
      <c r="C176" s="422">
        <f>SUM(C177:C180)</f>
        <v>0</v>
      </c>
      <c r="D176" s="422">
        <f>SUM(D177:D180)</f>
        <v>0</v>
      </c>
      <c r="E176" s="422">
        <f>SUM(E177:E180)</f>
        <v>0</v>
      </c>
      <c r="F176" s="423"/>
    </row>
    <row r="177" spans="2:5" s="420" customFormat="1" ht="12.75">
      <c r="B177" s="424"/>
      <c r="C177" s="426"/>
      <c r="D177" s="425"/>
      <c r="E177" s="425">
        <f>SUM(C177:D177)</f>
        <v>0</v>
      </c>
    </row>
    <row r="178" spans="2:5" s="420" customFormat="1" ht="12.75">
      <c r="B178" s="424" t="s">
        <v>342</v>
      </c>
      <c r="C178" s="425"/>
      <c r="D178" s="425"/>
      <c r="E178" s="425">
        <f>SUM(C178:D178)</f>
        <v>0</v>
      </c>
    </row>
    <row r="179" spans="2:5" s="420" customFormat="1" ht="12.75">
      <c r="B179" s="424"/>
      <c r="C179" s="426"/>
      <c r="D179" s="425"/>
      <c r="E179" s="425">
        <f>SUM(C179:D179)</f>
        <v>0</v>
      </c>
    </row>
    <row r="180" spans="2:5" s="420" customFormat="1" ht="12.75">
      <c r="B180" s="424"/>
      <c r="C180" s="426"/>
      <c r="D180" s="425"/>
      <c r="E180" s="425">
        <f>SUM(C180:D180)</f>
        <v>0</v>
      </c>
    </row>
    <row r="181" spans="2:6" s="420" customFormat="1" ht="13.5">
      <c r="B181" s="421" t="s">
        <v>210</v>
      </c>
      <c r="C181" s="422">
        <f>SUM(C182:C186)</f>
        <v>0</v>
      </c>
      <c r="D181" s="422">
        <f>SUM(D182:D186)</f>
        <v>691349</v>
      </c>
      <c r="E181" s="422">
        <f>SUM(E182:E186)</f>
        <v>691349</v>
      </c>
      <c r="F181" s="423"/>
    </row>
    <row r="182" spans="2:5" s="420" customFormat="1" ht="12.75">
      <c r="B182" s="444"/>
      <c r="C182" s="425"/>
      <c r="D182" s="425"/>
      <c r="E182" s="425">
        <f>SUM(C182:D182)</f>
        <v>0</v>
      </c>
    </row>
    <row r="183" spans="2:5" s="392" customFormat="1" ht="12.75">
      <c r="B183" s="438" t="s">
        <v>550</v>
      </c>
      <c r="C183" s="425"/>
      <c r="D183" s="425"/>
      <c r="E183" s="425">
        <f>SUM(C183:D183)</f>
        <v>0</v>
      </c>
    </row>
    <row r="184" spans="2:5" s="392" customFormat="1" ht="12.75">
      <c r="B184" s="445" t="s">
        <v>352</v>
      </c>
      <c r="C184" s="425"/>
      <c r="D184" s="425">
        <v>691349</v>
      </c>
      <c r="E184" s="425">
        <f>SUM(C184:D184)</f>
        <v>691349</v>
      </c>
    </row>
    <row r="185" spans="2:5" s="392" customFormat="1" ht="12.75">
      <c r="B185" s="438" t="s">
        <v>541</v>
      </c>
      <c r="C185" s="425"/>
      <c r="D185" s="425">
        <v>0</v>
      </c>
      <c r="E185" s="425">
        <f>SUM(C185:D185)</f>
        <v>0</v>
      </c>
    </row>
    <row r="186" spans="2:5" s="392" customFormat="1" ht="12.75">
      <c r="B186" s="445"/>
      <c r="C186" s="425"/>
      <c r="D186" s="425"/>
      <c r="E186" s="425">
        <f>SUM(C186:D186)</f>
        <v>0</v>
      </c>
    </row>
    <row r="187" spans="2:6" s="431" customFormat="1" ht="12.75">
      <c r="B187" s="432" t="s">
        <v>211</v>
      </c>
      <c r="C187" s="433">
        <f>C181+C176</f>
        <v>0</v>
      </c>
      <c r="D187" s="433">
        <f>D181+D176</f>
        <v>691349</v>
      </c>
      <c r="E187" s="433">
        <f>E181+E176</f>
        <v>691349</v>
      </c>
      <c r="F187" s="434"/>
    </row>
    <row r="188" spans="2:6" s="431" customFormat="1" ht="12.75">
      <c r="B188" s="480"/>
      <c r="C188" s="481"/>
      <c r="D188" s="481"/>
      <c r="E188" s="481"/>
      <c r="F188" s="434"/>
    </row>
    <row r="189" spans="2:6" s="431" customFormat="1" ht="12.75">
      <c r="B189" s="482"/>
      <c r="C189" s="483"/>
      <c r="D189" s="483"/>
      <c r="E189" s="483"/>
      <c r="F189" s="434"/>
    </row>
    <row r="190" spans="1:5" s="419" customFormat="1" ht="40.5">
      <c r="A190" s="418" t="s">
        <v>349</v>
      </c>
      <c r="B190" s="625" t="s">
        <v>526</v>
      </c>
      <c r="C190" s="626" t="s">
        <v>513</v>
      </c>
      <c r="D190" s="627" t="s">
        <v>514</v>
      </c>
      <c r="E190" s="627" t="s">
        <v>208</v>
      </c>
    </row>
    <row r="191" spans="2:6" s="420" customFormat="1" ht="13.5">
      <c r="B191" s="421" t="s">
        <v>209</v>
      </c>
      <c r="C191" s="422">
        <f>SUM(C192:C195)</f>
        <v>0</v>
      </c>
      <c r="D191" s="422">
        <f>SUM(D192:D195)</f>
        <v>665170</v>
      </c>
      <c r="E191" s="422">
        <f>SUM(E192:E195)</f>
        <v>665170</v>
      </c>
      <c r="F191" s="423"/>
    </row>
    <row r="192" spans="2:5" s="420" customFormat="1" ht="12.75">
      <c r="B192" s="424"/>
      <c r="C192" s="426"/>
      <c r="D192" s="425"/>
      <c r="E192" s="425">
        <f>SUM(C192:D192)</f>
        <v>0</v>
      </c>
    </row>
    <row r="193" spans="2:5" s="420" customFormat="1" ht="12.75">
      <c r="B193" s="424" t="s">
        <v>342</v>
      </c>
      <c r="C193" s="425"/>
      <c r="D193" s="425">
        <v>665170</v>
      </c>
      <c r="E193" s="425">
        <f>SUM(C193:D193)</f>
        <v>665170</v>
      </c>
    </row>
    <row r="194" spans="2:5" s="420" customFormat="1" ht="12.75">
      <c r="B194" s="424"/>
      <c r="C194" s="426"/>
      <c r="D194" s="425"/>
      <c r="E194" s="425">
        <f>SUM(C194:D194)</f>
        <v>0</v>
      </c>
    </row>
    <row r="195" spans="2:5" s="420" customFormat="1" ht="12.75">
      <c r="B195" s="424"/>
      <c r="C195" s="426"/>
      <c r="D195" s="425"/>
      <c r="E195" s="425">
        <f>SUM(C195:D195)</f>
        <v>0</v>
      </c>
    </row>
    <row r="196" spans="2:6" s="420" customFormat="1" ht="13.5">
      <c r="B196" s="421" t="s">
        <v>210</v>
      </c>
      <c r="C196" s="422">
        <f>SUM(C197:C203)</f>
        <v>0</v>
      </c>
      <c r="D196" s="422">
        <f>SUM(D197:D203)</f>
        <v>3163834</v>
      </c>
      <c r="E196" s="422">
        <f>SUM(E197:E203)</f>
        <v>3163834</v>
      </c>
      <c r="F196" s="423"/>
    </row>
    <row r="197" spans="2:5" s="420" customFormat="1" ht="12.75">
      <c r="B197" s="444"/>
      <c r="C197" s="425"/>
      <c r="D197" s="425"/>
      <c r="E197" s="425">
        <f aca="true" t="shared" si="7" ref="E197:E203">SUM(C197:D197)</f>
        <v>0</v>
      </c>
    </row>
    <row r="198" spans="2:5" s="392" customFormat="1" ht="25.5">
      <c r="B198" s="438" t="s">
        <v>551</v>
      </c>
      <c r="C198" s="425"/>
      <c r="D198" s="425">
        <v>699075</v>
      </c>
      <c r="E198" s="425">
        <f t="shared" si="7"/>
        <v>699075</v>
      </c>
    </row>
    <row r="199" spans="2:5" s="392" customFormat="1" ht="12.75">
      <c r="B199" s="438" t="s">
        <v>553</v>
      </c>
      <c r="C199" s="425"/>
      <c r="D199" s="425">
        <v>1443000</v>
      </c>
      <c r="E199" s="425">
        <f t="shared" si="7"/>
        <v>1443000</v>
      </c>
    </row>
    <row r="200" spans="2:5" s="392" customFormat="1" ht="12.75">
      <c r="B200" s="438" t="s">
        <v>541</v>
      </c>
      <c r="C200" s="425"/>
      <c r="D200" s="425">
        <v>21759</v>
      </c>
      <c r="E200" s="425">
        <f t="shared" si="7"/>
        <v>21759</v>
      </c>
    </row>
    <row r="201" spans="2:5" s="392" customFormat="1" ht="12.75">
      <c r="B201" s="438" t="s">
        <v>543</v>
      </c>
      <c r="C201" s="425"/>
      <c r="D201" s="425">
        <v>1000000</v>
      </c>
      <c r="E201" s="425">
        <f t="shared" si="7"/>
        <v>1000000</v>
      </c>
    </row>
    <row r="202" spans="2:5" s="392" customFormat="1" ht="12.75">
      <c r="B202" s="438"/>
      <c r="C202" s="425"/>
      <c r="D202" s="425"/>
      <c r="E202" s="425">
        <f t="shared" si="7"/>
        <v>0</v>
      </c>
    </row>
    <row r="203" spans="2:5" s="392" customFormat="1" ht="12.75">
      <c r="B203" s="438"/>
      <c r="C203" s="425"/>
      <c r="D203" s="425"/>
      <c r="E203" s="425">
        <f t="shared" si="7"/>
        <v>0</v>
      </c>
    </row>
    <row r="204" spans="2:6" s="431" customFormat="1" ht="12.75">
      <c r="B204" s="432" t="s">
        <v>211</v>
      </c>
      <c r="C204" s="433">
        <f>C196+C191</f>
        <v>0</v>
      </c>
      <c r="D204" s="433">
        <f>D196+D191</f>
        <v>3829004</v>
      </c>
      <c r="E204" s="433">
        <f>E196+E191</f>
        <v>3829004</v>
      </c>
      <c r="F204" s="434"/>
    </row>
    <row r="205" spans="1:5" s="431" customFormat="1" ht="14.25" customHeight="1">
      <c r="A205" s="431" t="s">
        <v>213</v>
      </c>
      <c r="B205" s="699"/>
      <c r="C205" s="699"/>
      <c r="D205" s="484"/>
      <c r="E205" s="484"/>
    </row>
    <row r="206" spans="2:6" s="431" customFormat="1" ht="12.75">
      <c r="B206" s="482"/>
      <c r="C206" s="483"/>
      <c r="D206" s="483"/>
      <c r="E206" s="483"/>
      <c r="F206" s="434"/>
    </row>
    <row r="207" spans="1:5" s="419" customFormat="1" ht="40.5">
      <c r="A207" s="418" t="s">
        <v>350</v>
      </c>
      <c r="B207" s="625" t="s">
        <v>527</v>
      </c>
      <c r="C207" s="626" t="s">
        <v>513</v>
      </c>
      <c r="D207" s="627" t="s">
        <v>514</v>
      </c>
      <c r="E207" s="627" t="s">
        <v>208</v>
      </c>
    </row>
    <row r="208" spans="2:6" s="420" customFormat="1" ht="13.5">
      <c r="B208" s="421" t="s">
        <v>209</v>
      </c>
      <c r="C208" s="422">
        <f>SUM(C209:C212)</f>
        <v>0</v>
      </c>
      <c r="D208" s="422">
        <f>SUM(D209:D212)</f>
        <v>0</v>
      </c>
      <c r="E208" s="422">
        <f>SUM(E209:E212)</f>
        <v>0</v>
      </c>
      <c r="F208" s="423"/>
    </row>
    <row r="209" spans="2:5" s="420" customFormat="1" ht="12.75">
      <c r="B209" s="424"/>
      <c r="C209" s="426"/>
      <c r="D209" s="425"/>
      <c r="E209" s="425">
        <f>SUM(C209:D209)</f>
        <v>0</v>
      </c>
    </row>
    <row r="210" spans="2:5" s="420" customFormat="1" ht="12.75">
      <c r="B210" s="424" t="s">
        <v>342</v>
      </c>
      <c r="C210" s="425"/>
      <c r="D210" s="425"/>
      <c r="E210" s="425">
        <f>SUM(C210:D210)</f>
        <v>0</v>
      </c>
    </row>
    <row r="211" spans="2:5" s="420" customFormat="1" ht="12.75">
      <c r="B211" s="424"/>
      <c r="C211" s="426"/>
      <c r="D211" s="425"/>
      <c r="E211" s="425">
        <f>SUM(C211:D211)</f>
        <v>0</v>
      </c>
    </row>
    <row r="212" spans="2:5" s="420" customFormat="1" ht="12.75">
      <c r="B212" s="424"/>
      <c r="C212" s="426"/>
      <c r="D212" s="425"/>
      <c r="E212" s="425">
        <f>SUM(C212:D212)</f>
        <v>0</v>
      </c>
    </row>
    <row r="213" spans="2:6" s="420" customFormat="1" ht="13.5">
      <c r="B213" s="421" t="s">
        <v>210</v>
      </c>
      <c r="C213" s="422">
        <f>SUM(C214:C218)</f>
        <v>0</v>
      </c>
      <c r="D213" s="422">
        <f>SUM(D214:D218)</f>
        <v>2188831</v>
      </c>
      <c r="E213" s="422">
        <f>SUM(E214:E218)</f>
        <v>2188831</v>
      </c>
      <c r="F213" s="423"/>
    </row>
    <row r="214" spans="2:5" s="420" customFormat="1" ht="12.75">
      <c r="B214" s="444"/>
      <c r="C214" s="425"/>
      <c r="D214" s="425"/>
      <c r="E214" s="425">
        <f>SUM(C214:D214)</f>
        <v>0</v>
      </c>
    </row>
    <row r="215" spans="2:5" s="392" customFormat="1" ht="12.75">
      <c r="B215" s="438" t="s">
        <v>552</v>
      </c>
      <c r="C215" s="425"/>
      <c r="D215" s="425">
        <v>688831</v>
      </c>
      <c r="E215" s="425">
        <f>SUM(C215:D215)</f>
        <v>688831</v>
      </c>
    </row>
    <row r="216" spans="2:5" s="392" customFormat="1" ht="12.75">
      <c r="B216" s="438" t="s">
        <v>541</v>
      </c>
      <c r="C216" s="425"/>
      <c r="D216" s="425">
        <v>0</v>
      </c>
      <c r="E216" s="425">
        <f>SUM(C216:D216)</f>
        <v>0</v>
      </c>
    </row>
    <row r="217" spans="2:5" s="392" customFormat="1" ht="12.75">
      <c r="B217" s="438" t="s">
        <v>543</v>
      </c>
      <c r="C217" s="425"/>
      <c r="D217" s="425">
        <v>1500000</v>
      </c>
      <c r="E217" s="425">
        <f>SUM(C217:D217)</f>
        <v>1500000</v>
      </c>
    </row>
    <row r="218" spans="2:5" s="392" customFormat="1" ht="12.75">
      <c r="B218" s="445"/>
      <c r="C218" s="425"/>
      <c r="D218" s="425"/>
      <c r="E218" s="425">
        <f>SUM(C218:D218)</f>
        <v>0</v>
      </c>
    </row>
    <row r="219" spans="2:6" s="431" customFormat="1" ht="12.75">
      <c r="B219" s="432" t="s">
        <v>211</v>
      </c>
      <c r="C219" s="433">
        <f>C213+C208</f>
        <v>0</v>
      </c>
      <c r="D219" s="433">
        <f>D213+D208</f>
        <v>2188831</v>
      </c>
      <c r="E219" s="433">
        <f>E213+E208</f>
        <v>2188831</v>
      </c>
      <c r="F219" s="434"/>
    </row>
    <row r="220" spans="1:5" s="431" customFormat="1" ht="14.25" customHeight="1">
      <c r="A220" s="431" t="s">
        <v>213</v>
      </c>
      <c r="B220" s="699"/>
      <c r="C220" s="699"/>
      <c r="D220" s="484"/>
      <c r="E220" s="484"/>
    </row>
    <row r="221" spans="2:6" s="431" customFormat="1" ht="12.75">
      <c r="B221" s="482"/>
      <c r="C221" s="483"/>
      <c r="D221" s="483"/>
      <c r="E221" s="483"/>
      <c r="F221" s="434"/>
    </row>
    <row r="222" spans="1:5" s="419" customFormat="1" ht="40.5">
      <c r="A222" s="418" t="s">
        <v>351</v>
      </c>
      <c r="B222" s="625" t="s">
        <v>528</v>
      </c>
      <c r="C222" s="626" t="s">
        <v>513</v>
      </c>
      <c r="D222" s="627" t="s">
        <v>514</v>
      </c>
      <c r="E222" s="627" t="s">
        <v>208</v>
      </c>
    </row>
    <row r="223" spans="2:6" s="420" customFormat="1" ht="13.5">
      <c r="B223" s="421" t="s">
        <v>209</v>
      </c>
      <c r="C223" s="422">
        <f>SUM(C224:C226)</f>
        <v>0</v>
      </c>
      <c r="D223" s="422">
        <f>SUM(D224:D226)</f>
        <v>0</v>
      </c>
      <c r="E223" s="422">
        <f>SUM(E224:E226)</f>
        <v>0</v>
      </c>
      <c r="F223" s="423"/>
    </row>
    <row r="224" spans="2:5" s="420" customFormat="1" ht="12.75">
      <c r="B224" s="424"/>
      <c r="C224" s="426"/>
      <c r="D224" s="425"/>
      <c r="E224" s="425">
        <f>SUM(C224:D224)</f>
        <v>0</v>
      </c>
    </row>
    <row r="225" spans="2:5" s="420" customFormat="1" ht="12.75">
      <c r="B225" s="424" t="s">
        <v>342</v>
      </c>
      <c r="C225" s="426"/>
      <c r="D225" s="425"/>
      <c r="E225" s="425">
        <f>SUM(C225:D225)</f>
        <v>0</v>
      </c>
    </row>
    <row r="226" spans="2:5" s="420" customFormat="1" ht="12.75">
      <c r="B226" s="424"/>
      <c r="C226" s="426"/>
      <c r="D226" s="425"/>
      <c r="E226" s="425">
        <f>SUM(C226:D226)</f>
        <v>0</v>
      </c>
    </row>
    <row r="227" spans="2:6" s="420" customFormat="1" ht="13.5">
      <c r="B227" s="421" t="s">
        <v>210</v>
      </c>
      <c r="C227" s="422">
        <f>SUM(C228:C232)</f>
        <v>0</v>
      </c>
      <c r="D227" s="422">
        <f>SUM(D228:D232)</f>
        <v>240064</v>
      </c>
      <c r="E227" s="422">
        <f>SUM(E228:E232)</f>
        <v>240064</v>
      </c>
      <c r="F227" s="423"/>
    </row>
    <row r="228" spans="2:5" s="420" customFormat="1" ht="12.75">
      <c r="B228" s="444"/>
      <c r="C228" s="425"/>
      <c r="D228" s="425"/>
      <c r="E228" s="425">
        <f>SUM(C228:D228)</f>
        <v>0</v>
      </c>
    </row>
    <row r="229" spans="2:5" s="392" customFormat="1" ht="12.75">
      <c r="B229" s="438" t="s">
        <v>554</v>
      </c>
      <c r="C229" s="425"/>
      <c r="D229" s="425">
        <v>240064</v>
      </c>
      <c r="E229" s="425">
        <f>SUM(C229:D229)</f>
        <v>240064</v>
      </c>
    </row>
    <row r="230" spans="2:5" s="392" customFormat="1" ht="12.75">
      <c r="B230" s="445" t="s">
        <v>357</v>
      </c>
      <c r="C230" s="425"/>
      <c r="D230" s="425">
        <v>0</v>
      </c>
      <c r="E230" s="425">
        <f>SUM(C230:D230)</f>
        <v>0</v>
      </c>
    </row>
    <row r="231" spans="2:5" s="392" customFormat="1" ht="12.75">
      <c r="B231" s="438" t="s">
        <v>541</v>
      </c>
      <c r="C231" s="425"/>
      <c r="D231" s="425">
        <v>0</v>
      </c>
      <c r="E231" s="425">
        <f>SUM(C231:D231)</f>
        <v>0</v>
      </c>
    </row>
    <row r="232" spans="2:5" s="392" customFormat="1" ht="12.75">
      <c r="B232" s="445"/>
      <c r="C232" s="425"/>
      <c r="D232" s="425"/>
      <c r="E232" s="425">
        <f>SUM(C232:D232)</f>
        <v>0</v>
      </c>
    </row>
    <row r="233" spans="2:6" s="431" customFormat="1" ht="12.75">
      <c r="B233" s="432" t="s">
        <v>211</v>
      </c>
      <c r="C233" s="433">
        <f>C227+C223</f>
        <v>0</v>
      </c>
      <c r="D233" s="433">
        <f>D227+D223</f>
        <v>240064</v>
      </c>
      <c r="E233" s="433">
        <f>E227+E223</f>
        <v>240064</v>
      </c>
      <c r="F233" s="434"/>
    </row>
    <row r="234" spans="2:6" s="431" customFormat="1" ht="12.75">
      <c r="B234" s="480"/>
      <c r="C234" s="481"/>
      <c r="D234" s="481"/>
      <c r="E234" s="481"/>
      <c r="F234" s="434"/>
    </row>
    <row r="235" spans="1:3" s="431" customFormat="1" ht="14.25" customHeight="1">
      <c r="A235" s="431" t="s">
        <v>213</v>
      </c>
      <c r="B235" s="700"/>
      <c r="C235" s="700"/>
    </row>
    <row r="236" spans="2:5" s="431" customFormat="1" ht="14.25" customHeight="1">
      <c r="B236" s="446" t="s">
        <v>209</v>
      </c>
      <c r="C236" s="447">
        <f>C6+C38+C52+C66+C79+C99+C176+C223+C208+C191+C160+C145+C129+C113</f>
        <v>994596600</v>
      </c>
      <c r="D236" s="447">
        <f>D6+D38+D52+D66+D79+D99+D176+D223+D208+D191+D160+D145+D129+D113</f>
        <v>4160247</v>
      </c>
      <c r="E236" s="447">
        <f>E6+E38+E52+E66+E79+E99+E176+E223+E208+E191+E160+E145+E129+E113</f>
        <v>998756847</v>
      </c>
    </row>
    <row r="237" spans="2:5" s="431" customFormat="1" ht="18" customHeight="1">
      <c r="B237" s="446" t="s">
        <v>214</v>
      </c>
      <c r="C237" s="448">
        <f>C71+C41+C22+C181+C103+C84+C227+C118+C56+C134+C150+C165+C196+C213</f>
        <v>246493502</v>
      </c>
      <c r="D237" s="448">
        <f>D71+D41+D22+D181+D103+D84+D227+D118+D56+D134+D150+D165+D196+D213</f>
        <v>65266176</v>
      </c>
      <c r="E237" s="448">
        <f>E71+E41+E22+E181+E103+E84+E227+E118+E56+E134+E150+E165+E196+E213</f>
        <v>311759678</v>
      </c>
    </row>
    <row r="238" spans="2:5" ht="30.75" customHeight="1">
      <c r="B238" s="449" t="s">
        <v>529</v>
      </c>
      <c r="C238" s="450">
        <f>C76+C62+C49+C34+C187+C109+C96+C233+C219+C204+C172+C156+C141+C125</f>
        <v>1241090102</v>
      </c>
      <c r="D238" s="450">
        <f>D76+D62+D49+D34+D187+D109+D96+D233+D219+D204+D172+D156+D141+D125</f>
        <v>69426423</v>
      </c>
      <c r="E238" s="450">
        <f>E76+E62+E49+E34+E187+E109+E96+E233+E219+E204+E172+E156+E141+E125</f>
        <v>1310516525</v>
      </c>
    </row>
    <row r="239" ht="13.5" customHeight="1">
      <c r="B239" s="451"/>
    </row>
    <row r="240" spans="2:4" ht="12.75">
      <c r="B240" s="487" t="s">
        <v>541</v>
      </c>
      <c r="C240" s="488"/>
      <c r="D240" s="489">
        <f>D231+D216+D200+D185+D168+D153+D137+D121+D106+D94+D75+D59+D46</f>
        <v>287218</v>
      </c>
    </row>
    <row r="241" ht="13.5" customHeight="1"/>
    <row r="242" spans="2:4" ht="12.75">
      <c r="B242" s="634" t="s">
        <v>543</v>
      </c>
      <c r="C242" s="635"/>
      <c r="D242" s="636">
        <f>D217+D201+D154+D138+D122+D107+D47+D95+D74+D60</f>
        <v>25236313</v>
      </c>
    </row>
    <row r="243" spans="2:4" ht="12.75">
      <c r="B243" s="487"/>
      <c r="D243" s="489">
        <f>SUM(D240:D242)</f>
        <v>25523531</v>
      </c>
    </row>
    <row r="244" spans="2:4" ht="12.75">
      <c r="B244" s="487"/>
      <c r="D244" s="489"/>
    </row>
    <row r="245" ht="13.5" customHeight="1">
      <c r="B245" s="419" t="s">
        <v>576</v>
      </c>
    </row>
    <row r="246" spans="2:3" ht="13.5" customHeight="1">
      <c r="B246" s="630" t="s">
        <v>566</v>
      </c>
      <c r="C246" s="631">
        <v>240000</v>
      </c>
    </row>
    <row r="247" spans="2:3" ht="18" customHeight="1">
      <c r="B247" s="630" t="s">
        <v>567</v>
      </c>
      <c r="C247" s="631">
        <v>4600000</v>
      </c>
    </row>
    <row r="248" spans="2:3" ht="18" customHeight="1">
      <c r="B248" s="630" t="s">
        <v>570</v>
      </c>
      <c r="C248" s="631">
        <v>2002398</v>
      </c>
    </row>
    <row r="249" spans="2:3" ht="27">
      <c r="B249" s="630" t="s">
        <v>571</v>
      </c>
      <c r="C249" s="631">
        <v>1534171</v>
      </c>
    </row>
    <row r="250" spans="2:3" ht="18" customHeight="1">
      <c r="B250" s="630" t="s">
        <v>572</v>
      </c>
      <c r="C250" s="631">
        <v>1524000</v>
      </c>
    </row>
    <row r="251" spans="2:3" ht="18" customHeight="1">
      <c r="B251" s="630" t="s">
        <v>573</v>
      </c>
      <c r="C251" s="631">
        <v>360000</v>
      </c>
    </row>
    <row r="252" spans="2:3" ht="18" customHeight="1">
      <c r="B252" s="637" t="s">
        <v>568</v>
      </c>
      <c r="C252" s="638">
        <v>683531</v>
      </c>
    </row>
    <row r="253" spans="2:3" ht="18" customHeight="1">
      <c r="B253" s="637" t="s">
        <v>574</v>
      </c>
      <c r="C253" s="638">
        <v>380000</v>
      </c>
    </row>
    <row r="254" spans="2:3" ht="18" customHeight="1">
      <c r="B254" s="637" t="s">
        <v>575</v>
      </c>
      <c r="C254" s="638">
        <v>4371975</v>
      </c>
    </row>
    <row r="255" spans="2:3" ht="18" customHeight="1">
      <c r="B255" s="632" t="s">
        <v>569</v>
      </c>
      <c r="C255" s="633">
        <v>9827456</v>
      </c>
    </row>
    <row r="256" spans="2:3" ht="18" customHeight="1">
      <c r="B256" s="630"/>
      <c r="C256" s="631">
        <f>SUM(C246:C255)</f>
        <v>25523531</v>
      </c>
    </row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sheetProtection/>
  <mergeCells count="5">
    <mergeCell ref="A3:E3"/>
    <mergeCell ref="A4:E4"/>
    <mergeCell ref="B205:C205"/>
    <mergeCell ref="B220:C220"/>
    <mergeCell ref="B235:C235"/>
  </mergeCells>
  <printOptions/>
  <pageMargins left="0.7874015748031497" right="0.7874015748031497" top="0.53" bottom="0.57" header="0.5118110236220472" footer="0.5118110236220472"/>
  <pageSetup horizontalDpi="600" verticalDpi="600" orientation="landscape" paperSize="9" scale="86" r:id="rId1"/>
  <rowBreaks count="7" manualBreakCount="7">
    <brk id="35" max="255" man="1"/>
    <brk id="64" max="255" man="1"/>
    <brk id="96" max="255" man="1"/>
    <brk id="126" max="255" man="1"/>
    <brk id="157" max="255" man="1"/>
    <brk id="189" max="255" man="1"/>
    <brk id="2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.125" style="420" customWidth="1"/>
    <col min="2" max="2" width="42.375" style="420" customWidth="1"/>
    <col min="3" max="3" width="11.00390625" style="420" customWidth="1"/>
    <col min="4" max="4" width="10.625" style="420" customWidth="1"/>
    <col min="5" max="5" width="9.875" style="420" bestFit="1" customWidth="1"/>
    <col min="6" max="9" width="13.125" style="420" customWidth="1"/>
    <col min="10" max="10" width="14.00390625" style="420" customWidth="1"/>
    <col min="11" max="11" width="16.125" style="420" customWidth="1"/>
    <col min="12" max="16384" width="9.125" style="420" customWidth="1"/>
  </cols>
  <sheetData>
    <row r="1" spans="1:5" ht="13.5">
      <c r="A1" s="414"/>
      <c r="B1" s="414" t="s">
        <v>584</v>
      </c>
      <c r="C1" s="414"/>
      <c r="D1" s="453"/>
      <c r="E1" s="453"/>
    </row>
    <row r="2" spans="1:5" ht="9" customHeight="1">
      <c r="A2" s="454"/>
      <c r="B2" s="454"/>
      <c r="C2" s="454"/>
      <c r="D2" s="454"/>
      <c r="E2" s="454"/>
    </row>
    <row r="3" spans="1:11" ht="15">
      <c r="A3" s="701" t="s">
        <v>486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ht="15">
      <c r="A4" s="702" t="s">
        <v>325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</row>
    <row r="5" spans="1:11" ht="6" customHeight="1" thickBot="1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</row>
    <row r="6" spans="1:11" s="435" customFormat="1" ht="57.75" customHeight="1" thickBot="1">
      <c r="A6" s="456"/>
      <c r="B6" s="457"/>
      <c r="C6" s="622" t="s">
        <v>184</v>
      </c>
      <c r="D6" s="622" t="s">
        <v>185</v>
      </c>
      <c r="E6" s="623" t="s">
        <v>67</v>
      </c>
      <c r="F6" s="622" t="s">
        <v>215</v>
      </c>
      <c r="G6" s="622" t="s">
        <v>137</v>
      </c>
      <c r="H6" s="622" t="s">
        <v>331</v>
      </c>
      <c r="I6" s="622" t="s">
        <v>162</v>
      </c>
      <c r="J6" s="622" t="s">
        <v>34</v>
      </c>
      <c r="K6" s="624" t="s">
        <v>187</v>
      </c>
    </row>
    <row r="7" spans="1:11" s="459" customFormat="1" ht="15" customHeight="1">
      <c r="A7" s="703" t="s">
        <v>216</v>
      </c>
      <c r="B7" s="704"/>
      <c r="C7" s="458"/>
      <c r="D7" s="458"/>
      <c r="E7" s="458"/>
      <c r="F7" s="458"/>
      <c r="G7" s="458"/>
      <c r="H7" s="458"/>
      <c r="I7" s="458"/>
      <c r="J7" s="458"/>
      <c r="K7" s="458"/>
    </row>
    <row r="8" spans="1:11" s="459" customFormat="1" ht="12.75">
      <c r="A8" s="460" t="s">
        <v>217</v>
      </c>
      <c r="B8" s="461" t="s">
        <v>218</v>
      </c>
      <c r="C8" s="462">
        <v>337552</v>
      </c>
      <c r="D8" s="462"/>
      <c r="E8" s="462">
        <v>107590</v>
      </c>
      <c r="F8" s="462">
        <v>478952</v>
      </c>
      <c r="G8" s="462">
        <v>132754</v>
      </c>
      <c r="H8" s="462"/>
      <c r="I8" s="462">
        <v>0</v>
      </c>
      <c r="J8" s="462">
        <v>20125651</v>
      </c>
      <c r="K8" s="462">
        <f aca="true" t="shared" si="0" ref="K8:K50">SUM(C8:J8)</f>
        <v>21182499</v>
      </c>
    </row>
    <row r="9" spans="1:11" s="459" customFormat="1" ht="12.75">
      <c r="A9" s="460" t="s">
        <v>219</v>
      </c>
      <c r="B9" s="463" t="s">
        <v>220</v>
      </c>
      <c r="C9" s="464"/>
      <c r="D9" s="464">
        <v>4680308</v>
      </c>
      <c r="E9" s="464"/>
      <c r="F9" s="464"/>
      <c r="G9" s="464">
        <v>725443</v>
      </c>
      <c r="H9" s="464">
        <v>0</v>
      </c>
      <c r="I9" s="464"/>
      <c r="J9" s="464">
        <v>8562226267</v>
      </c>
      <c r="K9" s="464">
        <f t="shared" si="0"/>
        <v>8567632018</v>
      </c>
    </row>
    <row r="10" spans="1:11" s="459" customFormat="1" ht="12.75">
      <c r="A10" s="460" t="s">
        <v>221</v>
      </c>
      <c r="B10" s="463" t="s">
        <v>222</v>
      </c>
      <c r="C10" s="464">
        <v>4622627</v>
      </c>
      <c r="D10" s="464">
        <v>4111177</v>
      </c>
      <c r="E10" s="464">
        <v>7689756</v>
      </c>
      <c r="F10" s="464">
        <v>2704341</v>
      </c>
      <c r="G10" s="464">
        <v>3345703</v>
      </c>
      <c r="H10" s="464">
        <v>3069258</v>
      </c>
      <c r="I10" s="464">
        <v>180535</v>
      </c>
      <c r="J10" s="464">
        <v>119810549</v>
      </c>
      <c r="K10" s="464">
        <f t="shared" si="0"/>
        <v>145533946</v>
      </c>
    </row>
    <row r="11" spans="1:11" s="459" customFormat="1" ht="12.75">
      <c r="A11" s="460" t="s">
        <v>223</v>
      </c>
      <c r="B11" s="463" t="s">
        <v>224</v>
      </c>
      <c r="C11" s="464"/>
      <c r="D11" s="464"/>
      <c r="E11" s="464"/>
      <c r="F11" s="464"/>
      <c r="G11" s="464"/>
      <c r="H11" s="464"/>
      <c r="I11" s="464"/>
      <c r="J11" s="464"/>
      <c r="K11" s="464">
        <f t="shared" si="0"/>
        <v>0</v>
      </c>
    </row>
    <row r="12" spans="1:11" s="459" customFormat="1" ht="12.75">
      <c r="A12" s="460" t="s">
        <v>225</v>
      </c>
      <c r="B12" s="463" t="s">
        <v>226</v>
      </c>
      <c r="C12" s="464"/>
      <c r="D12" s="464"/>
      <c r="E12" s="464"/>
      <c r="F12" s="464"/>
      <c r="G12" s="464"/>
      <c r="H12" s="464"/>
      <c r="I12" s="464"/>
      <c r="J12" s="464">
        <v>151374241</v>
      </c>
      <c r="K12" s="464">
        <f t="shared" si="0"/>
        <v>151374241</v>
      </c>
    </row>
    <row r="13" spans="1:11" s="459" customFormat="1" ht="12.75">
      <c r="A13" s="460" t="s">
        <v>227</v>
      </c>
      <c r="B13" s="463" t="s">
        <v>228</v>
      </c>
      <c r="C13" s="464"/>
      <c r="D13" s="464"/>
      <c r="E13" s="464"/>
      <c r="F13" s="464"/>
      <c r="G13" s="464"/>
      <c r="H13" s="464"/>
      <c r="I13" s="464"/>
      <c r="J13" s="464"/>
      <c r="K13" s="464">
        <f t="shared" si="0"/>
        <v>0</v>
      </c>
    </row>
    <row r="14" spans="1:11" s="459" customFormat="1" ht="12.75">
      <c r="A14" s="460" t="s">
        <v>229</v>
      </c>
      <c r="B14" s="461" t="s">
        <v>230</v>
      </c>
      <c r="C14" s="462">
        <f aca="true" t="shared" si="1" ref="C14:J14">SUM(C9:C13)</f>
        <v>4622627</v>
      </c>
      <c r="D14" s="462">
        <f t="shared" si="1"/>
        <v>8791485</v>
      </c>
      <c r="E14" s="462">
        <f t="shared" si="1"/>
        <v>7689756</v>
      </c>
      <c r="F14" s="462">
        <f t="shared" si="1"/>
        <v>2704341</v>
      </c>
      <c r="G14" s="462">
        <f t="shared" si="1"/>
        <v>4071146</v>
      </c>
      <c r="H14" s="462">
        <f t="shared" si="1"/>
        <v>3069258</v>
      </c>
      <c r="I14" s="462">
        <f t="shared" si="1"/>
        <v>180535</v>
      </c>
      <c r="J14" s="462">
        <f t="shared" si="1"/>
        <v>8833411057</v>
      </c>
      <c r="K14" s="462">
        <f t="shared" si="0"/>
        <v>8864540205</v>
      </c>
    </row>
    <row r="15" spans="1:11" s="459" customFormat="1" ht="12.75">
      <c r="A15" s="460" t="s">
        <v>231</v>
      </c>
      <c r="B15" s="463" t="s">
        <v>232</v>
      </c>
      <c r="C15" s="464"/>
      <c r="D15" s="464"/>
      <c r="E15" s="464"/>
      <c r="F15" s="464"/>
      <c r="G15" s="464"/>
      <c r="H15" s="464"/>
      <c r="I15" s="464"/>
      <c r="J15" s="464">
        <v>209420200</v>
      </c>
      <c r="K15" s="464">
        <f t="shared" si="0"/>
        <v>209420200</v>
      </c>
    </row>
    <row r="16" spans="1:11" s="459" customFormat="1" ht="12.75">
      <c r="A16" s="460" t="s">
        <v>233</v>
      </c>
      <c r="B16" s="463" t="s">
        <v>234</v>
      </c>
      <c r="C16" s="464">
        <v>0</v>
      </c>
      <c r="D16" s="464">
        <v>0</v>
      </c>
      <c r="E16" s="464">
        <v>0</v>
      </c>
      <c r="F16" s="464">
        <v>0</v>
      </c>
      <c r="G16" s="464">
        <v>0</v>
      </c>
      <c r="H16" s="464">
        <v>0</v>
      </c>
      <c r="I16" s="464">
        <v>0</v>
      </c>
      <c r="J16" s="464">
        <v>0</v>
      </c>
      <c r="K16" s="464">
        <f t="shared" si="0"/>
        <v>0</v>
      </c>
    </row>
    <row r="17" spans="1:11" s="465" customFormat="1" ht="12.75">
      <c r="A17" s="460" t="s">
        <v>235</v>
      </c>
      <c r="B17" s="463" t="s">
        <v>236</v>
      </c>
      <c r="C17" s="464">
        <v>0</v>
      </c>
      <c r="D17" s="464">
        <v>0</v>
      </c>
      <c r="E17" s="464">
        <v>0</v>
      </c>
      <c r="F17" s="464">
        <v>0</v>
      </c>
      <c r="G17" s="464">
        <v>0</v>
      </c>
      <c r="H17" s="464">
        <v>0</v>
      </c>
      <c r="I17" s="464">
        <v>0</v>
      </c>
      <c r="J17" s="464">
        <v>0</v>
      </c>
      <c r="K17" s="464">
        <f t="shared" si="0"/>
        <v>0</v>
      </c>
    </row>
    <row r="18" spans="1:11" s="459" customFormat="1" ht="25.5">
      <c r="A18" s="460" t="s">
        <v>237</v>
      </c>
      <c r="B18" s="461" t="s">
        <v>238</v>
      </c>
      <c r="C18" s="462">
        <f aca="true" t="shared" si="2" ref="C18:J18">SUM(C15:C17)</f>
        <v>0</v>
      </c>
      <c r="D18" s="462">
        <f t="shared" si="2"/>
        <v>0</v>
      </c>
      <c r="E18" s="462">
        <f t="shared" si="2"/>
        <v>0</v>
      </c>
      <c r="F18" s="462">
        <f t="shared" si="2"/>
        <v>0</v>
      </c>
      <c r="G18" s="462">
        <f t="shared" si="2"/>
        <v>0</v>
      </c>
      <c r="H18" s="462">
        <f t="shared" si="2"/>
        <v>0</v>
      </c>
      <c r="I18" s="462">
        <f t="shared" si="2"/>
        <v>0</v>
      </c>
      <c r="J18" s="462">
        <f t="shared" si="2"/>
        <v>209420200</v>
      </c>
      <c r="K18" s="462">
        <f t="shared" si="0"/>
        <v>209420200</v>
      </c>
    </row>
    <row r="19" spans="1:11" s="459" customFormat="1" ht="12.75">
      <c r="A19" s="460" t="s">
        <v>239</v>
      </c>
      <c r="B19" s="461" t="s">
        <v>240</v>
      </c>
      <c r="C19" s="462">
        <v>0</v>
      </c>
      <c r="D19" s="462"/>
      <c r="E19" s="462"/>
      <c r="F19" s="462"/>
      <c r="G19" s="462"/>
      <c r="H19" s="462"/>
      <c r="I19" s="462"/>
      <c r="J19" s="462"/>
      <c r="K19" s="462">
        <f t="shared" si="0"/>
        <v>0</v>
      </c>
    </row>
    <row r="20" spans="1:11" s="459" customFormat="1" ht="25.5">
      <c r="A20" s="460" t="s">
        <v>241</v>
      </c>
      <c r="B20" s="461" t="s">
        <v>242</v>
      </c>
      <c r="C20" s="462">
        <f aca="true" t="shared" si="3" ref="C20:J20">C8+C14+C18+C19</f>
        <v>4960179</v>
      </c>
      <c r="D20" s="462">
        <f t="shared" si="3"/>
        <v>8791485</v>
      </c>
      <c r="E20" s="462">
        <f t="shared" si="3"/>
        <v>7797346</v>
      </c>
      <c r="F20" s="462">
        <f t="shared" si="3"/>
        <v>3183293</v>
      </c>
      <c r="G20" s="462">
        <f t="shared" si="3"/>
        <v>4203900</v>
      </c>
      <c r="H20" s="462">
        <f t="shared" si="3"/>
        <v>3069258</v>
      </c>
      <c r="I20" s="462">
        <f t="shared" si="3"/>
        <v>180535</v>
      </c>
      <c r="J20" s="462">
        <f t="shared" si="3"/>
        <v>9062956908</v>
      </c>
      <c r="K20" s="462">
        <f t="shared" si="0"/>
        <v>9095142904</v>
      </c>
    </row>
    <row r="21" spans="1:11" s="459" customFormat="1" ht="12.75">
      <c r="A21" s="460" t="s">
        <v>243</v>
      </c>
      <c r="B21" s="461" t="s">
        <v>244</v>
      </c>
      <c r="C21" s="462">
        <v>0</v>
      </c>
      <c r="D21" s="462">
        <v>0</v>
      </c>
      <c r="E21" s="462">
        <v>0</v>
      </c>
      <c r="F21" s="462">
        <v>0</v>
      </c>
      <c r="G21" s="462">
        <v>0</v>
      </c>
      <c r="H21" s="462">
        <v>0</v>
      </c>
      <c r="I21" s="462">
        <v>0</v>
      </c>
      <c r="J21" s="462">
        <v>0</v>
      </c>
      <c r="K21" s="462">
        <f t="shared" si="0"/>
        <v>0</v>
      </c>
    </row>
    <row r="22" spans="1:11" s="459" customFormat="1" ht="12.75">
      <c r="A22" s="460" t="s">
        <v>245</v>
      </c>
      <c r="B22" s="461" t="s">
        <v>246</v>
      </c>
      <c r="C22" s="462">
        <v>0</v>
      </c>
      <c r="D22" s="462">
        <v>0</v>
      </c>
      <c r="E22" s="462">
        <v>0</v>
      </c>
      <c r="F22" s="462">
        <v>0</v>
      </c>
      <c r="G22" s="462">
        <v>0</v>
      </c>
      <c r="H22" s="462">
        <v>0</v>
      </c>
      <c r="I22" s="462">
        <v>0</v>
      </c>
      <c r="J22" s="462">
        <v>0</v>
      </c>
      <c r="K22" s="462">
        <f t="shared" si="0"/>
        <v>0</v>
      </c>
    </row>
    <row r="23" spans="1:11" s="465" customFormat="1" ht="25.5">
      <c r="A23" s="460" t="s">
        <v>247</v>
      </c>
      <c r="B23" s="461" t="s">
        <v>248</v>
      </c>
      <c r="C23" s="462">
        <v>0</v>
      </c>
      <c r="D23" s="462">
        <v>0</v>
      </c>
      <c r="E23" s="462">
        <v>0</v>
      </c>
      <c r="F23" s="462">
        <v>0</v>
      </c>
      <c r="G23" s="462">
        <v>0</v>
      </c>
      <c r="H23" s="462">
        <v>0</v>
      </c>
      <c r="I23" s="462">
        <v>0</v>
      </c>
      <c r="J23" s="462">
        <v>0</v>
      </c>
      <c r="K23" s="462">
        <f t="shared" si="0"/>
        <v>0</v>
      </c>
    </row>
    <row r="24" spans="1:11" s="466" customFormat="1" ht="13.5">
      <c r="A24" s="460" t="s">
        <v>249</v>
      </c>
      <c r="B24" s="463" t="s">
        <v>250</v>
      </c>
      <c r="C24" s="464">
        <v>0</v>
      </c>
      <c r="D24" s="464">
        <v>0</v>
      </c>
      <c r="E24" s="464">
        <v>0</v>
      </c>
      <c r="F24" s="464">
        <v>0</v>
      </c>
      <c r="G24" s="464">
        <v>0</v>
      </c>
      <c r="H24" s="464">
        <v>0</v>
      </c>
      <c r="I24" s="464">
        <v>0</v>
      </c>
      <c r="J24" s="464">
        <v>0</v>
      </c>
      <c r="K24" s="464">
        <f t="shared" si="0"/>
        <v>0</v>
      </c>
    </row>
    <row r="25" spans="1:11" s="466" customFormat="1" ht="13.5">
      <c r="A25" s="460" t="s">
        <v>251</v>
      </c>
      <c r="B25" s="463" t="s">
        <v>252</v>
      </c>
      <c r="C25" s="464">
        <v>30315</v>
      </c>
      <c r="D25" s="464">
        <v>14935</v>
      </c>
      <c r="E25" s="464">
        <v>113580</v>
      </c>
      <c r="F25" s="464">
        <v>439215</v>
      </c>
      <c r="G25" s="464">
        <v>96685</v>
      </c>
      <c r="H25" s="464">
        <v>75475</v>
      </c>
      <c r="I25" s="464">
        <v>6600</v>
      </c>
      <c r="J25" s="464">
        <v>450921</v>
      </c>
      <c r="K25" s="464">
        <f t="shared" si="0"/>
        <v>1227726</v>
      </c>
    </row>
    <row r="26" spans="1:11" s="459" customFormat="1" ht="12.75">
      <c r="A26" s="460" t="s">
        <v>253</v>
      </c>
      <c r="B26" s="463" t="s">
        <v>254</v>
      </c>
      <c r="C26" s="464">
        <v>28430280</v>
      </c>
      <c r="D26" s="464">
        <v>13171953</v>
      </c>
      <c r="E26" s="464">
        <v>8021784</v>
      </c>
      <c r="F26" s="464">
        <v>3150164</v>
      </c>
      <c r="G26" s="464">
        <v>20097245</v>
      </c>
      <c r="H26" s="464">
        <v>10542376</v>
      </c>
      <c r="I26" s="464">
        <v>6200197</v>
      </c>
      <c r="J26" s="464">
        <v>1212795615</v>
      </c>
      <c r="K26" s="464">
        <f t="shared" si="0"/>
        <v>1302409614</v>
      </c>
    </row>
    <row r="27" spans="1:11" s="465" customFormat="1" ht="12.75">
      <c r="A27" s="460" t="s">
        <v>255</v>
      </c>
      <c r="B27" s="463" t="s">
        <v>256</v>
      </c>
      <c r="C27" s="464"/>
      <c r="D27" s="464"/>
      <c r="E27" s="464"/>
      <c r="F27" s="464"/>
      <c r="G27" s="464"/>
      <c r="H27" s="464"/>
      <c r="I27" s="464"/>
      <c r="J27" s="464">
        <v>4369901</v>
      </c>
      <c r="K27" s="464">
        <f t="shared" si="0"/>
        <v>4369901</v>
      </c>
    </row>
    <row r="28" spans="1:11" s="465" customFormat="1" ht="12.75">
      <c r="A28" s="460" t="s">
        <v>257</v>
      </c>
      <c r="B28" s="463" t="s">
        <v>258</v>
      </c>
      <c r="C28" s="464">
        <v>0</v>
      </c>
      <c r="D28" s="464">
        <v>0</v>
      </c>
      <c r="E28" s="464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4">
        <f t="shared" si="0"/>
        <v>0</v>
      </c>
    </row>
    <row r="29" spans="1:11" s="459" customFormat="1" ht="12.75">
      <c r="A29" s="460" t="s">
        <v>259</v>
      </c>
      <c r="B29" s="461" t="s">
        <v>260</v>
      </c>
      <c r="C29" s="462">
        <f aca="true" t="shared" si="4" ref="C29:J29">SUM(C24:C28)</f>
        <v>28460595</v>
      </c>
      <c r="D29" s="462">
        <f t="shared" si="4"/>
        <v>13186888</v>
      </c>
      <c r="E29" s="462">
        <f t="shared" si="4"/>
        <v>8135364</v>
      </c>
      <c r="F29" s="462">
        <f t="shared" si="4"/>
        <v>3589379</v>
      </c>
      <c r="G29" s="462">
        <f t="shared" si="4"/>
        <v>20193930</v>
      </c>
      <c r="H29" s="462">
        <f t="shared" si="4"/>
        <v>10617851</v>
      </c>
      <c r="I29" s="462">
        <f t="shared" si="4"/>
        <v>6206797</v>
      </c>
      <c r="J29" s="462">
        <f t="shared" si="4"/>
        <v>1217616437</v>
      </c>
      <c r="K29" s="462">
        <f t="shared" si="0"/>
        <v>1308007241</v>
      </c>
    </row>
    <row r="30" spans="1:11" s="459" customFormat="1" ht="12.75">
      <c r="A30" s="460" t="s">
        <v>261</v>
      </c>
      <c r="B30" s="461" t="s">
        <v>262</v>
      </c>
      <c r="C30" s="462"/>
      <c r="D30" s="462">
        <v>988155</v>
      </c>
      <c r="E30" s="462">
        <v>0</v>
      </c>
      <c r="F30" s="462">
        <v>109552</v>
      </c>
      <c r="G30" s="462">
        <v>358850</v>
      </c>
      <c r="H30" s="462">
        <v>0</v>
      </c>
      <c r="I30" s="462">
        <v>0</v>
      </c>
      <c r="J30" s="462">
        <v>253200656</v>
      </c>
      <c r="K30" s="462">
        <f t="shared" si="0"/>
        <v>254657213</v>
      </c>
    </row>
    <row r="31" spans="1:11" s="459" customFormat="1" ht="12.75">
      <c r="A31" s="460" t="s">
        <v>263</v>
      </c>
      <c r="B31" s="461" t="s">
        <v>264</v>
      </c>
      <c r="C31" s="462"/>
      <c r="D31" s="462"/>
      <c r="E31" s="462"/>
      <c r="F31" s="462"/>
      <c r="G31" s="462"/>
      <c r="H31" s="462">
        <v>41604</v>
      </c>
      <c r="I31" s="462"/>
      <c r="J31" s="462">
        <v>0</v>
      </c>
      <c r="K31" s="462">
        <f t="shared" si="0"/>
        <v>41604</v>
      </c>
    </row>
    <row r="32" spans="1:11" s="465" customFormat="1" ht="12.75">
      <c r="A32" s="460" t="s">
        <v>265</v>
      </c>
      <c r="B32" s="461" t="s">
        <v>266</v>
      </c>
      <c r="C32" s="462">
        <v>30000</v>
      </c>
      <c r="D32" s="462"/>
      <c r="E32" s="462">
        <v>13424</v>
      </c>
      <c r="F32" s="462">
        <v>553376</v>
      </c>
      <c r="G32" s="462">
        <v>263331</v>
      </c>
      <c r="H32" s="462">
        <v>463666</v>
      </c>
      <c r="I32" s="462">
        <v>0</v>
      </c>
      <c r="J32" s="462">
        <v>3073276</v>
      </c>
      <c r="K32" s="462">
        <f t="shared" si="0"/>
        <v>4397073</v>
      </c>
    </row>
    <row r="33" spans="1:11" s="466" customFormat="1" ht="13.5">
      <c r="A33" s="460" t="s">
        <v>267</v>
      </c>
      <c r="B33" s="461" t="s">
        <v>268</v>
      </c>
      <c r="C33" s="462">
        <f aca="true" t="shared" si="5" ref="C33:J33">SUM(C30:C32)</f>
        <v>30000</v>
      </c>
      <c r="D33" s="462">
        <f t="shared" si="5"/>
        <v>988155</v>
      </c>
      <c r="E33" s="462">
        <f t="shared" si="5"/>
        <v>13424</v>
      </c>
      <c r="F33" s="462">
        <f t="shared" si="5"/>
        <v>662928</v>
      </c>
      <c r="G33" s="462">
        <f t="shared" si="5"/>
        <v>622181</v>
      </c>
      <c r="H33" s="462">
        <f t="shared" si="5"/>
        <v>505270</v>
      </c>
      <c r="I33" s="462">
        <f t="shared" si="5"/>
        <v>0</v>
      </c>
      <c r="J33" s="462">
        <f t="shared" si="5"/>
        <v>256273932</v>
      </c>
      <c r="K33" s="462">
        <f t="shared" si="0"/>
        <v>259095890</v>
      </c>
    </row>
    <row r="34" spans="1:11" s="459" customFormat="1" ht="25.5">
      <c r="A34" s="460" t="s">
        <v>269</v>
      </c>
      <c r="B34" s="461" t="s">
        <v>270</v>
      </c>
      <c r="C34" s="462">
        <v>0</v>
      </c>
      <c r="D34" s="462">
        <v>125902</v>
      </c>
      <c r="E34" s="462">
        <v>0</v>
      </c>
      <c r="F34" s="462">
        <v>54375</v>
      </c>
      <c r="G34" s="462">
        <v>173540</v>
      </c>
      <c r="H34" s="462">
        <v>140000</v>
      </c>
      <c r="I34" s="462">
        <v>470634</v>
      </c>
      <c r="J34" s="462">
        <v>61422045</v>
      </c>
      <c r="K34" s="462">
        <f t="shared" si="0"/>
        <v>62386496</v>
      </c>
    </row>
    <row r="35" spans="1:11" s="459" customFormat="1" ht="12.75">
      <c r="A35" s="460" t="s">
        <v>271</v>
      </c>
      <c r="B35" s="461" t="s">
        <v>272</v>
      </c>
      <c r="C35" s="462">
        <v>0</v>
      </c>
      <c r="D35" s="462"/>
      <c r="E35" s="462"/>
      <c r="F35" s="462"/>
      <c r="G35" s="462"/>
      <c r="H35" s="462"/>
      <c r="I35" s="462"/>
      <c r="J35" s="462"/>
      <c r="K35" s="462">
        <f t="shared" si="0"/>
        <v>0</v>
      </c>
    </row>
    <row r="36" spans="1:11" s="459" customFormat="1" ht="13.5" thickBot="1">
      <c r="A36" s="705" t="s">
        <v>273</v>
      </c>
      <c r="B36" s="706"/>
      <c r="C36" s="467">
        <f aca="true" t="shared" si="6" ref="C36:J36">C20+C23+C29+C33+C34+C35</f>
        <v>33450774</v>
      </c>
      <c r="D36" s="467">
        <f t="shared" si="6"/>
        <v>23092430</v>
      </c>
      <c r="E36" s="467">
        <f t="shared" si="6"/>
        <v>15946134</v>
      </c>
      <c r="F36" s="467">
        <f t="shared" si="6"/>
        <v>7489975</v>
      </c>
      <c r="G36" s="467">
        <f t="shared" si="6"/>
        <v>25193551</v>
      </c>
      <c r="H36" s="467">
        <f t="shared" si="6"/>
        <v>14332379</v>
      </c>
      <c r="I36" s="467">
        <f t="shared" si="6"/>
        <v>6857966</v>
      </c>
      <c r="J36" s="467">
        <f t="shared" si="6"/>
        <v>10598269322</v>
      </c>
      <c r="K36" s="467">
        <f t="shared" si="0"/>
        <v>10724632531</v>
      </c>
    </row>
    <row r="37" spans="1:11" s="459" customFormat="1" ht="12.75">
      <c r="A37" s="707" t="s">
        <v>274</v>
      </c>
      <c r="B37" s="708"/>
      <c r="C37" s="468"/>
      <c r="D37" s="468"/>
      <c r="E37" s="468"/>
      <c r="F37" s="468"/>
      <c r="G37" s="468"/>
      <c r="H37" s="468"/>
      <c r="I37" s="468"/>
      <c r="J37" s="468"/>
      <c r="K37" s="468">
        <f t="shared" si="0"/>
        <v>0</v>
      </c>
    </row>
    <row r="38" spans="1:11" s="459" customFormat="1" ht="12.75">
      <c r="A38" s="460" t="s">
        <v>275</v>
      </c>
      <c r="B38" s="463" t="s">
        <v>276</v>
      </c>
      <c r="C38" s="464">
        <v>12625036</v>
      </c>
      <c r="D38" s="464">
        <v>41381470</v>
      </c>
      <c r="E38" s="464">
        <v>42807407</v>
      </c>
      <c r="F38" s="464">
        <v>51736680</v>
      </c>
      <c r="G38" s="464">
        <v>7496151</v>
      </c>
      <c r="H38" s="464">
        <v>8670857</v>
      </c>
      <c r="I38" s="464">
        <v>7823298</v>
      </c>
      <c r="J38" s="464">
        <v>9258755082</v>
      </c>
      <c r="K38" s="464">
        <f t="shared" si="0"/>
        <v>9431295981</v>
      </c>
    </row>
    <row r="39" spans="1:11" s="459" customFormat="1" ht="12.75">
      <c r="A39" s="460" t="s">
        <v>277</v>
      </c>
      <c r="B39" s="463" t="s">
        <v>278</v>
      </c>
      <c r="C39" s="464">
        <v>0</v>
      </c>
      <c r="D39" s="464">
        <v>0</v>
      </c>
      <c r="E39" s="464">
        <v>-1817697</v>
      </c>
      <c r="F39" s="464">
        <v>0</v>
      </c>
      <c r="G39" s="464">
        <v>0</v>
      </c>
      <c r="H39" s="464">
        <v>0</v>
      </c>
      <c r="I39" s="464">
        <v>-65926</v>
      </c>
      <c r="J39" s="464">
        <v>154631000</v>
      </c>
      <c r="K39" s="464">
        <f t="shared" si="0"/>
        <v>152747377</v>
      </c>
    </row>
    <row r="40" spans="1:11" s="459" customFormat="1" ht="12.75">
      <c r="A40" s="460" t="s">
        <v>279</v>
      </c>
      <c r="B40" s="463" t="s">
        <v>280</v>
      </c>
      <c r="C40" s="464">
        <v>1650077</v>
      </c>
      <c r="D40" s="464">
        <v>2975802</v>
      </c>
      <c r="E40" s="464">
        <v>2153191</v>
      </c>
      <c r="F40" s="464">
        <v>8882269</v>
      </c>
      <c r="G40" s="464">
        <v>3068791</v>
      </c>
      <c r="H40" s="464">
        <v>444527</v>
      </c>
      <c r="I40" s="464">
        <v>1131480</v>
      </c>
      <c r="J40" s="464">
        <v>352570220</v>
      </c>
      <c r="K40" s="464">
        <f t="shared" si="0"/>
        <v>372876357</v>
      </c>
    </row>
    <row r="41" spans="1:11" s="459" customFormat="1" ht="12.75">
      <c r="A41" s="460" t="s">
        <v>281</v>
      </c>
      <c r="B41" s="463" t="s">
        <v>282</v>
      </c>
      <c r="C41" s="464">
        <v>-15686674</v>
      </c>
      <c r="D41" s="464">
        <v>-28132336</v>
      </c>
      <c r="E41" s="464">
        <v>-27443892</v>
      </c>
      <c r="F41" s="464">
        <v>-58121472</v>
      </c>
      <c r="G41" s="464">
        <v>-15033809</v>
      </c>
      <c r="H41" s="464">
        <v>-8879499</v>
      </c>
      <c r="I41" s="464">
        <v>-8229321</v>
      </c>
      <c r="J41" s="464">
        <v>-454145172</v>
      </c>
      <c r="K41" s="464">
        <f t="shared" si="0"/>
        <v>-615672175</v>
      </c>
    </row>
    <row r="42" spans="1:11" s="459" customFormat="1" ht="12.75">
      <c r="A42" s="460" t="s">
        <v>283</v>
      </c>
      <c r="B42" s="463" t="s">
        <v>284</v>
      </c>
      <c r="C42" s="464">
        <v>0</v>
      </c>
      <c r="D42" s="464">
        <v>0</v>
      </c>
      <c r="E42" s="464">
        <v>0</v>
      </c>
      <c r="F42" s="464">
        <v>0</v>
      </c>
      <c r="G42" s="464">
        <v>0</v>
      </c>
      <c r="H42" s="464">
        <v>0</v>
      </c>
      <c r="I42" s="464">
        <v>0</v>
      </c>
      <c r="J42" s="464">
        <v>0</v>
      </c>
      <c r="K42" s="464">
        <f t="shared" si="0"/>
        <v>0</v>
      </c>
    </row>
    <row r="43" spans="1:11" s="459" customFormat="1" ht="12.75">
      <c r="A43" s="460" t="s">
        <v>285</v>
      </c>
      <c r="B43" s="463" t="s">
        <v>286</v>
      </c>
      <c r="C43" s="464">
        <v>32320955</v>
      </c>
      <c r="D43" s="464">
        <v>-2044900</v>
      </c>
      <c r="E43" s="464">
        <v>-3429351</v>
      </c>
      <c r="F43" s="464">
        <v>-15555778</v>
      </c>
      <c r="G43" s="464">
        <v>13153274</v>
      </c>
      <c r="H43" s="464">
        <v>378156</v>
      </c>
      <c r="I43" s="464">
        <v>-3737089</v>
      </c>
      <c r="J43" s="464">
        <v>342909973</v>
      </c>
      <c r="K43" s="464">
        <f t="shared" si="0"/>
        <v>363995240</v>
      </c>
    </row>
    <row r="44" spans="1:11" s="459" customFormat="1" ht="12.75">
      <c r="A44" s="460" t="s">
        <v>287</v>
      </c>
      <c r="B44" s="461" t="s">
        <v>288</v>
      </c>
      <c r="C44" s="462">
        <f aca="true" t="shared" si="7" ref="C44:J44">SUM(C38:C43)</f>
        <v>30909394</v>
      </c>
      <c r="D44" s="462">
        <f t="shared" si="7"/>
        <v>14180036</v>
      </c>
      <c r="E44" s="462">
        <f t="shared" si="7"/>
        <v>12269658</v>
      </c>
      <c r="F44" s="462">
        <f t="shared" si="7"/>
        <v>-13058301</v>
      </c>
      <c r="G44" s="462">
        <f t="shared" si="7"/>
        <v>8684407</v>
      </c>
      <c r="H44" s="462">
        <f t="shared" si="7"/>
        <v>614041</v>
      </c>
      <c r="I44" s="462">
        <f t="shared" si="7"/>
        <v>-3077558</v>
      </c>
      <c r="J44" s="462">
        <f t="shared" si="7"/>
        <v>9654721103</v>
      </c>
      <c r="K44" s="462">
        <f t="shared" si="0"/>
        <v>9705242780</v>
      </c>
    </row>
    <row r="45" spans="1:11" s="459" customFormat="1" ht="12.75">
      <c r="A45" s="460" t="s">
        <v>289</v>
      </c>
      <c r="B45" s="463" t="s">
        <v>290</v>
      </c>
      <c r="C45" s="464"/>
      <c r="D45" s="464">
        <v>3147126</v>
      </c>
      <c r="E45" s="464">
        <v>0</v>
      </c>
      <c r="F45" s="464">
        <v>0</v>
      </c>
      <c r="G45" s="464">
        <v>0</v>
      </c>
      <c r="H45" s="464">
        <v>0</v>
      </c>
      <c r="I45" s="464">
        <v>1</v>
      </c>
      <c r="J45" s="464">
        <v>7545311</v>
      </c>
      <c r="K45" s="464">
        <f t="shared" si="0"/>
        <v>10692438</v>
      </c>
    </row>
    <row r="46" spans="1:11" s="459" customFormat="1" ht="25.5">
      <c r="A46" s="460" t="s">
        <v>291</v>
      </c>
      <c r="B46" s="463" t="s">
        <v>292</v>
      </c>
      <c r="C46" s="464">
        <v>18404</v>
      </c>
      <c r="D46" s="464">
        <v>885589</v>
      </c>
      <c r="E46" s="464">
        <v>542709</v>
      </c>
      <c r="F46" s="464">
        <v>1166753</v>
      </c>
      <c r="G46" s="464">
        <v>1663348</v>
      </c>
      <c r="H46" s="464">
        <v>140796</v>
      </c>
      <c r="I46" s="464">
        <v>202586</v>
      </c>
      <c r="J46" s="464">
        <v>31241219</v>
      </c>
      <c r="K46" s="464">
        <f t="shared" si="0"/>
        <v>35861404</v>
      </c>
    </row>
    <row r="47" spans="1:11" s="459" customFormat="1" ht="12.75">
      <c r="A47" s="460" t="s">
        <v>293</v>
      </c>
      <c r="B47" s="463" t="s">
        <v>294</v>
      </c>
      <c r="C47" s="464">
        <v>0</v>
      </c>
      <c r="D47" s="464">
        <v>0</v>
      </c>
      <c r="E47" s="464">
        <v>0</v>
      </c>
      <c r="F47" s="464">
        <v>178958</v>
      </c>
      <c r="G47" s="464">
        <v>28431</v>
      </c>
      <c r="H47" s="464">
        <v>542988</v>
      </c>
      <c r="I47" s="464">
        <v>550950</v>
      </c>
      <c r="J47" s="464">
        <v>14938247</v>
      </c>
      <c r="K47" s="464">
        <f t="shared" si="0"/>
        <v>16239574</v>
      </c>
    </row>
    <row r="48" spans="1:11" s="459" customFormat="1" ht="12.75">
      <c r="A48" s="460" t="s">
        <v>295</v>
      </c>
      <c r="B48" s="461" t="s">
        <v>296</v>
      </c>
      <c r="C48" s="462">
        <f aca="true" t="shared" si="8" ref="C48:J48">SUM(C45:C47)</f>
        <v>18404</v>
      </c>
      <c r="D48" s="462">
        <f t="shared" si="8"/>
        <v>4032715</v>
      </c>
      <c r="E48" s="462">
        <f t="shared" si="8"/>
        <v>542709</v>
      </c>
      <c r="F48" s="462">
        <f t="shared" si="8"/>
        <v>1345711</v>
      </c>
      <c r="G48" s="462">
        <f t="shared" si="8"/>
        <v>1691779</v>
      </c>
      <c r="H48" s="462">
        <f t="shared" si="8"/>
        <v>683784</v>
      </c>
      <c r="I48" s="462">
        <f t="shared" si="8"/>
        <v>753537</v>
      </c>
      <c r="J48" s="462">
        <f t="shared" si="8"/>
        <v>53724777</v>
      </c>
      <c r="K48" s="462">
        <f t="shared" si="0"/>
        <v>62793416</v>
      </c>
    </row>
    <row r="49" spans="1:11" s="459" customFormat="1" ht="25.5">
      <c r="A49" s="460" t="s">
        <v>297</v>
      </c>
      <c r="B49" s="461" t="s">
        <v>298</v>
      </c>
      <c r="C49" s="462">
        <v>0</v>
      </c>
      <c r="D49" s="462">
        <v>0</v>
      </c>
      <c r="E49" s="462">
        <v>0</v>
      </c>
      <c r="F49" s="462">
        <v>0</v>
      </c>
      <c r="G49" s="462">
        <v>0</v>
      </c>
      <c r="H49" s="462">
        <v>0</v>
      </c>
      <c r="I49" s="462">
        <v>0</v>
      </c>
      <c r="J49" s="462">
        <v>0</v>
      </c>
      <c r="K49" s="462">
        <f t="shared" si="0"/>
        <v>0</v>
      </c>
    </row>
    <row r="50" spans="1:11" s="459" customFormat="1" ht="12.75">
      <c r="A50" s="460" t="s">
        <v>299</v>
      </c>
      <c r="B50" s="461" t="s">
        <v>300</v>
      </c>
      <c r="C50" s="462">
        <v>2522976</v>
      </c>
      <c r="D50" s="462">
        <v>4879679</v>
      </c>
      <c r="E50" s="462">
        <v>3133767</v>
      </c>
      <c r="F50" s="462">
        <v>19202565</v>
      </c>
      <c r="G50" s="462">
        <v>14817365</v>
      </c>
      <c r="H50" s="462">
        <v>13034554</v>
      </c>
      <c r="I50" s="462">
        <v>9181987</v>
      </c>
      <c r="J50" s="462">
        <v>889823442</v>
      </c>
      <c r="K50" s="462">
        <f t="shared" si="0"/>
        <v>956596335</v>
      </c>
    </row>
    <row r="51" spans="1:11" s="459" customFormat="1" ht="13.5" thickBot="1">
      <c r="A51" s="709" t="s">
        <v>500</v>
      </c>
      <c r="B51" s="710"/>
      <c r="C51" s="469">
        <f aca="true" t="shared" si="9" ref="C51:K51">C44+C48+C49+C50</f>
        <v>33450774</v>
      </c>
      <c r="D51" s="469">
        <f t="shared" si="9"/>
        <v>23092430</v>
      </c>
      <c r="E51" s="469">
        <f t="shared" si="9"/>
        <v>15946134</v>
      </c>
      <c r="F51" s="469">
        <f t="shared" si="9"/>
        <v>7489975</v>
      </c>
      <c r="G51" s="469">
        <f t="shared" si="9"/>
        <v>25193551</v>
      </c>
      <c r="H51" s="469">
        <f t="shared" si="9"/>
        <v>14332379</v>
      </c>
      <c r="I51" s="469">
        <f t="shared" si="9"/>
        <v>6857966</v>
      </c>
      <c r="J51" s="469">
        <f t="shared" si="9"/>
        <v>10598269322</v>
      </c>
      <c r="K51" s="469">
        <f t="shared" si="9"/>
        <v>10724632531</v>
      </c>
    </row>
  </sheetData>
  <sheetProtection/>
  <mergeCells count="6">
    <mergeCell ref="A3:K3"/>
    <mergeCell ref="A4:K4"/>
    <mergeCell ref="A7:B7"/>
    <mergeCell ref="A36:B36"/>
    <mergeCell ref="A37:B37"/>
    <mergeCell ref="A51:B51"/>
  </mergeCells>
  <printOptions/>
  <pageMargins left="0.7874015748031497" right="0.64" top="0.6" bottom="0.37" header="0.5118110236220472" footer="0.3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2019-05-22T15:28:15Z</cp:lastPrinted>
  <dcterms:created xsi:type="dcterms:W3CDTF">2007-11-15T07:32:30Z</dcterms:created>
  <dcterms:modified xsi:type="dcterms:W3CDTF">2019-05-30T14:48:17Z</dcterms:modified>
  <cp:category/>
  <cp:version/>
  <cp:contentType/>
  <cp:contentStatus/>
</cp:coreProperties>
</file>