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2. sz. mell." sheetId="21" r:id="rId21"/>
    <sheet name="8.3. sz. mell." sheetId="22" r:id="rId22"/>
    <sheet name="8.4. sz. mell." sheetId="23" r:id="rId23"/>
    <sheet name="9. sz. mell" sheetId="24" r:id="rId24"/>
    <sheet name="10. sz. mell" sheetId="25" r:id="rId25"/>
    <sheet name="1.tájékoztató" sheetId="26" r:id="rId26"/>
    <sheet name="2. tájékoztató tábla" sheetId="27" r:id="rId27"/>
    <sheet name="3. tájékoztató tábla" sheetId="28" r:id="rId28"/>
    <sheet name="4. tájékoztató tábla" sheetId="29" r:id="rId29"/>
    <sheet name="5. tájékoztató tábla" sheetId="30" r:id="rId30"/>
    <sheet name="6. tájékoztató tábla" sheetId="31" r:id="rId31"/>
    <sheet name="7.1. tájékoztató tábla" sheetId="32" r:id="rId32"/>
    <sheet name="7.2. tájékoztató tábla" sheetId="33" r:id="rId33"/>
    <sheet name="7.3. tájékoztató tábla" sheetId="34" r:id="rId34"/>
    <sheet name="7.4. tájékoztató tábla" sheetId="35" r:id="rId35"/>
    <sheet name="8. tájékoztató tábla" sheetId="36" r:id="rId36"/>
    <sheet name="9. tájékoztató tábla" sheetId="37" r:id="rId37"/>
    <sheet name="Munka1" sheetId="38" r:id="rId38"/>
  </sheets>
  <definedNames>
    <definedName name="_ftn1" localSheetId="33">'7.3. tájékoztató tábla'!$A$27</definedName>
    <definedName name="_ftnref1" localSheetId="33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1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'8.2. sz. mell.'!$1:$6</definedName>
    <definedName name="_xlnm.Print_Titles" localSheetId="21">'8.3. sz. mell.'!$1:$6</definedName>
    <definedName name="_xlnm.Print_Titles" localSheetId="22">'8.4.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4">'1.4.sz.mell.'!$A$1:$E$151</definedName>
    <definedName name="_xlnm.Print_Area" localSheetId="25">'1.tájékoztató'!$A$1:$E$145</definedName>
    <definedName name="_xlnm.Print_Area" localSheetId="5">'2.1.sz.mell  '!$A$1:$J$33</definedName>
    <definedName name="_xlnm.Print_Area" localSheetId="19">'8.1. sz. mell.'!$A$1:$F$58</definedName>
    <definedName name="_xlnm.Print_Area" localSheetId="20">'8.2. sz. mell.'!$A$1:$E$58</definedName>
    <definedName name="_xlnm.Print_Area" localSheetId="21">'8.3. sz. mell.'!$A$1:$F$58</definedName>
    <definedName name="_xlnm.Print_Area" localSheetId="36">'9. tájékoztató tábla'!$A$1:$C$13</definedName>
  </definedNames>
  <calcPr fullCalcOnLoad="1"/>
</workbook>
</file>

<file path=xl/sharedStrings.xml><?xml version="1.0" encoding="utf-8"?>
<sst xmlns="http://schemas.openxmlformats.org/spreadsheetml/2006/main" count="6067" uniqueCount="930">
  <si>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</si>
  <si>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</si>
  <si>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</si>
  <si>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</si>
  <si>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</si>
  <si>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</si>
  <si>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</si>
  <si>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</si>
  <si>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</si>
  <si>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</si>
  <si>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</si>
  <si>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</si>
  <si>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</si>
  <si>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</si>
  <si>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</si>
  <si>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</si>
  <si>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</si>
  <si>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</si>
  <si>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</si>
  <si>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</si>
  <si>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</si>
  <si>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</si>
  <si>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</si>
  <si>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</si>
  <si>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</si>
  <si>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</si>
  <si>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</si>
  <si>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</si>
  <si>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</si>
  <si>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</si>
  <si>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</si>
  <si>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</si>
  <si>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</si>
  <si>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</si>
  <si>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</si>
  <si>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</si>
  <si>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</si>
  <si>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</si>
  <si>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</si>
  <si>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</si>
  <si>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</si>
  <si>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</si>
  <si>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</si>
  <si>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</si>
  <si>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</si>
  <si>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</si>
  <si>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</si>
  <si>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</si>
  <si>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</si>
  <si>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</si>
  <si>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</si>
  <si>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</si>
  <si>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</si>
  <si>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</si>
  <si>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</si>
  <si>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</si>
  <si>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</si>
  <si>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</si>
  <si>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</si>
  <si>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</si>
  <si>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</si>
  <si>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</si>
  <si>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</si>
  <si>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</si>
  <si>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</si>
  <si>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</si>
  <si>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</si>
  <si>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</si>
  <si>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</si>
  <si>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</si>
  <si>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</si>
  <si>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</si>
  <si>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</si>
  <si>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</si>
  <si>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</si>
  <si>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</si>
  <si>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</si>
  <si>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</si>
  <si>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</si>
  <si>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</si>
  <si>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</si>
  <si>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</si>
  <si>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</si>
  <si>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</si>
  <si>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</si>
  <si>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</si>
  <si>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</si>
  <si>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</si>
  <si>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</si>
  <si>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</si>
  <si>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</si>
  <si>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</si>
  <si>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</si>
  <si>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</si>
  <si>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</si>
  <si>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</si>
  <si>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</si>
  <si>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</si>
  <si>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</si>
  <si>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</si>
  <si>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</si>
  <si>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</si>
  <si>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</si>
  <si>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</si>
  <si>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</si>
  <si>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</si>
  <si>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</si>
  <si>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</si>
  <si>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</si>
  <si>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</si>
  <si>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</si>
  <si>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</si>
  <si>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</si>
  <si>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</si>
  <si>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</si>
  <si>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</si>
  <si>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</si>
  <si>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</si>
  <si>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</si>
  <si>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</si>
  <si>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</si>
  <si>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</si>
  <si>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</si>
  <si>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</si>
  <si>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</si>
  <si>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</si>
  <si>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</si>
  <si>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</si>
  <si>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</si>
  <si>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</si>
  <si>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</si>
  <si>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</si>
  <si>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</si>
  <si>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</si>
  <si>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</si>
  <si>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</si>
  <si>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</si>
  <si>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</si>
  <si>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</si>
  <si>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</si>
  <si>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</si>
  <si>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</si>
  <si>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</si>
  <si>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</si>
  <si>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</si>
  <si>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</si>
  <si>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</si>
  <si>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</si>
  <si>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</si>
  <si>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</si>
  <si>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</si>
  <si>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</si>
  <si>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</si>
  <si>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</si>
  <si>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</si>
  <si>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</si>
  <si>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</si>
  <si>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</si>
  <si>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</si>
  <si>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</si>
  <si>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</si>
  <si>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</si>
  <si>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</si>
  <si>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</si>
  <si>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</si>
  <si>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</si>
  <si>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</si>
  <si>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</si>
  <si>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</si>
  <si>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</si>
  <si>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</si>
  <si>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</si>
  <si>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</si>
  <si>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</si>
  <si>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</si>
  <si>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</si>
  <si>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</si>
  <si>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</si>
  <si>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</si>
  <si>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</si>
  <si>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</si>
  <si>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</si>
  <si>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</si>
  <si>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</si>
  <si>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</si>
  <si>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</si>
  <si>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</si>
  <si>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</si>
  <si>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</si>
  <si>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</si>
  <si>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</si>
  <si>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</si>
  <si>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</si>
  <si>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</si>
  <si>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</si>
  <si>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</si>
  <si>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</si>
  <si>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</si>
  <si>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</si>
  <si>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</si>
  <si>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</si>
  <si>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</si>
  <si>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</si>
  <si>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</si>
  <si>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</si>
  <si>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</si>
  <si>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</si>
  <si>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</si>
  <si>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</si>
  <si>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</si>
  <si>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</si>
  <si>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</si>
  <si>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</si>
  <si>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</si>
  <si>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</si>
  <si>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</si>
  <si>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</si>
  <si>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</si>
  <si>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</si>
  <si>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</si>
  <si>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</si>
  <si>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</si>
  <si>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</si>
  <si>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</si>
  <si>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</si>
  <si>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</si>
  <si>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</si>
  <si>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</si>
  <si>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</si>
  <si>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</si>
  <si>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</si>
  <si>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</si>
  <si>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</si>
  <si>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</si>
  <si>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</si>
  <si>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</si>
  <si>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</si>
  <si>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</si>
  <si>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</si>
  <si>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</si>
  <si>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</si>
  <si>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</si>
  <si>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</si>
  <si>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</si>
  <si>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</si>
  <si>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</si>
  <si>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</si>
  <si>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</si>
  <si>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</si>
  <si>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</si>
  <si>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</si>
  <si>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</si>
  <si>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</si>
  <si>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</si>
  <si>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</si>
  <si>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</si>
  <si>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</si>
  <si>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</si>
  <si>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</si>
  <si>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</si>
  <si>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</si>
  <si>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</si>
  <si>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</si>
  <si>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</si>
  <si>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</si>
  <si>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</si>
  <si>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</si>
  <si>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</si>
  <si>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</si>
  <si>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</si>
  <si>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</si>
  <si>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</si>
  <si>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</si>
  <si>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</si>
  <si>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</si>
  <si>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</si>
  <si>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</si>
  <si>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</si>
  <si>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</si>
  <si>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</si>
  <si>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</si>
  <si>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</si>
  <si>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</si>
  <si>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</si>
  <si>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</si>
  <si>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</si>
  <si>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</si>
  <si>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</si>
  <si>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</si>
  <si>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</si>
  <si>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</si>
  <si>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</si>
  <si>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</si>
  <si>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</si>
  <si>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</si>
  <si>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</si>
  <si>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</si>
  <si>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</si>
  <si>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</si>
  <si>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</si>
  <si>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</si>
  <si>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</si>
  <si>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</si>
  <si>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</si>
  <si>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</si>
  <si>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</si>
  <si>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</si>
  <si>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</si>
  <si>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</si>
  <si>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</si>
  <si>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</si>
  <si>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</si>
  <si>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</si>
  <si>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</si>
  <si>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</si>
  <si>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</si>
  <si>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</si>
  <si>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</si>
  <si>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</si>
  <si>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</si>
  <si>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</si>
  <si>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</si>
  <si>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</si>
  <si>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</si>
  <si>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</si>
  <si>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</si>
  <si>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</si>
  <si>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</si>
  <si>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</si>
  <si>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</si>
  <si>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</si>
  <si>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</si>
  <si>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</si>
  <si>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</si>
  <si>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</si>
  <si>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</si>
  <si>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</si>
  <si>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</si>
  <si>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</si>
  <si>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</si>
  <si>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</si>
  <si>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</si>
  <si>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</si>
  <si>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</si>
  <si>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</si>
  <si>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</si>
  <si>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</si>
  <si>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</si>
  <si>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</si>
  <si>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</si>
  <si>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</si>
  <si>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</si>
  <si>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</si>
  <si>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</si>
  <si>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</si>
  <si>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</si>
  <si>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</si>
  <si>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</si>
  <si>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</si>
  <si>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</si>
  <si>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</si>
  <si>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</si>
  <si>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</si>
  <si>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</si>
  <si>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</si>
  <si>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</si>
  <si>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</si>
  <si>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</si>
  <si>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</si>
  <si>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</si>
  <si>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</si>
  <si>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</si>
  <si>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</si>
  <si>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</si>
  <si>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</si>
  <si>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</si>
  <si>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</si>
  <si>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</si>
  <si>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</si>
  <si>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</si>
  <si>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</si>
  <si>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</si>
  <si>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</si>
  <si>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</si>
  <si>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</si>
  <si>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</si>
  <si>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</si>
  <si>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</si>
  <si>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</si>
  <si>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</si>
  <si>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</si>
  <si>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</si>
  <si>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</si>
  <si>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</si>
  <si>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</si>
  <si>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</si>
  <si>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</si>
  <si>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</si>
  <si>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</si>
  <si>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</si>
  <si>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</si>
  <si>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</si>
  <si>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</si>
  <si>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</si>
  <si>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</si>
  <si>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</si>
  <si>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</si>
  <si>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</si>
  <si>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</si>
  <si>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</si>
  <si>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</si>
  <si>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</si>
  <si>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</si>
  <si>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</si>
  <si>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</si>
  <si>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</si>
  <si>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</si>
  <si>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</si>
  <si>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</si>
  <si>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</si>
  <si>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</si>
  <si>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</si>
  <si>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</si>
  <si>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</si>
  <si>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</si>
  <si>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</si>
  <si>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</si>
  <si>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</si>
  <si>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</si>
  <si>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</si>
  <si>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</si>
  <si>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</si>
  <si>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</si>
  <si>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</si>
  <si>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</si>
  <si>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</si>
  <si>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</si>
  <si>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</si>
  <si>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</si>
  <si>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</si>
  <si>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</si>
  <si>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</si>
  <si>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</si>
  <si>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</si>
  <si>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</si>
  <si>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</si>
  <si>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</si>
  <si>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</si>
  <si>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</si>
  <si>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</si>
  <si>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</si>
  <si>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</si>
  <si>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</si>
  <si>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</si>
  <si>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</si>
  <si>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</si>
  <si>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</si>
  <si>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</si>
  <si>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</si>
  <si>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</si>
  <si>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</si>
  <si>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</si>
  <si>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</si>
  <si>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</si>
  <si>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</si>
  <si>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</si>
  <si>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</si>
  <si>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</si>
  <si>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</si>
  <si>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</si>
  <si>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</si>
  <si>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</si>
  <si>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</si>
  <si>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</si>
  <si>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</si>
  <si>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</si>
  <si>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</si>
  <si>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</si>
  <si>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</si>
  <si>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</si>
  <si>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</si>
  <si>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</si>
  <si>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</si>
  <si>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</si>
  <si>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</si>
  <si>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</si>
  <si>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</si>
  <si>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</si>
  <si>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</si>
  <si>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</si>
  <si>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</si>
  <si>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</si>
  <si>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</si>
  <si>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</si>
  <si>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</si>
  <si>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</si>
  <si>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</si>
  <si>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</si>
  <si>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</si>
  <si>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</si>
  <si>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</si>
  <si>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</si>
  <si>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</si>
  <si>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</si>
  <si>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</si>
  <si>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</si>
  <si>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</si>
  <si>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</si>
  <si>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</si>
  <si>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</si>
  <si>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</si>
  <si>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</si>
  <si>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</si>
  <si>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</si>
  <si>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</si>
  <si>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</si>
  <si>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</si>
  <si>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</si>
  <si>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</si>
  <si>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</si>
  <si>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</si>
  <si>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</si>
  <si>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</si>
  <si>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</si>
  <si>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</si>
  <si>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</si>
  <si>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</si>
  <si>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</si>
  <si>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</si>
  <si>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</si>
  <si>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</si>
  <si>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</si>
  <si>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</si>
  <si>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</si>
  <si>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</si>
  <si>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</si>
  <si>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</si>
  <si>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</si>
  <si>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</si>
  <si>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</si>
  <si>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</si>
  <si>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</si>
  <si>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</si>
  <si>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</si>
  <si>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</si>
  <si>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</si>
  <si>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</si>
  <si>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</si>
  <si>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</si>
  <si>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</si>
  <si>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</si>
  <si>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</si>
  <si>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</si>
  <si>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</si>
  <si>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</si>
  <si>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</si>
  <si>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</si>
  <si>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</si>
  <si>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</si>
  <si>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</si>
  <si>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</si>
  <si>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</si>
  <si>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</si>
  <si>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</si>
  <si>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</si>
  <si>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</si>
  <si>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</si>
  <si>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</si>
  <si>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</si>
  <si>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</si>
  <si>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</si>
  <si>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</si>
  <si>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</si>
  <si>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</si>
  <si>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</si>
  <si>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</si>
  <si>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</si>
  <si>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</si>
  <si>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</si>
  <si>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</si>
  <si>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</si>
  <si>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</si>
  <si>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</si>
  <si>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</si>
  <si>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</si>
  <si>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</si>
  <si>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</si>
  <si>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</si>
  <si>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</si>
  <si>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</si>
  <si>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</si>
  <si>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</si>
  <si>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</si>
  <si>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</si>
  <si>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</si>
  <si>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</si>
  <si>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</si>
  <si>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</si>
  <si>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</si>
  <si>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</si>
  <si>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</si>
  <si>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</si>
  <si>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</si>
  <si>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</si>
  <si>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</si>
  <si>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</si>
  <si>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</si>
  <si>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</si>
  <si>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</si>
  <si>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</si>
  <si>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</si>
  <si>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</si>
  <si>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</si>
  <si>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</si>
  <si>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</si>
  <si>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</si>
  <si>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</si>
  <si>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</si>
  <si>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</si>
  <si>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</si>
  <si>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</si>
  <si>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</si>
  <si>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</si>
  <si>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</si>
  <si>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</si>
  <si>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</si>
  <si>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</si>
  <si>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</si>
  <si>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</si>
  <si>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</si>
  <si>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</si>
  <si>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</si>
  <si>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</si>
  <si>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</si>
  <si>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</si>
  <si>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</si>
  <si>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</si>
  <si>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</si>
  <si>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</si>
  <si>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</si>
  <si>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</si>
  <si>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</si>
  <si>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</si>
  <si>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</si>
  <si>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</si>
  <si>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</si>
  <si>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</si>
  <si>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</si>
  <si>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</si>
  <si>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</si>
  <si>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</si>
  <si>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</si>
  <si>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</si>
  <si>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</si>
  <si>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</si>
  <si>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</si>
  <si>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</si>
  <si>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</si>
  <si>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</si>
  <si>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</si>
  <si>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</si>
  <si>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</si>
  <si>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</si>
  <si>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</si>
  <si>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</si>
  <si>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</si>
  <si>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</si>
  <si>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</si>
  <si>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</si>
  <si>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</si>
  <si>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</si>
  <si>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</si>
  <si>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</si>
  <si>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</si>
  <si>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</si>
  <si>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</si>
  <si>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</si>
  <si>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</si>
  <si>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</si>
  <si>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</si>
  <si>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</si>
  <si>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</si>
  <si>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</si>
  <si>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</si>
  <si>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</si>
  <si>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</si>
  <si>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</si>
  <si>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</si>
  <si>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</si>
  <si>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</si>
  <si>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</si>
  <si>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</si>
  <si>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</si>
  <si>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</si>
  <si>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</si>
  <si>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</si>
  <si>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</si>
  <si>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</si>
  <si>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</si>
  <si>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</si>
  <si>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</si>
  <si>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</si>
  <si>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</si>
  <si>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</si>
  <si>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</si>
  <si>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</si>
  <si>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</si>
  <si>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</si>
  <si>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</si>
  <si>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</si>
  <si>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</si>
  <si>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</si>
  <si>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</si>
  <si>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</si>
  <si>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</si>
  <si>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</si>
  <si>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</si>
  <si>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</si>
  <si>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</si>
  <si>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</si>
  <si>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</si>
  <si>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</si>
  <si>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</si>
  <si>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</si>
  <si>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</si>
  <si>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</si>
  <si>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</si>
  <si>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</si>
  <si>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</si>
  <si>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</si>
  <si>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</si>
  <si>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</si>
  <si>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</si>
  <si>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</si>
  <si>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</si>
  <si>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</si>
  <si>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</si>
  <si>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</si>
  <si>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</si>
  <si>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</si>
  <si>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</si>
  <si>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</si>
  <si>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</si>
  <si>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</si>
  <si>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</si>
  <si>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</si>
  <si>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</si>
  <si>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</si>
  <si>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</si>
  <si>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</si>
  <si>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</si>
  <si>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</si>
  <si>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</si>
  <si>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</si>
  <si>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</si>
  <si>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</si>
  <si>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</si>
  <si>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</si>
  <si>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</si>
  <si>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</si>
  <si>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</si>
  <si>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</si>
  <si>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</si>
  <si>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</si>
  <si>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</si>
  <si>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</si>
  <si>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</si>
  <si>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</si>
  <si>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</si>
  <si>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</si>
  <si>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</si>
  <si>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</si>
  <si>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</si>
  <si>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</si>
  <si>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</si>
  <si>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</si>
  <si>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</si>
  <si>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</si>
  <si>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</si>
  <si>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</si>
  <si>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</si>
  <si>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</si>
  <si>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</si>
  <si>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</si>
  <si>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</si>
  <si>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</si>
  <si>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</si>
  <si>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</si>
  <si>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</si>
  <si>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</si>
  <si>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</si>
  <si>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</si>
  <si>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</si>
  <si>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</si>
  <si>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</si>
  <si>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</si>
  <si>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</si>
  <si>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</si>
  <si>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</si>
  <si>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</si>
  <si>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</si>
  <si>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</si>
  <si>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</si>
  <si>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</si>
  <si>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</si>
  <si>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</si>
  <si>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</si>
  <si>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</si>
  <si>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</si>
  <si>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</si>
  <si>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</si>
  <si>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</si>
  <si>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</si>
  <si>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</si>
  <si>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</si>
  <si>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</si>
  <si>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</si>
  <si>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</si>
  <si>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</si>
  <si>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</si>
  <si>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Tengelici Polgármesteri Hivatal</t>
  </si>
  <si>
    <t>Tengelic Község Önkormányzata</t>
  </si>
  <si>
    <t>Tengelici Mézeskalács Óvoda</t>
  </si>
  <si>
    <t>Nyugdíjas Klub Tengelic-Szőlőhegy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</si>
  <si>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</si>
  <si>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</si>
  <si>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</si>
  <si>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</si>
  <si>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</si>
  <si>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</si>
  <si>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>Tengelic Szőlőhegyért Egyesület</t>
  </si>
  <si>
    <t>Tengelic Községért Alapítvány</t>
  </si>
  <si>
    <t>3T Civil Szervezet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</si>
  <si>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</si>
  <si>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</si>
  <si>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</si>
  <si>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</si>
  <si>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</si>
  <si>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</si>
  <si>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</si>
  <si>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</si>
  <si>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</si>
  <si>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</si>
  <si>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</si>
  <si>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</si>
  <si>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Nyitó pénzkészlet</t>
  </si>
  <si>
    <t>-----</t>
  </si>
  <si>
    <t>B11</t>
  </si>
  <si>
    <t>Működési célú támogatások ÁH-on belül</t>
  </si>
  <si>
    <t>B15-16</t>
  </si>
  <si>
    <t>Felhalmozási célú támogatások ÁH-on belül</t>
  </si>
  <si>
    <t>B2</t>
  </si>
  <si>
    <t>B3</t>
  </si>
  <si>
    <t>Működési bevételek</t>
  </si>
  <si>
    <t>B4</t>
  </si>
  <si>
    <t>B5</t>
  </si>
  <si>
    <t>B6</t>
  </si>
  <si>
    <t>B7</t>
  </si>
  <si>
    <t>Finanszírozási bevételek</t>
  </si>
  <si>
    <t>B8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</si>
  <si>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</si>
  <si>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</si>
  <si>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</si>
  <si>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</si>
  <si>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</si>
  <si>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</si>
  <si>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</si>
  <si>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</si>
  <si>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</si>
  <si>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Finanszírozási kiadások</t>
  </si>
  <si>
    <t>K9</t>
  </si>
  <si>
    <t>Egyenleg (10-23)</t>
  </si>
  <si>
    <t>Dunaág Kft</t>
  </si>
  <si>
    <t>Mezőföldvíz Kft</t>
  </si>
  <si>
    <t>Re-víz Dunamenti Kft</t>
  </si>
  <si>
    <t>Működési célú költségvetési támogatások és kiegészítő támogatások</t>
  </si>
  <si>
    <t>Elszámolásból származó bevételek</t>
  </si>
  <si>
    <t>Szennyvízhálózat felújítása</t>
  </si>
  <si>
    <t>2018.</t>
  </si>
  <si>
    <t>Forintban</t>
  </si>
  <si>
    <t xml:space="preserve"> Forintban !</t>
  </si>
  <si>
    <t>Forintban !</t>
  </si>
  <si>
    <t>2019.</t>
  </si>
  <si>
    <t>2019. után</t>
  </si>
  <si>
    <t>Forintban!</t>
  </si>
  <si>
    <t>Adatok: forintban!</t>
  </si>
  <si>
    <t>Adatok: forintban</t>
  </si>
  <si>
    <t>Értéke
(Ft)</t>
  </si>
  <si>
    <t>Értéke
( Ft)</t>
  </si>
  <si>
    <t>Összeg  ( Ft )</t>
  </si>
  <si>
    <t>Kisértékű eszközbeszerzések</t>
  </si>
  <si>
    <t>Tengelic-szőlőhegyi ingatlan felújítása</t>
  </si>
  <si>
    <t>Szolgálati lakás felújítása</t>
  </si>
  <si>
    <t>EU-s projekt neve, azonosítója:</t>
  </si>
  <si>
    <t xml:space="preserve"> orintban !</t>
  </si>
  <si>
    <t>Terv</t>
  </si>
  <si>
    <t>elt</t>
  </si>
  <si>
    <t>Tengelici Borostyán Nyugdíjas Egyesület</t>
  </si>
  <si>
    <t>2017. évi eredeti előirányzat BEVÉTELEK</t>
  </si>
  <si>
    <t>2017. előtt</t>
  </si>
  <si>
    <t>2017. évi</t>
  </si>
  <si>
    <t>2017. után</t>
  </si>
  <si>
    <t>Önkormányzaton kívüli EU-s projekthez történő hozzájárulás 2017. évi előirányzata és teljesítése</t>
  </si>
  <si>
    <t>2017</t>
  </si>
  <si>
    <t>2017. évi módosított előirányzat</t>
  </si>
  <si>
    <t>2017. évi teljesítés</t>
  </si>
  <si>
    <t>Összes teljesítés 2017. XII.31-ig</t>
  </si>
  <si>
    <t>Felhasználás 2016. XII.31-ig</t>
  </si>
  <si>
    <t>Temető nyilvántartó program</t>
  </si>
  <si>
    <t>56-os Büszkeségpont kialakítása</t>
  </si>
  <si>
    <t>Kamera rendszer kiépítése</t>
  </si>
  <si>
    <t>Közvilágítás korszerűsítése</t>
  </si>
  <si>
    <t>Munkácsy-Bezerédj u. útfelújítása</t>
  </si>
  <si>
    <t>Óvoda felújítás</t>
  </si>
  <si>
    <t>Tervdokumentáció készítése /Petőfi u. 3/</t>
  </si>
  <si>
    <t>Iskola tantermi burkolat felújítása</t>
  </si>
  <si>
    <t>Vízelvezetési rendszer, kapubejárók felújítása</t>
  </si>
  <si>
    <t>EU-s projekt neve, azonosítója: KÖFOP - 1.2.1- VEKOP-16   /ASP /</t>
  </si>
  <si>
    <t xml:space="preserve"> Tengelic Község Önkormányzat likviditási terve
2017. évre</t>
  </si>
  <si>
    <t>2016. évi tény</t>
  </si>
  <si>
    <t>2020.</t>
  </si>
  <si>
    <t>2020. után</t>
  </si>
  <si>
    <t>Hitel, kölcsön állomány 2017. XII.31-én</t>
  </si>
  <si>
    <t>Adósság állomány alakulása lejárat, eszközök, bel- és külföldi hitelezők szerinti bontásban 2017. december 31-én</t>
  </si>
  <si>
    <t>II. Fizetendő általános forgalmi adó elszámolása</t>
  </si>
  <si>
    <t>E) EGYÉB SAJÁTOS  ELSZÁMOLÁSOK (58+59)</t>
  </si>
  <si>
    <t>Teljesítés %-a 2017.XII.31-ig</t>
  </si>
  <si>
    <t>Nefela Egyesülés</t>
  </si>
  <si>
    <t>Sárköz-Dunavölgye-Siómente Egyesület</t>
  </si>
  <si>
    <t>Fűkasza vásárlása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</si>
</sst>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7" applyFill="1">
      <alignment/>
      <protection/>
    </xf>
    <xf numFmtId="172" fontId="17" fillId="0" borderId="10" xfId="67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7" applyFont="1" applyFill="1">
      <alignment/>
      <protection/>
    </xf>
    <xf numFmtId="0" fontId="29" fillId="0" borderId="0" xfId="67" applyFont="1" applyFill="1">
      <alignment/>
      <protection/>
    </xf>
    <xf numFmtId="3" fontId="29" fillId="0" borderId="0" xfId="67" applyNumberFormat="1" applyFont="1" applyFill="1" applyAlignment="1">
      <alignment horizontal="center"/>
      <protection/>
    </xf>
    <xf numFmtId="0" fontId="0" fillId="0" borderId="0" xfId="66" applyFill="1" applyAlignment="1" applyProtection="1">
      <alignment vertical="center" wrapText="1"/>
      <protection/>
    </xf>
    <xf numFmtId="0" fontId="0" fillId="0" borderId="0" xfId="66" applyFill="1" applyAlignment="1" applyProtection="1">
      <alignment horizontal="center" vertical="center"/>
      <protection/>
    </xf>
    <xf numFmtId="49" fontId="12" fillId="0" borderId="55" xfId="66" applyNumberFormat="1" applyFont="1" applyFill="1" applyBorder="1" applyAlignment="1" applyProtection="1">
      <alignment horizontal="center" vertical="center" wrapText="1"/>
      <protection/>
    </xf>
    <xf numFmtId="49" fontId="12" fillId="0" borderId="20" xfId="66" applyNumberFormat="1" applyFont="1" applyFill="1" applyBorder="1" applyAlignment="1" applyProtection="1">
      <alignment horizontal="center" vertical="center"/>
      <protection/>
    </xf>
    <xf numFmtId="49" fontId="12" fillId="0" borderId="21" xfId="66" applyNumberFormat="1" applyFont="1" applyFill="1" applyBorder="1" applyAlignment="1" applyProtection="1">
      <alignment horizontal="center" vertical="center"/>
      <protection/>
    </xf>
    <xf numFmtId="49" fontId="0" fillId="0" borderId="0" xfId="66" applyNumberFormat="1" applyFont="1" applyFill="1" applyAlignment="1" applyProtection="1">
      <alignment horizontal="center" vertical="center"/>
      <protection/>
    </xf>
    <xf numFmtId="173" fontId="13" fillId="0" borderId="42" xfId="66" applyNumberFormat="1" applyFont="1" applyFill="1" applyBorder="1" applyAlignment="1" applyProtection="1">
      <alignment horizontal="center" vertical="center"/>
      <protection/>
    </xf>
    <xf numFmtId="174" fontId="13" fillId="0" borderId="57" xfId="66" applyNumberFormat="1" applyFont="1" applyFill="1" applyBorder="1" applyAlignment="1" applyProtection="1">
      <alignment vertical="center"/>
      <protection locked="0"/>
    </xf>
    <xf numFmtId="173" fontId="13" fillId="0" borderId="10" xfId="66" applyNumberFormat="1" applyFont="1" applyFill="1" applyBorder="1" applyAlignment="1" applyProtection="1">
      <alignment horizontal="center" vertical="center"/>
      <protection/>
    </xf>
    <xf numFmtId="174" fontId="13" fillId="0" borderId="17" xfId="66" applyNumberFormat="1" applyFont="1" applyFill="1" applyBorder="1" applyAlignment="1" applyProtection="1">
      <alignment vertical="center"/>
      <protection locked="0"/>
    </xf>
    <xf numFmtId="174" fontId="12" fillId="0" borderId="17" xfId="66" applyNumberFormat="1" applyFont="1" applyFill="1" applyBorder="1" applyAlignment="1" applyProtection="1">
      <alignment vertical="center"/>
      <protection/>
    </xf>
    <xf numFmtId="0" fontId="12" fillId="0" borderId="55" xfId="66" applyFont="1" applyFill="1" applyBorder="1" applyAlignment="1" applyProtection="1">
      <alignment horizontal="left" vertical="center" wrapText="1"/>
      <protection/>
    </xf>
    <xf numFmtId="173" fontId="13" fillId="0" borderId="20" xfId="66" applyNumberFormat="1" applyFont="1" applyFill="1" applyBorder="1" applyAlignment="1" applyProtection="1">
      <alignment horizontal="center" vertical="center"/>
      <protection/>
    </xf>
    <xf numFmtId="174" fontId="12" fillId="0" borderId="21" xfId="66" applyNumberFormat="1" applyFont="1" applyFill="1" applyBorder="1" applyAlignment="1" applyProtection="1">
      <alignment vertical="center"/>
      <protection/>
    </xf>
    <xf numFmtId="0" fontId="29" fillId="0" borderId="0" xfId="67" applyFont="1" applyFill="1" applyAlignment="1">
      <alignment/>
      <protection/>
    </xf>
    <xf numFmtId="0" fontId="11" fillId="0" borderId="0" xfId="66" applyFont="1" applyFill="1" applyAlignment="1" applyProtection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>
      <alignment horizontal="center" vertical="center" wrapText="1"/>
      <protection/>
    </xf>
    <xf numFmtId="0" fontId="16" fillId="0" borderId="15" xfId="67" applyFont="1" applyFill="1" applyBorder="1" applyAlignment="1">
      <alignment horizontal="center" vertical="center" wrapText="1"/>
      <protection/>
    </xf>
    <xf numFmtId="0" fontId="17" fillId="0" borderId="37" xfId="67" applyFont="1" applyFill="1" applyBorder="1" applyAlignment="1" applyProtection="1">
      <alignment horizontal="left" indent="1"/>
      <protection locked="0"/>
    </xf>
    <xf numFmtId="0" fontId="17" fillId="0" borderId="42" xfId="67" applyFont="1" applyFill="1" applyBorder="1" applyAlignment="1">
      <alignment horizontal="right" indent="1"/>
      <protection/>
    </xf>
    <xf numFmtId="3" fontId="17" fillId="0" borderId="42" xfId="67" applyNumberFormat="1" applyFont="1" applyFill="1" applyBorder="1" applyProtection="1">
      <alignment/>
      <protection locked="0"/>
    </xf>
    <xf numFmtId="3" fontId="17" fillId="0" borderId="57" xfId="67" applyNumberFormat="1" applyFont="1" applyFill="1" applyBorder="1" applyProtection="1">
      <alignment/>
      <protection locked="0"/>
    </xf>
    <xf numFmtId="0" fontId="17" fillId="0" borderId="12" xfId="67" applyFont="1" applyFill="1" applyBorder="1" applyAlignment="1" applyProtection="1">
      <alignment horizontal="left" indent="1"/>
      <protection locked="0"/>
    </xf>
    <xf numFmtId="0" fontId="17" fillId="0" borderId="10" xfId="67" applyFont="1" applyFill="1" applyBorder="1" applyAlignment="1">
      <alignment horizontal="right" indent="1"/>
      <protection/>
    </xf>
    <xf numFmtId="3" fontId="17" fillId="0" borderId="10" xfId="67" applyNumberFormat="1" applyFont="1" applyFill="1" applyBorder="1" applyProtection="1">
      <alignment/>
      <protection locked="0"/>
    </xf>
    <xf numFmtId="3" fontId="17" fillId="0" borderId="17" xfId="67" applyNumberFormat="1" applyFont="1" applyFill="1" applyBorder="1" applyProtection="1">
      <alignment/>
      <protection locked="0"/>
    </xf>
    <xf numFmtId="0" fontId="17" fillId="0" borderId="12" xfId="67" applyFont="1" applyFill="1" applyBorder="1" applyProtection="1">
      <alignment/>
      <protection locked="0"/>
    </xf>
    <xf numFmtId="0" fontId="17" fillId="0" borderId="13" xfId="67" applyFont="1" applyFill="1" applyBorder="1" applyProtection="1">
      <alignment/>
      <protection locked="0"/>
    </xf>
    <xf numFmtId="0" fontId="17" fillId="0" borderId="11" xfId="67" applyFont="1" applyFill="1" applyBorder="1" applyAlignment="1">
      <alignment horizontal="right" indent="1"/>
      <protection/>
    </xf>
    <xf numFmtId="3" fontId="17" fillId="0" borderId="11" xfId="67" applyNumberFormat="1" applyFont="1" applyFill="1" applyBorder="1" applyProtection="1">
      <alignment/>
      <protection locked="0"/>
    </xf>
    <xf numFmtId="3" fontId="17" fillId="0" borderId="62" xfId="67" applyNumberFormat="1" applyFont="1" applyFill="1" applyBorder="1" applyProtection="1">
      <alignment/>
      <protection locked="0"/>
    </xf>
    <xf numFmtId="3" fontId="17" fillId="0" borderId="63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35" fillId="0" borderId="16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35" fillId="0" borderId="15" xfId="67" applyFont="1" applyFill="1" applyBorder="1" applyAlignment="1">
      <alignment horizontal="center" vertical="center" wrapText="1"/>
      <protection/>
    </xf>
    <xf numFmtId="0" fontId="17" fillId="0" borderId="55" xfId="67" applyFont="1" applyFill="1" applyBorder="1" applyAlignment="1" applyProtection="1">
      <alignment horizontal="left" indent="1"/>
      <protection locked="0"/>
    </xf>
    <xf numFmtId="0" fontId="17" fillId="0" borderId="20" xfId="67" applyFont="1" applyFill="1" applyBorder="1" applyAlignment="1">
      <alignment horizontal="right" indent="1"/>
      <protection/>
    </xf>
    <xf numFmtId="3" fontId="17" fillId="0" borderId="20" xfId="67" applyNumberFormat="1" applyFont="1" applyFill="1" applyBorder="1" applyProtection="1">
      <alignment/>
      <protection locked="0"/>
    </xf>
    <xf numFmtId="3" fontId="17" fillId="0" borderId="21" xfId="67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4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4" applyFont="1" applyBorder="1" applyAlignment="1" applyProtection="1">
      <alignment horizontal="center" vertical="center" wrapText="1"/>
      <protection locked="0"/>
    </xf>
    <xf numFmtId="9" fontId="42" fillId="0" borderId="10" xfId="74" applyFont="1" applyBorder="1" applyAlignment="1" applyProtection="1">
      <alignment horizontal="center" vertical="center" wrapText="1"/>
      <protection locked="0"/>
    </xf>
    <xf numFmtId="9" fontId="42" fillId="0" borderId="11" xfId="74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7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2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6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5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8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9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60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4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9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5" xfId="64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6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8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7" applyFill="1" applyProtection="1">
      <alignment/>
      <protection/>
    </xf>
    <xf numFmtId="0" fontId="44" fillId="0" borderId="0" xfId="67" applyFont="1" applyFill="1" applyProtection="1">
      <alignment/>
      <protection/>
    </xf>
    <xf numFmtId="0" fontId="28" fillId="0" borderId="55" xfId="67" applyFont="1" applyFill="1" applyBorder="1" applyAlignment="1" applyProtection="1">
      <alignment horizontal="center" vertical="center" wrapText="1"/>
      <protection/>
    </xf>
    <xf numFmtId="0" fontId="28" fillId="0" borderId="20" xfId="67" applyFont="1" applyFill="1" applyBorder="1" applyAlignment="1" applyProtection="1">
      <alignment horizontal="center" vertical="center" wrapText="1"/>
      <protection/>
    </xf>
    <xf numFmtId="0" fontId="28" fillId="0" borderId="21" xfId="67" applyFont="1" applyFill="1" applyBorder="1" applyAlignment="1" applyProtection="1">
      <alignment horizontal="center" vertical="center" wrapText="1"/>
      <protection/>
    </xf>
    <xf numFmtId="0" fontId="29" fillId="0" borderId="0" xfId="67" applyFill="1" applyAlignment="1" applyProtection="1">
      <alignment horizontal="center" vertical="center"/>
      <protection/>
    </xf>
    <xf numFmtId="0" fontId="18" fillId="0" borderId="51" xfId="67" applyFont="1" applyFill="1" applyBorder="1" applyAlignment="1" applyProtection="1">
      <alignment vertical="center" wrapText="1"/>
      <protection/>
    </xf>
    <xf numFmtId="173" fontId="13" fillId="0" borderId="41" xfId="66" applyNumberFormat="1" applyFont="1" applyFill="1" applyBorder="1" applyAlignment="1" applyProtection="1">
      <alignment horizontal="center" vertical="center"/>
      <protection/>
    </xf>
    <xf numFmtId="172" fontId="18" fillId="0" borderId="64" xfId="67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7" applyFill="1" applyAlignment="1" applyProtection="1">
      <alignment vertical="center"/>
      <protection/>
    </xf>
    <xf numFmtId="0" fontId="18" fillId="0" borderId="12" xfId="67" applyFont="1" applyFill="1" applyBorder="1" applyAlignment="1" applyProtection="1">
      <alignment vertical="center" wrapText="1"/>
      <protection/>
    </xf>
    <xf numFmtId="172" fontId="18" fillId="0" borderId="10" xfId="67" applyNumberFormat="1" applyFont="1" applyFill="1" applyBorder="1" applyAlignment="1" applyProtection="1">
      <alignment horizontal="right" vertical="center" wrapText="1"/>
      <protection/>
    </xf>
    <xf numFmtId="172" fontId="18" fillId="0" borderId="17" xfId="67" applyNumberFormat="1" applyFont="1" applyFill="1" applyBorder="1" applyAlignment="1" applyProtection="1">
      <alignment horizontal="right" vertical="center" wrapText="1"/>
      <protection/>
    </xf>
    <xf numFmtId="0" fontId="27" fillId="0" borderId="12" xfId="67" applyFont="1" applyFill="1" applyBorder="1" applyAlignment="1" applyProtection="1">
      <alignment horizontal="left" vertical="center" wrapText="1" indent="1"/>
      <protection/>
    </xf>
    <xf numFmtId="172" fontId="28" fillId="0" borderId="17" xfId="67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7" applyNumberFormat="1" applyFont="1" applyFill="1" applyBorder="1" applyAlignment="1" applyProtection="1">
      <alignment horizontal="right" vertical="center" wrapText="1"/>
      <protection/>
    </xf>
    <xf numFmtId="172" fontId="17" fillId="0" borderId="17" xfId="67" applyNumberFormat="1" applyFont="1" applyFill="1" applyBorder="1" applyAlignment="1" applyProtection="1">
      <alignment horizontal="right" vertical="center" wrapText="1"/>
      <protection/>
    </xf>
    <xf numFmtId="0" fontId="18" fillId="0" borderId="55" xfId="67" applyFont="1" applyFill="1" applyBorder="1" applyAlignment="1" applyProtection="1">
      <alignment vertical="center" wrapText="1"/>
      <protection/>
    </xf>
    <xf numFmtId="172" fontId="18" fillId="0" borderId="20" xfId="67" applyNumberFormat="1" applyFont="1" applyFill="1" applyBorder="1" applyAlignment="1" applyProtection="1">
      <alignment horizontal="right" vertical="center" wrapText="1"/>
      <protection/>
    </xf>
    <xf numFmtId="172" fontId="18" fillId="0" borderId="21" xfId="67" applyNumberFormat="1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Protection="1">
      <alignment/>
      <protection/>
    </xf>
    <xf numFmtId="3" fontId="29" fillId="0" borderId="0" xfId="67" applyNumberFormat="1" applyFont="1" applyFill="1" applyProtection="1">
      <alignment/>
      <protection/>
    </xf>
    <xf numFmtId="3" fontId="29" fillId="0" borderId="0" xfId="67" applyNumberFormat="1" applyFont="1" applyFill="1" applyAlignment="1" applyProtection="1">
      <alignment horizontal="center"/>
      <protection/>
    </xf>
    <xf numFmtId="0" fontId="29" fillId="0" borderId="0" xfId="67" applyFont="1" applyFill="1" applyProtection="1">
      <alignment/>
      <protection/>
    </xf>
    <xf numFmtId="0" fontId="29" fillId="0" borderId="0" xfId="67" applyFill="1" applyAlignment="1" applyProtection="1">
      <alignment horizontal="center"/>
      <protection/>
    </xf>
    <xf numFmtId="0" fontId="0" fillId="0" borderId="0" xfId="66" applyFill="1" applyAlignment="1" applyProtection="1">
      <alignment vertical="center"/>
      <protection/>
    </xf>
    <xf numFmtId="174" fontId="12" fillId="0" borderId="17" xfId="66" applyNumberFormat="1" applyFont="1" applyFill="1" applyBorder="1" applyAlignment="1" applyProtection="1">
      <alignment vertical="center"/>
      <protection locked="0"/>
    </xf>
    <xf numFmtId="0" fontId="0" fillId="0" borderId="0" xfId="66" applyFont="1" applyFill="1" applyAlignment="1" applyProtection="1">
      <alignment vertical="center"/>
      <protection/>
    </xf>
    <xf numFmtId="0" fontId="29" fillId="0" borderId="0" xfId="67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7" applyFont="1" applyFill="1" applyBorder="1" applyAlignment="1">
      <alignment horizontal="center" vertical="center"/>
      <protection/>
    </xf>
    <xf numFmtId="0" fontId="16" fillId="0" borderId="60" xfId="67" applyFont="1" applyFill="1" applyBorder="1" applyAlignment="1">
      <alignment horizontal="center" vertical="center" wrapText="1"/>
      <protection/>
    </xf>
    <xf numFmtId="0" fontId="16" fillId="0" borderId="61" xfId="67" applyFont="1" applyFill="1" applyBorder="1" applyAlignment="1">
      <alignment horizontal="center" vertical="center" wrapText="1"/>
      <protection/>
    </xf>
    <xf numFmtId="0" fontId="17" fillId="0" borderId="37" xfId="67" applyFont="1" applyFill="1" applyBorder="1" applyProtection="1">
      <alignment/>
      <protection locked="0"/>
    </xf>
    <xf numFmtId="0" fontId="18" fillId="0" borderId="16" xfId="67" applyFont="1" applyFill="1" applyBorder="1" applyProtection="1">
      <alignment/>
      <protection locked="0"/>
    </xf>
    <xf numFmtId="0" fontId="17" fillId="0" borderId="14" xfId="67" applyFont="1" applyFill="1" applyBorder="1" applyAlignment="1">
      <alignment horizontal="right" indent="1"/>
      <protection/>
    </xf>
    <xf numFmtId="3" fontId="17" fillId="0" borderId="14" xfId="67" applyNumberFormat="1" applyFont="1" applyFill="1" applyBorder="1" applyProtection="1">
      <alignment/>
      <protection locked="0"/>
    </xf>
    <xf numFmtId="174" fontId="12" fillId="0" borderId="15" xfId="66" applyNumberFormat="1" applyFont="1" applyFill="1" applyBorder="1" applyAlignment="1" applyProtection="1">
      <alignment vertical="center"/>
      <protection/>
    </xf>
    <xf numFmtId="0" fontId="45" fillId="0" borderId="0" xfId="67" applyFont="1" applyFill="1">
      <alignment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0" xfId="67" applyFont="1" applyFill="1" applyBorder="1" applyAlignment="1">
      <alignment horizontal="center" vertical="center" wrapText="1"/>
      <protection/>
    </xf>
    <xf numFmtId="0" fontId="35" fillId="0" borderId="61" xfId="67" applyFont="1" applyFill="1" applyBorder="1" applyAlignment="1">
      <alignment horizontal="center" vertical="center" wrapText="1"/>
      <protection/>
    </xf>
    <xf numFmtId="0" fontId="17" fillId="0" borderId="13" xfId="67" applyFont="1" applyFill="1" applyBorder="1" applyAlignment="1" applyProtection="1">
      <alignment horizontal="left" indent="1"/>
      <protection locked="0"/>
    </xf>
    <xf numFmtId="0" fontId="18" fillId="0" borderId="54" xfId="67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13" fillId="0" borderId="41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164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5" applyFill="1" applyProtection="1">
      <alignment/>
      <protection locked="0"/>
    </xf>
    <xf numFmtId="0" fontId="2" fillId="0" borderId="0" xfId="65" applyFill="1" applyProtection="1">
      <alignment/>
      <protection/>
    </xf>
    <xf numFmtId="0" fontId="4" fillId="0" borderId="0" xfId="0" applyFont="1" applyFill="1" applyAlignment="1">
      <alignment horizontal="right"/>
    </xf>
    <xf numFmtId="0" fontId="6" fillId="0" borderId="59" xfId="65" applyFont="1" applyFill="1" applyBorder="1" applyAlignment="1" applyProtection="1">
      <alignment horizontal="center" vertical="center" wrapText="1"/>
      <protection/>
    </xf>
    <xf numFmtId="0" fontId="6" fillId="0" borderId="60" xfId="65" applyFont="1" applyFill="1" applyBorder="1" applyAlignment="1" applyProtection="1">
      <alignment horizontal="center" vertical="center"/>
      <protection/>
    </xf>
    <xf numFmtId="0" fontId="6" fillId="0" borderId="61" xfId="65" applyFont="1" applyFill="1" applyBorder="1" applyAlignment="1" applyProtection="1">
      <alignment horizontal="center" vertical="center"/>
      <protection/>
    </xf>
    <xf numFmtId="0" fontId="13" fillId="0" borderId="16" xfId="65" applyFont="1" applyFill="1" applyBorder="1" applyAlignment="1" applyProtection="1">
      <alignment horizontal="left" vertical="center" indent="1"/>
      <protection/>
    </xf>
    <xf numFmtId="0" fontId="2" fillId="0" borderId="0" xfId="65" applyFill="1" applyAlignment="1" applyProtection="1">
      <alignment vertical="center"/>
      <protection/>
    </xf>
    <xf numFmtId="0" fontId="13" fillId="0" borderId="51" xfId="65" applyFont="1" applyFill="1" applyBorder="1" applyAlignment="1" applyProtection="1">
      <alignment horizontal="left" vertical="center" indent="1"/>
      <protection/>
    </xf>
    <xf numFmtId="0" fontId="13" fillId="0" borderId="18" xfId="65" applyFont="1" applyFill="1" applyBorder="1" applyAlignment="1" applyProtection="1">
      <alignment horizontal="left" vertical="center" indent="1"/>
      <protection/>
    </xf>
    <xf numFmtId="164" fontId="13" fillId="0" borderId="18" xfId="65" applyNumberFormat="1" applyFont="1" applyFill="1" applyBorder="1" applyAlignment="1" applyProtection="1">
      <alignment vertical="center"/>
      <protection locked="0"/>
    </xf>
    <xf numFmtId="164" fontId="13" fillId="0" borderId="80" xfId="65" applyNumberFormat="1" applyFont="1" applyFill="1" applyBorder="1" applyAlignment="1" applyProtection="1" quotePrefix="1">
      <alignment horizontal="center" vertical="center"/>
      <protection/>
    </xf>
    <xf numFmtId="0" fontId="13" fillId="0" borderId="12" xfId="65" applyFont="1" applyFill="1" applyBorder="1" applyAlignment="1" applyProtection="1">
      <alignment horizontal="left" vertical="center" indent="1"/>
      <protection/>
    </xf>
    <xf numFmtId="0" fontId="13" fillId="0" borderId="10" xfId="65" applyFont="1" applyFill="1" applyBorder="1" applyAlignment="1" applyProtection="1">
      <alignment horizontal="left" vertical="center" wrapText="1" indent="1"/>
      <protection/>
    </xf>
    <xf numFmtId="164" fontId="13" fillId="0" borderId="10" xfId="65" applyNumberFormat="1" applyFont="1" applyFill="1" applyBorder="1" applyAlignment="1" applyProtection="1">
      <alignment vertical="center"/>
      <protection locked="0"/>
    </xf>
    <xf numFmtId="164" fontId="13" fillId="0" borderId="17" xfId="65" applyNumberFormat="1" applyFont="1" applyFill="1" applyBorder="1" applyAlignment="1" applyProtection="1">
      <alignment vertical="center"/>
      <protection/>
    </xf>
    <xf numFmtId="0" fontId="2" fillId="0" borderId="0" xfId="65" applyFill="1" applyAlignment="1" applyProtection="1">
      <alignment vertical="center"/>
      <protection locked="0"/>
    </xf>
    <xf numFmtId="0" fontId="13" fillId="0" borderId="42" xfId="65" applyFont="1" applyFill="1" applyBorder="1" applyAlignment="1" applyProtection="1">
      <alignment horizontal="left" vertical="center" wrapText="1" indent="1"/>
      <protection/>
    </xf>
    <xf numFmtId="164" fontId="13" fillId="0" borderId="42" xfId="65" applyNumberFormat="1" applyFont="1" applyFill="1" applyBorder="1" applyAlignment="1" applyProtection="1">
      <alignment vertical="center"/>
      <protection locked="0"/>
    </xf>
    <xf numFmtId="164" fontId="13" fillId="0" borderId="57" xfId="65" applyNumberFormat="1" applyFont="1" applyFill="1" applyBorder="1" applyAlignment="1" applyProtection="1">
      <alignment vertical="center"/>
      <protection/>
    </xf>
    <xf numFmtId="0" fontId="13" fillId="0" borderId="10" xfId="65" applyFont="1" applyFill="1" applyBorder="1" applyAlignment="1" applyProtection="1">
      <alignment horizontal="left" vertical="center" indent="1"/>
      <protection/>
    </xf>
    <xf numFmtId="0" fontId="13" fillId="0" borderId="55" xfId="65" applyFont="1" applyFill="1" applyBorder="1" applyAlignment="1" applyProtection="1">
      <alignment horizontal="left" vertical="center" indent="1"/>
      <protection/>
    </xf>
    <xf numFmtId="0" fontId="6" fillId="0" borderId="14" xfId="65" applyFont="1" applyFill="1" applyBorder="1" applyAlignment="1" applyProtection="1">
      <alignment horizontal="left" vertical="center" indent="1"/>
      <protection/>
    </xf>
    <xf numFmtId="164" fontId="12" fillId="0" borderId="14" xfId="65" applyNumberFormat="1" applyFont="1" applyFill="1" applyBorder="1" applyAlignment="1" applyProtection="1">
      <alignment vertical="center"/>
      <protection/>
    </xf>
    <xf numFmtId="164" fontId="12" fillId="0" borderId="15" xfId="65" applyNumberFormat="1" applyFont="1" applyFill="1" applyBorder="1" applyAlignment="1" applyProtection="1">
      <alignment vertical="center"/>
      <protection/>
    </xf>
    <xf numFmtId="0" fontId="13" fillId="0" borderId="37" xfId="65" applyFont="1" applyFill="1" applyBorder="1" applyAlignment="1" applyProtection="1">
      <alignment horizontal="left" vertical="center" indent="1"/>
      <protection/>
    </xf>
    <xf numFmtId="0" fontId="13" fillId="0" borderId="42" xfId="65" applyFont="1" applyFill="1" applyBorder="1" applyAlignment="1" applyProtection="1">
      <alignment horizontal="left" vertical="center" indent="1"/>
      <protection/>
    </xf>
    <xf numFmtId="0" fontId="12" fillId="0" borderId="16" xfId="65" applyFont="1" applyFill="1" applyBorder="1" applyAlignment="1" applyProtection="1">
      <alignment horizontal="left" vertical="center" indent="1"/>
      <protection/>
    </xf>
    <xf numFmtId="0" fontId="6" fillId="0" borderId="14" xfId="65" applyFont="1" applyFill="1" applyBorder="1" applyAlignment="1" applyProtection="1">
      <alignment horizontal="left" indent="1"/>
      <protection/>
    </xf>
    <xf numFmtId="164" fontId="12" fillId="0" borderId="14" xfId="65" applyNumberFormat="1" applyFont="1" applyFill="1" applyBorder="1" applyProtection="1">
      <alignment/>
      <protection/>
    </xf>
    <xf numFmtId="164" fontId="12" fillId="0" borderId="15" xfId="65" applyNumberFormat="1" applyFont="1" applyFill="1" applyBorder="1" applyAlignment="1" applyProtection="1" quotePrefix="1">
      <alignment horizontal="center"/>
      <protection/>
    </xf>
    <xf numFmtId="0" fontId="0" fillId="0" borderId="0" xfId="65" applyFont="1" applyFill="1" applyProtection="1">
      <alignment/>
      <protection/>
    </xf>
    <xf numFmtId="0" fontId="20" fillId="0" borderId="0" xfId="65" applyFont="1" applyFill="1" applyProtection="1">
      <alignment/>
      <protection locked="0"/>
    </xf>
    <xf numFmtId="0" fontId="5" fillId="0" borderId="0" xfId="65" applyFont="1" applyFill="1" applyProtection="1">
      <alignment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left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0" xfId="64" applyNumberFormat="1" applyFont="1" applyFill="1" applyBorder="1" applyAlignment="1" applyProtection="1">
      <alignment horizontal="right" vertical="center" wrapText="1" indent="1"/>
      <protection/>
    </xf>
    <xf numFmtId="164" fontId="13" fillId="26" borderId="20" xfId="64" applyNumberFormat="1" applyFont="1" applyFill="1" applyBorder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3" fontId="0" fillId="0" borderId="0" xfId="65" applyNumberFormat="1" applyFont="1" applyFill="1" applyProtection="1">
      <alignment/>
      <protection locked="0"/>
    </xf>
    <xf numFmtId="164" fontId="13" fillId="0" borderId="41" xfId="65" applyNumberFormat="1" applyFont="1" applyFill="1" applyBorder="1" applyAlignment="1" applyProtection="1">
      <alignment vertical="center"/>
      <protection locked="0"/>
    </xf>
    <xf numFmtId="164" fontId="13" fillId="0" borderId="41" xfId="65" applyNumberFormat="1" applyFont="1" applyFill="1" applyBorder="1" applyAlignment="1" applyProtection="1">
      <alignment vertical="center"/>
      <protection/>
    </xf>
    <xf numFmtId="3" fontId="13" fillId="0" borderId="41" xfId="0" applyNumberFormat="1" applyFont="1" applyBorder="1" applyAlignment="1" applyProtection="1">
      <alignment horizontal="right" vertical="center" indent="1"/>
      <protection locked="0"/>
    </xf>
    <xf numFmtId="3" fontId="13" fillId="0" borderId="10" xfId="0" applyNumberFormat="1" applyFont="1" applyBorder="1" applyAlignment="1" applyProtection="1">
      <alignment horizontal="right" vertical="center" indent="1"/>
      <protection locked="0"/>
    </xf>
    <xf numFmtId="3" fontId="1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13" fillId="0" borderId="45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3" fontId="3" fillId="0" borderId="0" xfId="65" applyNumberFormat="1" applyFont="1" applyFill="1" applyAlignment="1" applyProtection="1">
      <alignment horizontal="center"/>
      <protection/>
    </xf>
    <xf numFmtId="3" fontId="3" fillId="0" borderId="0" xfId="65" applyNumberFormat="1" applyFont="1" applyFill="1" applyAlignment="1" applyProtection="1">
      <alignment vertical="center"/>
      <protection/>
    </xf>
    <xf numFmtId="0" fontId="2" fillId="0" borderId="0" xfId="65" applyFont="1" applyFill="1" applyAlignment="1" applyProtection="1">
      <alignment vertical="center"/>
      <protection/>
    </xf>
    <xf numFmtId="164" fontId="2" fillId="0" borderId="0" xfId="65" applyNumberFormat="1" applyFill="1" applyAlignment="1" applyProtection="1">
      <alignment vertical="center"/>
      <protection/>
    </xf>
    <xf numFmtId="3" fontId="3" fillId="0" borderId="0" xfId="65" applyNumberFormat="1" applyFont="1" applyFill="1" applyAlignment="1" applyProtection="1">
      <alignment vertical="center"/>
      <protection locked="0"/>
    </xf>
    <xf numFmtId="3" fontId="0" fillId="0" borderId="0" xfId="65" applyNumberFormat="1" applyFont="1" applyFill="1" applyAlignment="1" applyProtection="1">
      <alignment vertical="center"/>
      <protection/>
    </xf>
    <xf numFmtId="3" fontId="3" fillId="0" borderId="0" xfId="65" applyNumberFormat="1" applyFont="1" applyFill="1" applyProtection="1">
      <alignment/>
      <protection locked="0"/>
    </xf>
    <xf numFmtId="172" fontId="18" fillId="0" borderId="10" xfId="67" applyNumberFormat="1" applyFont="1" applyFill="1" applyBorder="1" applyAlignment="1" applyProtection="1">
      <alignment horizontal="right" vertical="center" wrapText="1"/>
      <protection/>
    </xf>
    <xf numFmtId="174" fontId="12" fillId="0" borderId="17" xfId="66" applyNumberFormat="1" applyFont="1" applyFill="1" applyBorder="1" applyAlignment="1" applyProtection="1">
      <alignment vertical="center"/>
      <protection locked="0"/>
    </xf>
    <xf numFmtId="10" fontId="12" fillId="0" borderId="32" xfId="0" applyNumberFormat="1" applyFont="1" applyFill="1" applyBorder="1" applyAlignment="1">
      <alignment horizontal="right" vertical="center" wrapText="1"/>
    </xf>
    <xf numFmtId="172" fontId="18" fillId="0" borderId="41" xfId="67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4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5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3" xfId="0" applyNumberFormat="1" applyFont="1" applyFill="1" applyBorder="1" applyAlignment="1">
      <alignment horizontal="left" vertical="center" wrapText="1" indent="2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3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wrapText="1"/>
      <protection locked="0"/>
    </xf>
    <xf numFmtId="0" fontId="5" fillId="0" borderId="0" xfId="65" applyFont="1" applyFill="1" applyAlignment="1" applyProtection="1">
      <alignment horizontal="center"/>
      <protection locked="0"/>
    </xf>
    <xf numFmtId="0" fontId="21" fillId="0" borderId="54" xfId="65" applyFont="1" applyFill="1" applyBorder="1" applyAlignment="1" applyProtection="1">
      <alignment horizontal="left" vertical="center" indent="1"/>
      <protection/>
    </xf>
    <xf numFmtId="0" fontId="21" fillId="0" borderId="83" xfId="65" applyFont="1" applyFill="1" applyBorder="1" applyAlignment="1" applyProtection="1">
      <alignment horizontal="left" vertical="center" indent="1"/>
      <protection/>
    </xf>
    <xf numFmtId="0" fontId="21" fillId="0" borderId="43" xfId="65" applyFont="1" applyFill="1" applyBorder="1" applyAlignment="1" applyProtection="1">
      <alignment horizontal="left" vertical="center" indent="1"/>
      <protection/>
    </xf>
    <xf numFmtId="0" fontId="6" fillId="0" borderId="60" xfId="64" applyFont="1" applyFill="1" applyBorder="1" applyAlignment="1" applyProtection="1">
      <alignment horizontal="center" vertical="center" wrapText="1"/>
      <protection/>
    </xf>
    <xf numFmtId="0" fontId="6" fillId="0" borderId="66" xfId="64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31" fillId="0" borderId="0" xfId="67" applyFont="1" applyFill="1" applyAlignment="1" applyProtection="1">
      <alignment horizontal="center" vertical="center" wrapText="1"/>
      <protection/>
    </xf>
    <xf numFmtId="0" fontId="31" fillId="0" borderId="0" xfId="67" applyFont="1" applyFill="1" applyAlignment="1" applyProtection="1">
      <alignment horizontal="center" vertical="center"/>
      <protection/>
    </xf>
    <xf numFmtId="0" fontId="32" fillId="0" borderId="10" xfId="67" applyFont="1" applyFill="1" applyBorder="1" applyAlignment="1" applyProtection="1">
      <alignment horizontal="center" wrapText="1"/>
      <protection/>
    </xf>
    <xf numFmtId="0" fontId="32" fillId="0" borderId="17" xfId="67" applyFont="1" applyFill="1" applyBorder="1" applyAlignment="1" applyProtection="1">
      <alignment horizontal="center" wrapText="1"/>
      <protection/>
    </xf>
    <xf numFmtId="0" fontId="29" fillId="0" borderId="0" xfId="67" applyFont="1" applyFill="1" applyAlignment="1" applyProtection="1">
      <alignment horizontal="left"/>
      <protection/>
    </xf>
    <xf numFmtId="0" fontId="32" fillId="0" borderId="0" xfId="67" applyFont="1" applyFill="1" applyBorder="1" applyAlignment="1" applyProtection="1">
      <alignment horizontal="right"/>
      <protection/>
    </xf>
    <xf numFmtId="0" fontId="33" fillId="0" borderId="59" xfId="67" applyFont="1" applyFill="1" applyBorder="1" applyAlignment="1" applyProtection="1">
      <alignment horizontal="center" vertical="center" wrapText="1"/>
      <protection/>
    </xf>
    <xf numFmtId="0" fontId="33" fillId="0" borderId="52" xfId="67" applyFont="1" applyFill="1" applyBorder="1" applyAlignment="1" applyProtection="1">
      <alignment horizontal="center" vertical="center" wrapText="1"/>
      <protection/>
    </xf>
    <xf numFmtId="0" fontId="33" fillId="0" borderId="37" xfId="67" applyFont="1" applyFill="1" applyBorder="1" applyAlignment="1" applyProtection="1">
      <alignment horizontal="center" vertical="center" wrapText="1"/>
      <protection/>
    </xf>
    <xf numFmtId="0" fontId="32" fillId="0" borderId="41" xfId="67" applyFont="1" applyFill="1" applyBorder="1" applyAlignment="1" applyProtection="1">
      <alignment horizontal="center" vertical="center" wrapText="1"/>
      <protection/>
    </xf>
    <xf numFmtId="0" fontId="32" fillId="0" borderId="10" xfId="67" applyFont="1" applyFill="1" applyBorder="1" applyAlignment="1" applyProtection="1">
      <alignment horizontal="center" vertical="center" wrapText="1"/>
      <protection/>
    </xf>
    <xf numFmtId="0" fontId="21" fillId="0" borderId="60" xfId="66" applyFont="1" applyFill="1" applyBorder="1" applyAlignment="1" applyProtection="1">
      <alignment horizontal="center" vertical="center" textRotation="90"/>
      <protection/>
    </xf>
    <xf numFmtId="0" fontId="21" fillId="0" borderId="18" xfId="66" applyFont="1" applyFill="1" applyBorder="1" applyAlignment="1" applyProtection="1">
      <alignment horizontal="center" vertical="center" textRotation="90"/>
      <protection/>
    </xf>
    <xf numFmtId="0" fontId="21" fillId="0" borderId="42" xfId="66" applyFont="1" applyFill="1" applyBorder="1" applyAlignment="1" applyProtection="1">
      <alignment horizontal="center" vertical="center" textRotation="90"/>
      <protection/>
    </xf>
    <xf numFmtId="0" fontId="32" fillId="0" borderId="61" xfId="67" applyFont="1" applyFill="1" applyBorder="1" applyAlignment="1" applyProtection="1">
      <alignment horizontal="center" vertical="center" wrapText="1"/>
      <protection/>
    </xf>
    <xf numFmtId="0" fontId="32" fillId="0" borderId="57" xfId="67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Border="1" applyAlignment="1" applyProtection="1">
      <alignment horizontal="right" vertical="center"/>
      <protection/>
    </xf>
    <xf numFmtId="0" fontId="5" fillId="0" borderId="0" xfId="66" applyFont="1" applyFill="1" applyAlignment="1" applyProtection="1">
      <alignment horizontal="center" vertical="center" wrapText="1"/>
      <protection/>
    </xf>
    <xf numFmtId="0" fontId="3" fillId="0" borderId="0" xfId="66" applyFont="1" applyFill="1" applyAlignment="1" applyProtection="1">
      <alignment horizontal="center" vertical="center" wrapText="1"/>
      <protection/>
    </xf>
    <xf numFmtId="0" fontId="5" fillId="0" borderId="51" xfId="66" applyFont="1" applyFill="1" applyBorder="1" applyAlignment="1" applyProtection="1">
      <alignment horizontal="center" vertical="center" wrapText="1"/>
      <protection/>
    </xf>
    <xf numFmtId="0" fontId="5" fillId="0" borderId="12" xfId="66" applyFont="1" applyFill="1" applyBorder="1" applyAlignment="1" applyProtection="1">
      <alignment horizontal="center" vertical="center" wrapText="1"/>
      <protection/>
    </xf>
    <xf numFmtId="0" fontId="29" fillId="0" borderId="0" xfId="67" applyFont="1" applyFill="1" applyAlignment="1" applyProtection="1">
      <alignment horizontal="center"/>
      <protection/>
    </xf>
    <xf numFmtId="0" fontId="4" fillId="0" borderId="64" xfId="66" applyFont="1" applyFill="1" applyBorder="1" applyAlignment="1" applyProtection="1">
      <alignment horizontal="center" vertical="center" wrapText="1"/>
      <protection/>
    </xf>
    <xf numFmtId="0" fontId="4" fillId="0" borderId="17" xfId="66" applyFont="1" applyFill="1" applyBorder="1" applyAlignment="1" applyProtection="1">
      <alignment horizontal="center" vertical="center"/>
      <protection/>
    </xf>
    <xf numFmtId="0" fontId="21" fillId="0" borderId="41" xfId="66" applyFont="1" applyFill="1" applyBorder="1" applyAlignment="1" applyProtection="1">
      <alignment horizontal="center" vertical="center" textRotation="90"/>
      <protection/>
    </xf>
    <xf numFmtId="0" fontId="21" fillId="0" borderId="10" xfId="66" applyFont="1" applyFill="1" applyBorder="1" applyAlignment="1" applyProtection="1">
      <alignment horizontal="center" vertical="center" textRotation="90"/>
      <protection/>
    </xf>
    <xf numFmtId="3" fontId="29" fillId="0" borderId="0" xfId="67" applyNumberFormat="1" applyFont="1" applyFill="1" applyAlignment="1">
      <alignment horizontal="center"/>
      <protection/>
    </xf>
    <xf numFmtId="0" fontId="31" fillId="0" borderId="0" xfId="67" applyFont="1" applyFill="1" applyAlignment="1">
      <alignment horizontal="center" vertical="center" wrapText="1"/>
      <protection/>
    </xf>
    <xf numFmtId="0" fontId="31" fillId="0" borderId="0" xfId="67" applyFont="1" applyFill="1" applyAlignment="1">
      <alignment horizontal="center" vertical="center"/>
      <protection/>
    </xf>
    <xf numFmtId="0" fontId="16" fillId="0" borderId="35" xfId="67" applyFont="1" applyFill="1" applyBorder="1" applyAlignment="1">
      <alignment horizontal="left"/>
      <protection/>
    </xf>
    <xf numFmtId="0" fontId="16" fillId="0" borderId="44" xfId="67" applyFont="1" applyFill="1" applyBorder="1" applyAlignment="1">
      <alignment horizontal="left"/>
      <protection/>
    </xf>
    <xf numFmtId="0" fontId="31" fillId="0" borderId="0" xfId="67" applyFont="1" applyFill="1" applyAlignment="1">
      <alignment horizontal="center" wrapText="1"/>
      <protection/>
    </xf>
    <xf numFmtId="0" fontId="31" fillId="0" borderId="0" xfId="67" applyFont="1" applyFill="1" applyAlignment="1">
      <alignment horizontal="center"/>
      <protection/>
    </xf>
    <xf numFmtId="0" fontId="16" fillId="0" borderId="35" xfId="67" applyFont="1" applyFill="1" applyBorder="1" applyAlignment="1">
      <alignment horizontal="left" indent="1"/>
      <protection/>
    </xf>
    <xf numFmtId="0" fontId="16" fillId="0" borderId="44" xfId="67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SEGEDLETEK" xfId="65"/>
    <cellStyle name="Normál_VAGYONK" xfId="66"/>
    <cellStyle name="Normál_VAGYONKIM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6.375" style="311" customWidth="1"/>
    <col min="2" max="2" width="66.125" style="311" customWidth="1"/>
    <col min="3" max="16384" width="9.375" style="311" customWidth="1"/>
  </cols>
  <sheetData>
    <row r="1" ht="18.75">
      <c r="A1" s="500" t="s">
        <v>110</v>
      </c>
    </row>
    <row r="3" spans="1:2" ht="12.75">
      <c r="A3" s="501"/>
      <c r="B3" s="501"/>
    </row>
    <row r="4" spans="1:2" ht="15.75">
      <c r="A4" s="475" t="s">
        <v>898</v>
      </c>
      <c r="B4" s="502"/>
    </row>
    <row r="5" spans="1:2" s="503" customFormat="1" ht="12.75">
      <c r="A5" s="501"/>
      <c r="B5" s="501"/>
    </row>
    <row r="6" spans="1:2" ht="12.75">
      <c r="A6" s="501" t="s">
        <v>521</v>
      </c>
      <c r="B6" s="501" t="s">
        <v>522</v>
      </c>
    </row>
    <row r="7" spans="1:2" ht="12.75">
      <c r="A7" s="501" t="s">
        <v>523</v>
      </c>
      <c r="B7" s="501" t="s">
        <v>524</v>
      </c>
    </row>
    <row r="8" spans="1:2" ht="12.75">
      <c r="A8" s="501" t="s">
        <v>525</v>
      </c>
      <c r="B8" s="501" t="s">
        <v>526</v>
      </c>
    </row>
    <row r="9" spans="1:2" ht="12.75">
      <c r="A9" s="501"/>
      <c r="B9" s="501"/>
    </row>
    <row r="10" spans="1:2" ht="15.75">
      <c r="A10" s="475" t="str">
        <f>+CONCATENATE(LEFT(A4,4),". évi módosított előirányzat BEVÉTELEK")</f>
        <v>2017. évi módosított előirányzat BEVÉTELEK</v>
      </c>
      <c r="B10" s="502"/>
    </row>
    <row r="11" spans="1:2" ht="12.75">
      <c r="A11" s="501"/>
      <c r="B11" s="501"/>
    </row>
    <row r="12" spans="1:2" s="503" customFormat="1" ht="12.75">
      <c r="A12" s="501" t="s">
        <v>527</v>
      </c>
      <c r="B12" s="501" t="s">
        <v>533</v>
      </c>
    </row>
    <row r="13" spans="1:2" ht="12.75">
      <c r="A13" s="501" t="s">
        <v>528</v>
      </c>
      <c r="B13" s="501" t="s">
        <v>534</v>
      </c>
    </row>
    <row r="14" spans="1:2" ht="12.75">
      <c r="A14" s="501" t="s">
        <v>529</v>
      </c>
      <c r="B14" s="501" t="s">
        <v>535</v>
      </c>
    </row>
    <row r="15" spans="1:2" ht="12.75">
      <c r="A15" s="501"/>
      <c r="B15" s="501"/>
    </row>
    <row r="16" spans="1:2" ht="14.25">
      <c r="A16" s="504" t="str">
        <f>+CONCATENATE(LEFT(A4,4),". évi teljesítés BEVÉTELEK")</f>
        <v>2017. évi teljesítés BEVÉTELEK</v>
      </c>
      <c r="B16" s="502"/>
    </row>
    <row r="17" spans="1:2" ht="12.75">
      <c r="A17" s="501"/>
      <c r="B17" s="501"/>
    </row>
    <row r="18" spans="1:2" ht="12.75">
      <c r="A18" s="501" t="s">
        <v>530</v>
      </c>
      <c r="B18" s="501" t="s">
        <v>536</v>
      </c>
    </row>
    <row r="19" spans="1:2" ht="12.75">
      <c r="A19" s="501" t="s">
        <v>531</v>
      </c>
      <c r="B19" s="501" t="s">
        <v>537</v>
      </c>
    </row>
    <row r="20" spans="1:2" ht="12.75">
      <c r="A20" s="501" t="s">
        <v>532</v>
      </c>
      <c r="B20" s="501" t="s">
        <v>538</v>
      </c>
    </row>
    <row r="21" spans="1:2" ht="12.75">
      <c r="A21" s="501"/>
      <c r="B21" s="501"/>
    </row>
    <row r="22" spans="1:2" ht="15.75">
      <c r="A22" s="475" t="str">
        <f>+CONCATENATE(LEFT(A4,4),". évi eredeti előirányzat KIADÁSOK")</f>
        <v>2017. évi eredeti előirányzat KIADÁSOK</v>
      </c>
      <c r="B22" s="502"/>
    </row>
    <row r="23" spans="1:2" ht="12.75">
      <c r="A23" s="501"/>
      <c r="B23" s="501"/>
    </row>
    <row r="24" spans="1:2" ht="12.75">
      <c r="A24" s="501" t="s">
        <v>539</v>
      </c>
      <c r="B24" s="501" t="s">
        <v>545</v>
      </c>
    </row>
    <row r="25" spans="1:2" ht="12.75">
      <c r="A25" s="501" t="s">
        <v>518</v>
      </c>
      <c r="B25" s="501" t="s">
        <v>546</v>
      </c>
    </row>
    <row r="26" spans="1:2" ht="12.75">
      <c r="A26" s="501" t="s">
        <v>540</v>
      </c>
      <c r="B26" s="501" t="s">
        <v>547</v>
      </c>
    </row>
    <row r="27" spans="1:2" ht="12.75">
      <c r="A27" s="501"/>
      <c r="B27" s="501"/>
    </row>
    <row r="28" spans="1:2" ht="15.75">
      <c r="A28" s="475" t="str">
        <f>+CONCATENATE(LEFT(A4,4),". évi módosított előirányzat KIADÁSOK")</f>
        <v>2017. évi módosított előirányzat KIADÁSOK</v>
      </c>
      <c r="B28" s="502"/>
    </row>
    <row r="29" spans="1:2" ht="12.75">
      <c r="A29" s="501"/>
      <c r="B29" s="501"/>
    </row>
    <row r="30" spans="1:2" ht="12.75">
      <c r="A30" s="501" t="s">
        <v>541</v>
      </c>
      <c r="B30" s="501" t="s">
        <v>552</v>
      </c>
    </row>
    <row r="31" spans="1:2" ht="12.75">
      <c r="A31" s="501" t="s">
        <v>519</v>
      </c>
      <c r="B31" s="501" t="s">
        <v>549</v>
      </c>
    </row>
    <row r="32" spans="1:2" ht="12.75">
      <c r="A32" s="501" t="s">
        <v>542</v>
      </c>
      <c r="B32" s="501" t="s">
        <v>548</v>
      </c>
    </row>
    <row r="33" spans="1:2" ht="12.75">
      <c r="A33" s="501"/>
      <c r="B33" s="501"/>
    </row>
    <row r="34" spans="1:2" ht="15.75">
      <c r="A34" s="505" t="str">
        <f>+CONCATENATE(LEFT(A4,4),". évi teljesítés KIADÁSOK")</f>
        <v>2017. évi teljesítés KIADÁSOK</v>
      </c>
      <c r="B34" s="502"/>
    </row>
    <row r="35" spans="1:2" ht="12.75">
      <c r="A35" s="501"/>
      <c r="B35" s="501"/>
    </row>
    <row r="36" spans="1:2" ht="12.75">
      <c r="A36" s="501" t="s">
        <v>543</v>
      </c>
      <c r="B36" s="501" t="s">
        <v>553</v>
      </c>
    </row>
    <row r="37" spans="1:2" ht="12.75">
      <c r="A37" s="501" t="s">
        <v>520</v>
      </c>
      <c r="B37" s="501" t="s">
        <v>551</v>
      </c>
    </row>
    <row r="38" spans="1:2" ht="12.75">
      <c r="A38" s="501" t="s">
        <v>544</v>
      </c>
      <c r="B38" s="501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zoomScaleSheetLayoutView="130" zoomScalePageLayoutView="0" workbookViewId="0" topLeftCell="A1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0" width="9.375" style="4" customWidth="1"/>
    <col min="11" max="11" width="10.125" style="4" bestFit="1" customWidth="1"/>
    <col min="12" max="12" width="9.375" style="4" customWidth="1"/>
    <col min="13" max="13" width="12.875" style="4" customWidth="1"/>
    <col min="14" max="16384" width="9.375" style="4" customWidth="1"/>
  </cols>
  <sheetData>
    <row r="1" spans="1:8" ht="24.75" customHeight="1">
      <c r="A1" s="771" t="s">
        <v>1</v>
      </c>
      <c r="B1" s="771"/>
      <c r="C1" s="771"/>
      <c r="D1" s="771"/>
      <c r="E1" s="771"/>
      <c r="F1" s="771"/>
      <c r="G1" s="771"/>
      <c r="H1" s="773" t="str">
        <f>+CONCATENATE("4. melléklet a 6 /",LEFT(ÖSSZEFÜGGÉSEK!A4,4)+1,". (V.30.) önkormányzati rendelethez")</f>
        <v>4. melléklet a 6 /2018. (V.30.) önkormányzati rendelethez</v>
      </c>
    </row>
    <row r="2" spans="1:8" ht="23.25" customHeight="1" thickBot="1">
      <c r="A2" s="26"/>
      <c r="B2" s="10"/>
      <c r="C2" s="10"/>
      <c r="D2" s="10"/>
      <c r="E2" s="10"/>
      <c r="F2" s="772" t="s">
        <v>880</v>
      </c>
      <c r="G2" s="772"/>
      <c r="H2" s="773"/>
    </row>
    <row r="3" spans="1:8" s="6" customFormat="1" ht="48.75" customHeight="1" thickBot="1">
      <c r="A3" s="27" t="s">
        <v>58</v>
      </c>
      <c r="B3" s="28" t="s">
        <v>56</v>
      </c>
      <c r="C3" s="28" t="s">
        <v>57</v>
      </c>
      <c r="D3" s="28" t="str">
        <f>+'3.sz.mell.'!D3</f>
        <v>Felhasználás 2016. XII.31-ig</v>
      </c>
      <c r="E3" s="28" t="str">
        <f>+'3.sz.mell.'!E3</f>
        <v>2017. évi módosított előirányzat</v>
      </c>
      <c r="F3" s="105" t="str">
        <f>+'3.sz.mell.'!F3</f>
        <v>2017. évi teljesítés</v>
      </c>
      <c r="G3" s="104" t="str">
        <f>+'3.sz.mell.'!G3</f>
        <v>Összes teljesítés 2017. XII.31-ig</v>
      </c>
      <c r="H3" s="773"/>
    </row>
    <row r="4" spans="1:8" s="10" customFormat="1" ht="15" customHeight="1" thickBot="1">
      <c r="A4" s="468" t="s">
        <v>427</v>
      </c>
      <c r="B4" s="469" t="s">
        <v>428</v>
      </c>
      <c r="C4" s="469" t="s">
        <v>429</v>
      </c>
      <c r="D4" s="469" t="s">
        <v>430</v>
      </c>
      <c r="E4" s="469" t="s">
        <v>431</v>
      </c>
      <c r="F4" s="49" t="s">
        <v>508</v>
      </c>
      <c r="G4" s="470" t="s">
        <v>554</v>
      </c>
      <c r="H4" s="773"/>
    </row>
    <row r="5" spans="1:8" ht="15.75" customHeight="1">
      <c r="A5" s="17" t="s">
        <v>877</v>
      </c>
      <c r="B5" s="691">
        <v>908050</v>
      </c>
      <c r="C5" s="692" t="s">
        <v>903</v>
      </c>
      <c r="D5" s="2"/>
      <c r="E5" s="2"/>
      <c r="F5" s="50">
        <v>908050</v>
      </c>
      <c r="G5" s="51">
        <f aca="true" t="shared" si="0" ref="G5:G23">+D5+F5</f>
        <v>908050</v>
      </c>
      <c r="H5" s="773"/>
    </row>
    <row r="6" spans="1:8" ht="15.75" customHeight="1">
      <c r="A6" s="17" t="s">
        <v>912</v>
      </c>
      <c r="B6" s="691">
        <v>44778261</v>
      </c>
      <c r="C6" s="692" t="s">
        <v>903</v>
      </c>
      <c r="D6" s="2"/>
      <c r="E6" s="2"/>
      <c r="F6" s="50">
        <v>44778261</v>
      </c>
      <c r="G6" s="51">
        <f t="shared" si="0"/>
        <v>44778261</v>
      </c>
      <c r="H6" s="773"/>
    </row>
    <row r="7" spans="1:8" ht="15.75" customHeight="1">
      <c r="A7" s="17" t="s">
        <v>891</v>
      </c>
      <c r="B7" s="2">
        <v>5936789</v>
      </c>
      <c r="C7" s="335">
        <v>2017</v>
      </c>
      <c r="D7" s="2"/>
      <c r="E7" s="2"/>
      <c r="F7" s="50">
        <v>5936789</v>
      </c>
      <c r="G7" s="51">
        <f>+D7+F7</f>
        <v>5936789</v>
      </c>
      <c r="H7" s="773"/>
    </row>
    <row r="8" spans="1:8" ht="15.75" customHeight="1">
      <c r="A8" s="17" t="s">
        <v>913</v>
      </c>
      <c r="B8" s="2">
        <v>30414204</v>
      </c>
      <c r="C8" s="335">
        <v>2017</v>
      </c>
      <c r="D8" s="2"/>
      <c r="E8" s="2"/>
      <c r="F8" s="50">
        <v>30414204</v>
      </c>
      <c r="G8" s="51">
        <f>+D8+F8</f>
        <v>30414204</v>
      </c>
      <c r="H8" s="773"/>
    </row>
    <row r="9" spans="1:8" ht="15.75" customHeight="1">
      <c r="A9" s="17" t="s">
        <v>892</v>
      </c>
      <c r="B9" s="691">
        <v>1999615</v>
      </c>
      <c r="C9" s="692" t="s">
        <v>903</v>
      </c>
      <c r="D9" s="2"/>
      <c r="E9" s="2"/>
      <c r="F9" s="50">
        <v>1999615</v>
      </c>
      <c r="G9" s="51">
        <f t="shared" si="0"/>
        <v>1999615</v>
      </c>
      <c r="H9" s="773"/>
    </row>
    <row r="10" spans="1:8" ht="15.75" customHeight="1">
      <c r="A10" s="17" t="s">
        <v>914</v>
      </c>
      <c r="B10" s="2">
        <v>2667000</v>
      </c>
      <c r="C10" s="335">
        <v>2017</v>
      </c>
      <c r="D10" s="2"/>
      <c r="E10" s="2"/>
      <c r="F10" s="50">
        <v>2667000</v>
      </c>
      <c r="G10" s="51">
        <f t="shared" si="0"/>
        <v>2667000</v>
      </c>
      <c r="H10" s="773"/>
    </row>
    <row r="11" spans="1:8" ht="15.75" customHeight="1">
      <c r="A11" s="17" t="s">
        <v>915</v>
      </c>
      <c r="B11" s="2">
        <v>4785360</v>
      </c>
      <c r="C11" s="335">
        <v>2017</v>
      </c>
      <c r="D11" s="2"/>
      <c r="E11" s="2"/>
      <c r="F11" s="50">
        <v>4785360</v>
      </c>
      <c r="G11" s="51">
        <f t="shared" si="0"/>
        <v>4785360</v>
      </c>
      <c r="H11" s="773"/>
    </row>
    <row r="12" spans="1:8" ht="15.75" customHeight="1">
      <c r="A12" s="17" t="s">
        <v>916</v>
      </c>
      <c r="B12" s="2">
        <v>2387600</v>
      </c>
      <c r="C12" s="335">
        <v>2017</v>
      </c>
      <c r="D12" s="2"/>
      <c r="E12" s="2"/>
      <c r="F12" s="50">
        <v>2387600</v>
      </c>
      <c r="G12" s="51">
        <f t="shared" si="0"/>
        <v>2387600</v>
      </c>
      <c r="H12" s="773"/>
    </row>
    <row r="13" spans="1:8" ht="15.75" customHeight="1">
      <c r="A13" s="17"/>
      <c r="B13" s="2"/>
      <c r="C13" s="335"/>
      <c r="D13" s="2"/>
      <c r="E13" s="2"/>
      <c r="F13" s="50"/>
      <c r="G13" s="51">
        <f t="shared" si="0"/>
        <v>0</v>
      </c>
      <c r="H13" s="773"/>
    </row>
    <row r="14" spans="1:8" ht="15.75" customHeight="1">
      <c r="A14" s="17"/>
      <c r="B14" s="2"/>
      <c r="C14" s="335"/>
      <c r="D14" s="2"/>
      <c r="E14" s="2"/>
      <c r="F14" s="50"/>
      <c r="G14" s="51">
        <f t="shared" si="0"/>
        <v>0</v>
      </c>
      <c r="H14" s="773"/>
    </row>
    <row r="15" spans="1:8" ht="15.75" customHeight="1">
      <c r="A15" s="17"/>
      <c r="B15" s="2"/>
      <c r="C15" s="335"/>
      <c r="D15" s="2"/>
      <c r="E15" s="2"/>
      <c r="F15" s="50"/>
      <c r="G15" s="51">
        <f t="shared" si="0"/>
        <v>0</v>
      </c>
      <c r="H15" s="773"/>
    </row>
    <row r="16" spans="1:8" ht="15.75" customHeight="1">
      <c r="A16" s="17"/>
      <c r="B16" s="2"/>
      <c r="C16" s="335"/>
      <c r="D16" s="2"/>
      <c r="E16" s="2"/>
      <c r="F16" s="50"/>
      <c r="G16" s="51">
        <f t="shared" si="0"/>
        <v>0</v>
      </c>
      <c r="H16" s="773"/>
    </row>
    <row r="17" spans="1:8" ht="15.75" customHeight="1">
      <c r="A17" s="17"/>
      <c r="B17" s="2"/>
      <c r="C17" s="335"/>
      <c r="D17" s="2"/>
      <c r="E17" s="2"/>
      <c r="F17" s="50"/>
      <c r="G17" s="51">
        <f t="shared" si="0"/>
        <v>0</v>
      </c>
      <c r="H17" s="773"/>
    </row>
    <row r="18" spans="1:8" ht="15.75" customHeight="1">
      <c r="A18" s="17"/>
      <c r="B18" s="2"/>
      <c r="C18" s="335"/>
      <c r="D18" s="2"/>
      <c r="E18" s="2"/>
      <c r="F18" s="50"/>
      <c r="G18" s="51">
        <f t="shared" si="0"/>
        <v>0</v>
      </c>
      <c r="H18" s="773"/>
    </row>
    <row r="19" spans="1:8" ht="15.75" customHeight="1">
      <c r="A19" s="17"/>
      <c r="B19" s="2"/>
      <c r="C19" s="335"/>
      <c r="D19" s="2"/>
      <c r="E19" s="2"/>
      <c r="F19" s="50"/>
      <c r="G19" s="51">
        <f t="shared" si="0"/>
        <v>0</v>
      </c>
      <c r="H19" s="773"/>
    </row>
    <row r="20" spans="1:8" ht="15.75" customHeight="1">
      <c r="A20" s="17"/>
      <c r="B20" s="2"/>
      <c r="C20" s="335"/>
      <c r="D20" s="2"/>
      <c r="E20" s="2"/>
      <c r="F20" s="50"/>
      <c r="G20" s="51">
        <f t="shared" si="0"/>
        <v>0</v>
      </c>
      <c r="H20" s="773"/>
    </row>
    <row r="21" spans="1:8" ht="15.75" customHeight="1">
      <c r="A21" s="17"/>
      <c r="B21" s="2"/>
      <c r="C21" s="335"/>
      <c r="D21" s="2"/>
      <c r="E21" s="2"/>
      <c r="F21" s="50"/>
      <c r="G21" s="51">
        <f t="shared" si="0"/>
        <v>0</v>
      </c>
      <c r="H21" s="773"/>
    </row>
    <row r="22" spans="1:8" ht="15.75" customHeight="1">
      <c r="A22" s="17"/>
      <c r="B22" s="2"/>
      <c r="C22" s="335"/>
      <c r="D22" s="2"/>
      <c r="E22" s="2"/>
      <c r="F22" s="50"/>
      <c r="G22" s="51">
        <f t="shared" si="0"/>
        <v>0</v>
      </c>
      <c r="H22" s="773"/>
    </row>
    <row r="23" spans="1:8" ht="15.75" customHeight="1" thickBot="1">
      <c r="A23" s="18"/>
      <c r="B23" s="3"/>
      <c r="C23" s="336"/>
      <c r="D23" s="3"/>
      <c r="E23" s="3"/>
      <c r="F23" s="52"/>
      <c r="G23" s="51">
        <f t="shared" si="0"/>
        <v>0</v>
      </c>
      <c r="H23" s="773"/>
    </row>
    <row r="24" spans="1:8" s="16" customFormat="1" ht="18" customHeight="1" thickBot="1">
      <c r="A24" s="29" t="s">
        <v>54</v>
      </c>
      <c r="B24" s="14">
        <f>SUM(B5:B23)</f>
        <v>93876879</v>
      </c>
      <c r="C24" s="21"/>
      <c r="D24" s="14">
        <f>SUM(D5:D23)</f>
        <v>0</v>
      </c>
      <c r="E24" s="14">
        <f>SUM(E5:E23)</f>
        <v>0</v>
      </c>
      <c r="F24" s="14">
        <f>SUM(F5:F23)</f>
        <v>93876879</v>
      </c>
      <c r="G24" s="15">
        <f>SUM(G5:G23)</f>
        <v>93876879</v>
      </c>
      <c r="H24" s="773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72"/>
  <sheetViews>
    <sheetView view="pageBreakPreview" zoomScaleNormal="130" zoomScaleSheetLayoutView="100" zoomScalePageLayoutView="0" workbookViewId="0" topLeftCell="A19">
      <selection activeCell="N58" sqref="N5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1" t="s">
        <v>917</v>
      </c>
      <c r="B1" s="781"/>
      <c r="C1" s="781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3" t="str">
        <f>+CONCATENATE("5. melléklet a 6 /",LEFT(ÖSSZEFÜGGÉSEK!A4,4)+1,". (V.30.) önkormányzati rendelethez    ")</f>
        <v>5. melléklet a 6 /2018. (V.30.)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791" t="s">
        <v>51</v>
      </c>
      <c r="M2" s="791"/>
      <c r="N2" s="783"/>
    </row>
    <row r="3" spans="1:14" ht="13.5" thickBot="1">
      <c r="A3" s="778" t="s">
        <v>92</v>
      </c>
      <c r="B3" s="777" t="s">
        <v>184</v>
      </c>
      <c r="C3" s="777"/>
      <c r="D3" s="777"/>
      <c r="E3" s="777"/>
      <c r="F3" s="777"/>
      <c r="G3" s="777"/>
      <c r="H3" s="777"/>
      <c r="I3" s="777"/>
      <c r="J3" s="795" t="s">
        <v>186</v>
      </c>
      <c r="K3" s="795"/>
      <c r="L3" s="795"/>
      <c r="M3" s="795"/>
      <c r="N3" s="783"/>
    </row>
    <row r="4" spans="1:14" ht="15" customHeight="1" thickBot="1">
      <c r="A4" s="779"/>
      <c r="B4" s="776" t="s">
        <v>187</v>
      </c>
      <c r="C4" s="774" t="s">
        <v>188</v>
      </c>
      <c r="D4" s="775" t="s">
        <v>182</v>
      </c>
      <c r="E4" s="775"/>
      <c r="F4" s="775"/>
      <c r="G4" s="775"/>
      <c r="H4" s="775"/>
      <c r="I4" s="775"/>
      <c r="J4" s="796"/>
      <c r="K4" s="796"/>
      <c r="L4" s="796"/>
      <c r="M4" s="796"/>
      <c r="N4" s="783"/>
    </row>
    <row r="5" spans="1:14" ht="21.75" thickBot="1">
      <c r="A5" s="779"/>
      <c r="B5" s="776"/>
      <c r="C5" s="774"/>
      <c r="D5" s="54" t="s">
        <v>187</v>
      </c>
      <c r="E5" s="54" t="s">
        <v>188</v>
      </c>
      <c r="F5" s="54" t="s">
        <v>187</v>
      </c>
      <c r="G5" s="54" t="s">
        <v>188</v>
      </c>
      <c r="H5" s="54" t="s">
        <v>187</v>
      </c>
      <c r="I5" s="54" t="s">
        <v>188</v>
      </c>
      <c r="J5" s="796"/>
      <c r="K5" s="796"/>
      <c r="L5" s="796"/>
      <c r="M5" s="796"/>
      <c r="N5" s="783"/>
    </row>
    <row r="6" spans="1:14" ht="42.75" thickBot="1">
      <c r="A6" s="780"/>
      <c r="B6" s="774" t="s">
        <v>183</v>
      </c>
      <c r="C6" s="774"/>
      <c r="D6" s="774" t="s">
        <v>899</v>
      </c>
      <c r="E6" s="774"/>
      <c r="F6" s="774" t="s">
        <v>900</v>
      </c>
      <c r="G6" s="774"/>
      <c r="H6" s="776" t="s">
        <v>901</v>
      </c>
      <c r="I6" s="776"/>
      <c r="J6" s="53" t="str">
        <f>+D6</f>
        <v>2017. előtt</v>
      </c>
      <c r="K6" s="54" t="str">
        <f>+F6</f>
        <v>2017. évi</v>
      </c>
      <c r="L6" s="53" t="s">
        <v>38</v>
      </c>
      <c r="M6" s="54" t="s">
        <v>926</v>
      </c>
      <c r="N6" s="783"/>
    </row>
    <row r="7" spans="1:14" ht="13.5" thickBot="1">
      <c r="A7" s="55" t="s">
        <v>427</v>
      </c>
      <c r="B7" s="53" t="s">
        <v>428</v>
      </c>
      <c r="C7" s="53" t="s">
        <v>429</v>
      </c>
      <c r="D7" s="56" t="s">
        <v>430</v>
      </c>
      <c r="E7" s="54" t="s">
        <v>431</v>
      </c>
      <c r="F7" s="54" t="s">
        <v>508</v>
      </c>
      <c r="G7" s="54" t="s">
        <v>509</v>
      </c>
      <c r="H7" s="53" t="s">
        <v>510</v>
      </c>
      <c r="I7" s="56" t="s">
        <v>511</v>
      </c>
      <c r="J7" s="56" t="s">
        <v>555</v>
      </c>
      <c r="K7" s="56" t="s">
        <v>556</v>
      </c>
      <c r="L7" s="56" t="s">
        <v>557</v>
      </c>
      <c r="M7" s="57" t="s">
        <v>558</v>
      </c>
      <c r="N7" s="783"/>
    </row>
    <row r="8" spans="1:14" ht="12.75">
      <c r="A8" s="58" t="s">
        <v>93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 aca="true" t="shared" si="1" ref="M8:M14">IF((C8&lt;&gt;0),ROUND((L8/C8)*100,1),"")</f>
      </c>
      <c r="N8" s="783"/>
    </row>
    <row r="9" spans="1:14" ht="12.75">
      <c r="A9" s="61" t="s">
        <v>105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t="shared" si="1"/>
      </c>
      <c r="N9" s="783"/>
    </row>
    <row r="10" spans="1:14" ht="12.75">
      <c r="A10" s="65" t="s">
        <v>94</v>
      </c>
      <c r="B10" s="66"/>
      <c r="C10" s="82"/>
      <c r="D10" s="82"/>
      <c r="E10" s="82"/>
      <c r="F10" s="82">
        <v>6000</v>
      </c>
      <c r="G10" s="82">
        <v>6000</v>
      </c>
      <c r="H10" s="82"/>
      <c r="I10" s="82"/>
      <c r="J10" s="82"/>
      <c r="K10" s="82">
        <v>6000</v>
      </c>
      <c r="L10" s="64">
        <f t="shared" si="0"/>
        <v>6000</v>
      </c>
      <c r="M10" s="754">
        <f>G10/F10</f>
        <v>1</v>
      </c>
      <c r="N10" s="783"/>
    </row>
    <row r="11" spans="1:14" ht="12.75">
      <c r="A11" s="65" t="s">
        <v>106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/>
      <c r="N11" s="783"/>
    </row>
    <row r="12" spans="1:14" ht="12.75">
      <c r="A12" s="65" t="s">
        <v>95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783"/>
    </row>
    <row r="13" spans="1:14" ht="12.75">
      <c r="A13" s="65" t="s">
        <v>96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783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783"/>
    </row>
    <row r="15" spans="1:14" ht="13.5" thickBot="1">
      <c r="A15" s="69" t="s">
        <v>98</v>
      </c>
      <c r="B15" s="70">
        <f aca="true" t="shared" si="2" ref="B15:L15">B8+SUM(B10:B14)</f>
        <v>0</v>
      </c>
      <c r="C15" s="70">
        <f t="shared" si="2"/>
        <v>0</v>
      </c>
      <c r="D15" s="70">
        <f t="shared" si="2"/>
        <v>0</v>
      </c>
      <c r="E15" s="70">
        <f t="shared" si="2"/>
        <v>0</v>
      </c>
      <c r="F15" s="70">
        <f t="shared" si="2"/>
        <v>6000</v>
      </c>
      <c r="G15" s="70">
        <f t="shared" si="2"/>
        <v>6000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6000</v>
      </c>
      <c r="L15" s="70">
        <f t="shared" si="2"/>
        <v>6000</v>
      </c>
      <c r="M15" s="71">
        <v>0</v>
      </c>
      <c r="N15" s="783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83"/>
    </row>
    <row r="17" spans="1:14" ht="13.5" thickBot="1">
      <c r="A17" s="75" t="s">
        <v>97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3"/>
    </row>
    <row r="18" spans="1:14" ht="12.75">
      <c r="A18" s="78" t="s">
        <v>101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3">IF((C18&lt;&gt;0),ROUND((L18/C18)*100,1),"")</f>
      </c>
      <c r="N18" s="783"/>
    </row>
    <row r="19" spans="1:14" ht="12.75">
      <c r="A19" s="81" t="s">
        <v>102</v>
      </c>
      <c r="B19" s="62"/>
      <c r="C19" s="82"/>
      <c r="D19" s="82"/>
      <c r="E19" s="82"/>
      <c r="F19" s="82">
        <v>3300</v>
      </c>
      <c r="G19" s="82">
        <v>3300</v>
      </c>
      <c r="H19" s="82"/>
      <c r="I19" s="82"/>
      <c r="J19" s="82"/>
      <c r="K19" s="82">
        <v>3292</v>
      </c>
      <c r="L19" s="83">
        <f t="shared" si="3"/>
        <v>3292</v>
      </c>
      <c r="M19" s="754">
        <f>G19/F19</f>
        <v>1</v>
      </c>
      <c r="N19" s="783"/>
    </row>
    <row r="20" spans="1:14" ht="12.75">
      <c r="A20" s="81" t="s">
        <v>103</v>
      </c>
      <c r="B20" s="66"/>
      <c r="C20" s="82"/>
      <c r="D20" s="82"/>
      <c r="E20" s="82"/>
      <c r="F20" s="82">
        <v>2700</v>
      </c>
      <c r="G20" s="82">
        <v>2700</v>
      </c>
      <c r="H20" s="82"/>
      <c r="I20" s="82"/>
      <c r="J20" s="82"/>
      <c r="K20" s="82">
        <v>727</v>
      </c>
      <c r="L20" s="83">
        <f t="shared" si="3"/>
        <v>727</v>
      </c>
      <c r="M20" s="754">
        <v>0.2693</v>
      </c>
      <c r="N20" s="783"/>
    </row>
    <row r="21" spans="1:14" ht="12.75">
      <c r="A21" s="81" t="s">
        <v>104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783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783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783"/>
    </row>
    <row r="24" spans="1:14" ht="13.5" thickBot="1">
      <c r="A24" s="87" t="s">
        <v>82</v>
      </c>
      <c r="B24" s="70">
        <f aca="true" t="shared" si="5" ref="B24:L24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6000</v>
      </c>
      <c r="G24" s="70">
        <f t="shared" si="5"/>
        <v>6000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4019</v>
      </c>
      <c r="L24" s="70">
        <f t="shared" si="5"/>
        <v>4019</v>
      </c>
      <c r="M24" s="71">
        <v>0</v>
      </c>
      <c r="N24" s="783"/>
    </row>
    <row r="25" spans="1:14" ht="12.75">
      <c r="A25" s="792" t="s">
        <v>181</v>
      </c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83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83"/>
    </row>
    <row r="27" spans="1:14" ht="15.75" customHeight="1">
      <c r="A27" s="781" t="s">
        <v>893</v>
      </c>
      <c r="B27" s="781"/>
      <c r="C27" s="781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3"/>
    </row>
    <row r="28" spans="1:14" ht="15.75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791" t="s">
        <v>894</v>
      </c>
      <c r="M28" s="791"/>
      <c r="N28" s="783"/>
    </row>
    <row r="29" spans="1:14" ht="13.5" thickBot="1">
      <c r="A29" s="778" t="s">
        <v>92</v>
      </c>
      <c r="B29" s="777" t="s">
        <v>184</v>
      </c>
      <c r="C29" s="777"/>
      <c r="D29" s="777"/>
      <c r="E29" s="777"/>
      <c r="F29" s="777"/>
      <c r="G29" s="777"/>
      <c r="H29" s="777"/>
      <c r="I29" s="777"/>
      <c r="J29" s="795" t="s">
        <v>186</v>
      </c>
      <c r="K29" s="795"/>
      <c r="L29" s="795"/>
      <c r="M29" s="795"/>
      <c r="N29" s="783"/>
    </row>
    <row r="30" spans="1:14" ht="15" customHeight="1" thickBot="1">
      <c r="A30" s="779"/>
      <c r="B30" s="776" t="s">
        <v>187</v>
      </c>
      <c r="C30" s="774" t="s">
        <v>188</v>
      </c>
      <c r="D30" s="775" t="s">
        <v>182</v>
      </c>
      <c r="E30" s="775"/>
      <c r="F30" s="775"/>
      <c r="G30" s="775"/>
      <c r="H30" s="775"/>
      <c r="I30" s="775"/>
      <c r="J30" s="796"/>
      <c r="K30" s="796"/>
      <c r="L30" s="796"/>
      <c r="M30" s="796"/>
      <c r="N30" s="783"/>
    </row>
    <row r="31" spans="1:14" ht="21.75" thickBot="1">
      <c r="A31" s="779"/>
      <c r="B31" s="776"/>
      <c r="C31" s="774"/>
      <c r="D31" s="54" t="s">
        <v>187</v>
      </c>
      <c r="E31" s="54" t="s">
        <v>188</v>
      </c>
      <c r="F31" s="54" t="s">
        <v>187</v>
      </c>
      <c r="G31" s="54" t="s">
        <v>188</v>
      </c>
      <c r="H31" s="54" t="s">
        <v>187</v>
      </c>
      <c r="I31" s="54" t="s">
        <v>188</v>
      </c>
      <c r="J31" s="796"/>
      <c r="K31" s="796"/>
      <c r="L31" s="796"/>
      <c r="M31" s="796"/>
      <c r="N31" s="783"/>
    </row>
    <row r="32" spans="1:14" ht="42.75" thickBot="1">
      <c r="A32" s="780"/>
      <c r="B32" s="774" t="s">
        <v>183</v>
      </c>
      <c r="C32" s="774"/>
      <c r="D32" s="774" t="s">
        <v>899</v>
      </c>
      <c r="E32" s="774"/>
      <c r="F32" s="774" t="s">
        <v>900</v>
      </c>
      <c r="G32" s="774"/>
      <c r="H32" s="776" t="s">
        <v>901</v>
      </c>
      <c r="I32" s="776"/>
      <c r="J32" s="53" t="str">
        <f>+D32</f>
        <v>2017. előtt</v>
      </c>
      <c r="K32" s="54" t="str">
        <f>+F32</f>
        <v>2017. évi</v>
      </c>
      <c r="L32" s="53" t="s">
        <v>38</v>
      </c>
      <c r="M32" s="54" t="s">
        <v>926</v>
      </c>
      <c r="N32" s="783"/>
    </row>
    <row r="33" spans="1:14" ht="13.5" thickBot="1">
      <c r="A33" s="55" t="s">
        <v>427</v>
      </c>
      <c r="B33" s="53" t="s">
        <v>428</v>
      </c>
      <c r="C33" s="53" t="s">
        <v>429</v>
      </c>
      <c r="D33" s="56" t="s">
        <v>430</v>
      </c>
      <c r="E33" s="54" t="s">
        <v>431</v>
      </c>
      <c r="F33" s="54" t="s">
        <v>508</v>
      </c>
      <c r="G33" s="54" t="s">
        <v>509</v>
      </c>
      <c r="H33" s="53" t="s">
        <v>510</v>
      </c>
      <c r="I33" s="56" t="s">
        <v>511</v>
      </c>
      <c r="J33" s="56" t="s">
        <v>555</v>
      </c>
      <c r="K33" s="56" t="s">
        <v>556</v>
      </c>
      <c r="L33" s="56" t="s">
        <v>557</v>
      </c>
      <c r="M33" s="57" t="s">
        <v>558</v>
      </c>
      <c r="N33" s="783"/>
    </row>
    <row r="34" spans="1:14" ht="12.75">
      <c r="A34" s="58" t="s">
        <v>93</v>
      </c>
      <c r="B34" s="59"/>
      <c r="C34" s="79"/>
      <c r="D34" s="79"/>
      <c r="E34" s="90"/>
      <c r="F34" s="79"/>
      <c r="G34" s="79"/>
      <c r="H34" s="79"/>
      <c r="I34" s="79"/>
      <c r="J34" s="79"/>
      <c r="K34" s="79"/>
      <c r="L34" s="60">
        <f aca="true" t="shared" si="6" ref="L34:L40">+J34+K34</f>
        <v>0</v>
      </c>
      <c r="M34" s="94">
        <f>IF((C34&lt;&gt;0),ROUND((L34/C34)*100,1),"")</f>
      </c>
      <c r="N34" s="783"/>
    </row>
    <row r="35" spans="1:14" ht="12.75">
      <c r="A35" s="61" t="s">
        <v>105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>
        <f t="shared" si="6"/>
        <v>0</v>
      </c>
      <c r="M35" s="95">
        <f>IF((C35&lt;&gt;0),ROUND((L35/C35)*100,1),"")</f>
      </c>
      <c r="N35" s="783"/>
    </row>
    <row r="36" spans="1:14" ht="12.75">
      <c r="A36" s="65" t="s">
        <v>94</v>
      </c>
      <c r="B36" s="66"/>
      <c r="C36" s="82"/>
      <c r="D36" s="82"/>
      <c r="E36" s="82"/>
      <c r="F36" s="82"/>
      <c r="G36" s="82"/>
      <c r="H36" s="82"/>
      <c r="I36" s="82"/>
      <c r="J36" s="82"/>
      <c r="K36" s="82"/>
      <c r="L36" s="64">
        <f t="shared" si="6"/>
        <v>0</v>
      </c>
      <c r="M36" s="95"/>
      <c r="N36" s="783"/>
    </row>
    <row r="37" spans="1:14" ht="12.75">
      <c r="A37" s="65" t="s">
        <v>106</v>
      </c>
      <c r="B37" s="66"/>
      <c r="C37" s="82"/>
      <c r="D37" s="82"/>
      <c r="E37" s="82"/>
      <c r="F37" s="82"/>
      <c r="G37" s="82"/>
      <c r="H37" s="82"/>
      <c r="I37" s="82"/>
      <c r="J37" s="82"/>
      <c r="K37" s="82"/>
      <c r="L37" s="64">
        <f t="shared" si="6"/>
        <v>0</v>
      </c>
      <c r="M37" s="95"/>
      <c r="N37" s="783"/>
    </row>
    <row r="38" spans="1:14" ht="12.75">
      <c r="A38" s="65" t="s">
        <v>95</v>
      </c>
      <c r="B38" s="66"/>
      <c r="C38" s="82"/>
      <c r="D38" s="82"/>
      <c r="E38" s="82"/>
      <c r="F38" s="82"/>
      <c r="G38" s="82"/>
      <c r="H38" s="82"/>
      <c r="I38" s="82"/>
      <c r="J38" s="82"/>
      <c r="K38" s="82"/>
      <c r="L38" s="64">
        <f t="shared" si="6"/>
        <v>0</v>
      </c>
      <c r="M38" s="95">
        <f>IF((C38&lt;&gt;0),ROUND((L38/C38)*100,1),"")</f>
      </c>
      <c r="N38" s="783"/>
    </row>
    <row r="39" spans="1:14" ht="12.75">
      <c r="A39" s="65" t="s">
        <v>96</v>
      </c>
      <c r="B39" s="66"/>
      <c r="C39" s="82"/>
      <c r="D39" s="82"/>
      <c r="E39" s="82"/>
      <c r="F39" s="82"/>
      <c r="G39" s="82"/>
      <c r="H39" s="82"/>
      <c r="I39" s="82"/>
      <c r="J39" s="82"/>
      <c r="K39" s="82"/>
      <c r="L39" s="64">
        <f t="shared" si="6"/>
        <v>0</v>
      </c>
      <c r="M39" s="95">
        <f>IF((C39&lt;&gt;0),ROUND((L39/C39)*100,1),"")</f>
      </c>
      <c r="N39" s="783"/>
    </row>
    <row r="40" spans="1:14" ht="15" customHeight="1" thickBot="1">
      <c r="A40" s="67"/>
      <c r="B40" s="68"/>
      <c r="C40" s="86"/>
      <c r="D40" s="86"/>
      <c r="E40" s="86"/>
      <c r="F40" s="86"/>
      <c r="G40" s="86"/>
      <c r="H40" s="86"/>
      <c r="I40" s="86"/>
      <c r="J40" s="86"/>
      <c r="K40" s="86"/>
      <c r="L40" s="64">
        <f t="shared" si="6"/>
        <v>0</v>
      </c>
      <c r="M40" s="96">
        <f>IF((C40&lt;&gt;0),ROUND((L40/C40)*100,1),"")</f>
      </c>
      <c r="N40" s="783"/>
    </row>
    <row r="41" spans="1:14" ht="13.5" thickBot="1">
      <c r="A41" s="69" t="s">
        <v>98</v>
      </c>
      <c r="B41" s="70">
        <f aca="true" t="shared" si="7" ref="B41:L41">B34+SUM(B36:B40)</f>
        <v>0</v>
      </c>
      <c r="C41" s="70">
        <f t="shared" si="7"/>
        <v>0</v>
      </c>
      <c r="D41" s="70">
        <f t="shared" si="7"/>
        <v>0</v>
      </c>
      <c r="E41" s="70">
        <f t="shared" si="7"/>
        <v>0</v>
      </c>
      <c r="F41" s="70">
        <f t="shared" si="7"/>
        <v>0</v>
      </c>
      <c r="G41" s="70">
        <f t="shared" si="7"/>
        <v>0</v>
      </c>
      <c r="H41" s="70">
        <f t="shared" si="7"/>
        <v>0</v>
      </c>
      <c r="I41" s="70">
        <f t="shared" si="7"/>
        <v>0</v>
      </c>
      <c r="J41" s="70">
        <f t="shared" si="7"/>
        <v>0</v>
      </c>
      <c r="K41" s="70">
        <f t="shared" si="7"/>
        <v>0</v>
      </c>
      <c r="L41" s="70">
        <f t="shared" si="7"/>
        <v>0</v>
      </c>
      <c r="M41" s="71"/>
      <c r="N41" s="783"/>
    </row>
    <row r="42" spans="1:14" ht="12.7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83"/>
    </row>
    <row r="43" spans="1:14" ht="13.5" thickBot="1">
      <c r="A43" s="75" t="s">
        <v>97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3"/>
    </row>
    <row r="44" spans="1:14" ht="12.75">
      <c r="A44" s="78" t="s">
        <v>101</v>
      </c>
      <c r="B44" s="59"/>
      <c r="C44" s="79"/>
      <c r="D44" s="79"/>
      <c r="E44" s="90"/>
      <c r="F44" s="79"/>
      <c r="G44" s="79"/>
      <c r="H44" s="79"/>
      <c r="I44" s="79"/>
      <c r="J44" s="79"/>
      <c r="K44" s="79"/>
      <c r="L44" s="80">
        <f aca="true" t="shared" si="8" ref="L44:L49">+J44+K44</f>
        <v>0</v>
      </c>
      <c r="M44" s="94">
        <f>IF((C44&lt;&gt;0),ROUND((L44/C44)*100,1),"")</f>
      </c>
      <c r="N44" s="783"/>
    </row>
    <row r="45" spans="1:14" ht="12.75">
      <c r="A45" s="81" t="s">
        <v>102</v>
      </c>
      <c r="B45" s="62"/>
      <c r="C45" s="82"/>
      <c r="D45" s="82"/>
      <c r="E45" s="82"/>
      <c r="F45" s="82"/>
      <c r="G45" s="82"/>
      <c r="H45" s="82"/>
      <c r="I45" s="82"/>
      <c r="J45" s="82"/>
      <c r="K45" s="82"/>
      <c r="L45" s="83">
        <f t="shared" si="8"/>
        <v>0</v>
      </c>
      <c r="M45" s="95"/>
      <c r="N45" s="783"/>
    </row>
    <row r="46" spans="1:14" ht="12.75">
      <c r="A46" s="81" t="s">
        <v>103</v>
      </c>
      <c r="B46" s="66"/>
      <c r="C46" s="82"/>
      <c r="D46" s="82"/>
      <c r="E46" s="82"/>
      <c r="F46" s="82"/>
      <c r="G46" s="82"/>
      <c r="H46" s="82"/>
      <c r="I46" s="82"/>
      <c r="J46" s="82"/>
      <c r="K46" s="82"/>
      <c r="L46" s="83">
        <f t="shared" si="8"/>
        <v>0</v>
      </c>
      <c r="M46" s="95"/>
      <c r="N46" s="783"/>
    </row>
    <row r="47" spans="1:14" ht="12.75">
      <c r="A47" s="81" t="s">
        <v>104</v>
      </c>
      <c r="B47" s="66"/>
      <c r="C47" s="82"/>
      <c r="D47" s="82"/>
      <c r="E47" s="82"/>
      <c r="F47" s="82"/>
      <c r="G47" s="82"/>
      <c r="H47" s="82"/>
      <c r="I47" s="82"/>
      <c r="J47" s="82"/>
      <c r="K47" s="82"/>
      <c r="L47" s="83">
        <f t="shared" si="8"/>
        <v>0</v>
      </c>
      <c r="M47" s="95">
        <f>IF((C47&lt;&gt;0),ROUND((L47/C47)*100,1),"")</f>
      </c>
      <c r="N47" s="783"/>
    </row>
    <row r="48" spans="1:14" ht="12.75">
      <c r="A48" s="84"/>
      <c r="B48" s="66"/>
      <c r="C48" s="82"/>
      <c r="D48" s="82"/>
      <c r="E48" s="82"/>
      <c r="F48" s="82"/>
      <c r="G48" s="82"/>
      <c r="H48" s="82"/>
      <c r="I48" s="82"/>
      <c r="J48" s="82"/>
      <c r="K48" s="82"/>
      <c r="L48" s="83">
        <f t="shared" si="8"/>
        <v>0</v>
      </c>
      <c r="M48" s="95">
        <f>IF((C48&lt;&gt;0),ROUND((L48/C48)*100,1),"")</f>
      </c>
      <c r="N48" s="783"/>
    </row>
    <row r="49" spans="1:14" ht="13.5" thickBot="1">
      <c r="A49" s="85"/>
      <c r="B49" s="68"/>
      <c r="C49" s="86"/>
      <c r="D49" s="86"/>
      <c r="E49" s="86"/>
      <c r="F49" s="86"/>
      <c r="G49" s="86"/>
      <c r="H49" s="86"/>
      <c r="I49" s="86"/>
      <c r="J49" s="86"/>
      <c r="K49" s="86"/>
      <c r="L49" s="83">
        <f t="shared" si="8"/>
        <v>0</v>
      </c>
      <c r="M49" s="96">
        <f>IF((C49&lt;&gt;0),ROUND((L49/C49)*100,1),"")</f>
      </c>
      <c r="N49" s="783"/>
    </row>
    <row r="50" spans="1:14" ht="13.5" thickBot="1">
      <c r="A50" s="87" t="s">
        <v>82</v>
      </c>
      <c r="B50" s="70">
        <f aca="true" t="shared" si="9" ref="B50:L50">SUM(B44:B49)</f>
        <v>0</v>
      </c>
      <c r="C50" s="70">
        <f t="shared" si="9"/>
        <v>0</v>
      </c>
      <c r="D50" s="70">
        <f t="shared" si="9"/>
        <v>0</v>
      </c>
      <c r="E50" s="70">
        <f t="shared" si="9"/>
        <v>0</v>
      </c>
      <c r="F50" s="70">
        <f t="shared" si="9"/>
        <v>0</v>
      </c>
      <c r="G50" s="70">
        <f t="shared" si="9"/>
        <v>0</v>
      </c>
      <c r="H50" s="70">
        <f t="shared" si="9"/>
        <v>0</v>
      </c>
      <c r="I50" s="70">
        <f t="shared" si="9"/>
        <v>0</v>
      </c>
      <c r="J50" s="70">
        <f t="shared" si="9"/>
        <v>0</v>
      </c>
      <c r="K50" s="70">
        <f t="shared" si="9"/>
        <v>0</v>
      </c>
      <c r="L50" s="70">
        <f t="shared" si="9"/>
        <v>0</v>
      </c>
      <c r="M50" s="71"/>
      <c r="N50" s="783"/>
    </row>
    <row r="51" spans="1:14" ht="15.75">
      <c r="A51" s="784" t="s">
        <v>902</v>
      </c>
      <c r="B51" s="784"/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3"/>
    </row>
    <row r="52" spans="1:14" ht="12" customHeight="1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791" t="s">
        <v>880</v>
      </c>
      <c r="M52" s="791"/>
      <c r="N52" s="783"/>
    </row>
    <row r="53" spans="1:14" ht="21.75" thickBot="1">
      <c r="A53" s="793" t="s">
        <v>99</v>
      </c>
      <c r="B53" s="794"/>
      <c r="C53" s="794"/>
      <c r="D53" s="794"/>
      <c r="E53" s="794"/>
      <c r="F53" s="794"/>
      <c r="G53" s="794"/>
      <c r="H53" s="794"/>
      <c r="I53" s="794"/>
      <c r="J53" s="794"/>
      <c r="K53" s="89" t="s">
        <v>678</v>
      </c>
      <c r="L53" s="89" t="s">
        <v>677</v>
      </c>
      <c r="M53" s="89" t="s">
        <v>186</v>
      </c>
      <c r="N53" s="783"/>
    </row>
    <row r="54" spans="1:14" ht="12.75">
      <c r="A54" s="789"/>
      <c r="B54" s="790"/>
      <c r="C54" s="790"/>
      <c r="D54" s="790"/>
      <c r="E54" s="790"/>
      <c r="F54" s="790"/>
      <c r="G54" s="790"/>
      <c r="H54" s="790"/>
      <c r="I54" s="790"/>
      <c r="J54" s="790"/>
      <c r="K54" s="90"/>
      <c r="L54" s="91"/>
      <c r="M54" s="91"/>
      <c r="N54" s="783"/>
    </row>
    <row r="55" spans="1:14" ht="13.5" thickBot="1">
      <c r="A55" s="785"/>
      <c r="B55" s="786"/>
      <c r="C55" s="786"/>
      <c r="D55" s="786"/>
      <c r="E55" s="786"/>
      <c r="F55" s="786"/>
      <c r="G55" s="786"/>
      <c r="H55" s="786"/>
      <c r="I55" s="786"/>
      <c r="J55" s="786"/>
      <c r="K55" s="92"/>
      <c r="L55" s="86"/>
      <c r="M55" s="86"/>
      <c r="N55" s="783"/>
    </row>
    <row r="56" spans="1:14" ht="13.5" thickBot="1">
      <c r="A56" s="787" t="s">
        <v>39</v>
      </c>
      <c r="B56" s="788"/>
      <c r="C56" s="788"/>
      <c r="D56" s="788"/>
      <c r="E56" s="788"/>
      <c r="F56" s="788"/>
      <c r="G56" s="788"/>
      <c r="H56" s="788"/>
      <c r="I56" s="788"/>
      <c r="J56" s="788"/>
      <c r="K56" s="93">
        <f>SUM(K54:K55)</f>
        <v>0</v>
      </c>
      <c r="L56" s="93">
        <f>SUM(L54:L55)</f>
        <v>0</v>
      </c>
      <c r="M56" s="93">
        <f>SUM(M54:M55)</f>
        <v>0</v>
      </c>
      <c r="N56" s="783"/>
    </row>
    <row r="57" ht="12.75">
      <c r="N57" s="783"/>
    </row>
    <row r="72" ht="12.75">
      <c r="A72" s="9"/>
    </row>
  </sheetData>
  <sheetProtection/>
  <mergeCells count="32">
    <mergeCell ref="A53:J53"/>
    <mergeCell ref="C4:C5"/>
    <mergeCell ref="B4:B5"/>
    <mergeCell ref="J3:M5"/>
    <mergeCell ref="A27:M27"/>
    <mergeCell ref="L28:M28"/>
    <mergeCell ref="A29:A32"/>
    <mergeCell ref="B29:I29"/>
    <mergeCell ref="J29:M31"/>
    <mergeCell ref="B30:B31"/>
    <mergeCell ref="A1:M1"/>
    <mergeCell ref="N1:N57"/>
    <mergeCell ref="A51:M51"/>
    <mergeCell ref="A55:J55"/>
    <mergeCell ref="B6:C6"/>
    <mergeCell ref="A56:J56"/>
    <mergeCell ref="A54:J54"/>
    <mergeCell ref="L2:M2"/>
    <mergeCell ref="L52:M52"/>
    <mergeCell ref="A25:M25"/>
    <mergeCell ref="D4:I4"/>
    <mergeCell ref="F6:G6"/>
    <mergeCell ref="B3:I3"/>
    <mergeCell ref="A3:A6"/>
    <mergeCell ref="D6:E6"/>
    <mergeCell ref="H6:I6"/>
    <mergeCell ref="C30:C31"/>
    <mergeCell ref="D30:I30"/>
    <mergeCell ref="B32:C32"/>
    <mergeCell ref="D32:E32"/>
    <mergeCell ref="F32:G32"/>
    <mergeCell ref="H32:I32"/>
  </mergeCells>
  <printOptions horizontalCentered="1"/>
  <pageMargins left="0.7874015748031497" right="0.7874015748031497" top="1.39" bottom="0.78" header="0.5" footer="0.5"/>
  <pageSetup horizontalDpi="600" verticalDpi="600" orientation="portrait" paperSize="9" scale="60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6" width="9.375" style="678" hidden="1" customWidth="1"/>
    <col min="7" max="16384" width="9.375" style="32" customWidth="1"/>
  </cols>
  <sheetData>
    <row r="1" spans="1:6" s="516" customFormat="1" ht="16.5" customHeight="1" thickBot="1">
      <c r="A1" s="515"/>
      <c r="B1" s="517"/>
      <c r="C1" s="562"/>
      <c r="D1" s="527"/>
      <c r="E1" s="562" t="str">
        <f>+CONCATENATE("6.1. melléklet a 6 /",LEFT(ÖSSZEFÜGGÉSEK!A4,4)+1,". (V.30.) önkormányzati rendelethez")</f>
        <v>6.1. melléklet a 6 /2018. (V.30.) önkormányzati rendelethez</v>
      </c>
      <c r="F1" s="681"/>
    </row>
    <row r="2" spans="1:6" s="563" customFormat="1" ht="15.75" customHeight="1">
      <c r="A2" s="543" t="s">
        <v>52</v>
      </c>
      <c r="B2" s="803" t="s">
        <v>821</v>
      </c>
      <c r="C2" s="804"/>
      <c r="D2" s="805"/>
      <c r="E2" s="536" t="s">
        <v>40</v>
      </c>
      <c r="F2" s="682"/>
    </row>
    <row r="3" spans="1:6" s="563" customFormat="1" ht="24.75" thickBot="1">
      <c r="A3" s="561" t="s">
        <v>560</v>
      </c>
      <c r="B3" s="800" t="s">
        <v>559</v>
      </c>
      <c r="C3" s="801"/>
      <c r="D3" s="802"/>
      <c r="E3" s="511" t="s">
        <v>40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65" customFormat="1" ht="12" customHeight="1" thickBot="1">
      <c r="A8" s="381" t="s">
        <v>6</v>
      </c>
      <c r="B8" s="377" t="s">
        <v>311</v>
      </c>
      <c r="C8" s="408">
        <f>SUM(C9:C14)</f>
        <v>132835967</v>
      </c>
      <c r="D8" s="408">
        <f>SUM(D9:D14)</f>
        <v>139978789</v>
      </c>
      <c r="E8" s="408">
        <f>SUM(E9:E14)</f>
        <v>139978789</v>
      </c>
      <c r="F8" s="684" t="s">
        <v>740</v>
      </c>
    </row>
    <row r="9" spans="1:6" s="539" customFormat="1" ht="12" customHeight="1">
      <c r="A9" s="549" t="s">
        <v>71</v>
      </c>
      <c r="B9" s="419" t="s">
        <v>312</v>
      </c>
      <c r="C9" s="98">
        <v>55233976</v>
      </c>
      <c r="D9" s="731">
        <v>56233976</v>
      </c>
      <c r="E9" s="731">
        <v>56233976</v>
      </c>
      <c r="F9" s="684" t="s">
        <v>741</v>
      </c>
    </row>
    <row r="10" spans="1:6" s="566" customFormat="1" ht="12" customHeight="1">
      <c r="A10" s="550" t="s">
        <v>72</v>
      </c>
      <c r="B10" s="420" t="s">
        <v>313</v>
      </c>
      <c r="C10" s="409">
        <v>35878653</v>
      </c>
      <c r="D10" s="732">
        <v>37727086</v>
      </c>
      <c r="E10" s="732">
        <v>37727086</v>
      </c>
      <c r="F10" s="684" t="s">
        <v>742</v>
      </c>
    </row>
    <row r="11" spans="1:6" s="566" customFormat="1" ht="12" customHeight="1">
      <c r="A11" s="550" t="s">
        <v>73</v>
      </c>
      <c r="B11" s="420" t="s">
        <v>314</v>
      </c>
      <c r="C11" s="409">
        <v>39121858</v>
      </c>
      <c r="D11" s="732">
        <v>37999568</v>
      </c>
      <c r="E11" s="732">
        <v>37999568</v>
      </c>
      <c r="F11" s="684" t="s">
        <v>743</v>
      </c>
    </row>
    <row r="12" spans="1:6" s="566" customFormat="1" ht="12" customHeight="1">
      <c r="A12" s="550" t="s">
        <v>74</v>
      </c>
      <c r="B12" s="420" t="s">
        <v>315</v>
      </c>
      <c r="C12" s="409">
        <v>2601480</v>
      </c>
      <c r="D12" s="732">
        <v>3307020</v>
      </c>
      <c r="E12" s="732">
        <v>3307020</v>
      </c>
      <c r="F12" s="684" t="s">
        <v>744</v>
      </c>
    </row>
    <row r="13" spans="1:6" s="566" customFormat="1" ht="12" customHeight="1">
      <c r="A13" s="550" t="s">
        <v>107</v>
      </c>
      <c r="B13" s="420" t="s">
        <v>875</v>
      </c>
      <c r="C13" s="734"/>
      <c r="D13" s="732">
        <v>3268793</v>
      </c>
      <c r="E13" s="732">
        <v>3268793</v>
      </c>
      <c r="F13" s="684" t="s">
        <v>745</v>
      </c>
    </row>
    <row r="14" spans="1:6" s="539" customFormat="1" ht="12" customHeight="1" thickBot="1">
      <c r="A14" s="551" t="s">
        <v>75</v>
      </c>
      <c r="B14" s="421" t="s">
        <v>876</v>
      </c>
      <c r="C14" s="735"/>
      <c r="D14" s="733">
        <v>1442346</v>
      </c>
      <c r="E14" s="733">
        <v>1442346</v>
      </c>
      <c r="F14" s="684" t="s">
        <v>746</v>
      </c>
    </row>
    <row r="15" spans="1:6" s="539" customFormat="1" ht="12" customHeight="1" thickBot="1">
      <c r="A15" s="381" t="s">
        <v>7</v>
      </c>
      <c r="B15" s="398" t="s">
        <v>318</v>
      </c>
      <c r="C15" s="408">
        <f>SUM(C16:C21)</f>
        <v>15213374</v>
      </c>
      <c r="D15" s="408">
        <f>SUM(D16:D21)</f>
        <v>29877537</v>
      </c>
      <c r="E15" s="408">
        <f>SUM(E16:E21)</f>
        <v>29762620</v>
      </c>
      <c r="F15" s="684" t="s">
        <v>747</v>
      </c>
    </row>
    <row r="16" spans="1:6" s="539" customFormat="1" ht="12" customHeight="1">
      <c r="A16" s="549" t="s">
        <v>77</v>
      </c>
      <c r="B16" s="419" t="s">
        <v>319</v>
      </c>
      <c r="C16" s="410">
        <v>0</v>
      </c>
      <c r="D16" s="410">
        <v>0</v>
      </c>
      <c r="E16" s="393">
        <v>0</v>
      </c>
      <c r="F16" s="684" t="s">
        <v>748</v>
      </c>
    </row>
    <row r="17" spans="1:6" s="539" customFormat="1" ht="12" customHeight="1">
      <c r="A17" s="550" t="s">
        <v>78</v>
      </c>
      <c r="B17" s="420" t="s">
        <v>320</v>
      </c>
      <c r="C17" s="409">
        <v>0</v>
      </c>
      <c r="D17" s="409">
        <v>0</v>
      </c>
      <c r="E17" s="392">
        <v>0</v>
      </c>
      <c r="F17" s="684" t="s">
        <v>749</v>
      </c>
    </row>
    <row r="18" spans="1:6" s="539" customFormat="1" ht="12" customHeight="1">
      <c r="A18" s="550" t="s">
        <v>79</v>
      </c>
      <c r="B18" s="420" t="s">
        <v>321</v>
      </c>
      <c r="C18" s="409">
        <v>0</v>
      </c>
      <c r="D18" s="409">
        <v>0</v>
      </c>
      <c r="E18" s="392">
        <v>0</v>
      </c>
      <c r="F18" s="684" t="s">
        <v>750</v>
      </c>
    </row>
    <row r="19" spans="1:6" s="539" customFormat="1" ht="12" customHeight="1">
      <c r="A19" s="550" t="s">
        <v>80</v>
      </c>
      <c r="B19" s="420" t="s">
        <v>322</v>
      </c>
      <c r="C19" s="409">
        <v>0</v>
      </c>
      <c r="D19" s="409">
        <v>0</v>
      </c>
      <c r="E19" s="392">
        <v>0</v>
      </c>
      <c r="F19" s="684" t="s">
        <v>751</v>
      </c>
    </row>
    <row r="20" spans="1:6" s="539" customFormat="1" ht="12" customHeight="1">
      <c r="A20" s="550" t="s">
        <v>81</v>
      </c>
      <c r="B20" s="420" t="s">
        <v>323</v>
      </c>
      <c r="C20" s="409">
        <v>15213374</v>
      </c>
      <c r="D20" s="409">
        <v>29877537</v>
      </c>
      <c r="E20" s="392">
        <v>29762620</v>
      </c>
      <c r="F20" s="684" t="s">
        <v>752</v>
      </c>
    </row>
    <row r="21" spans="1:6" s="566" customFormat="1" ht="12" customHeight="1" thickBot="1">
      <c r="A21" s="551" t="s">
        <v>88</v>
      </c>
      <c r="B21" s="400" t="s">
        <v>324</v>
      </c>
      <c r="C21" s="411">
        <v>0</v>
      </c>
      <c r="D21" s="411">
        <v>0</v>
      </c>
      <c r="E21" s="394">
        <v>0</v>
      </c>
      <c r="F21" s="684" t="s">
        <v>753</v>
      </c>
    </row>
    <row r="22" spans="1:6" s="566" customFormat="1" ht="12" customHeight="1" thickBot="1">
      <c r="A22" s="381" t="s">
        <v>8</v>
      </c>
      <c r="B22" s="377" t="s">
        <v>325</v>
      </c>
      <c r="C22" s="408">
        <f>SUM(C23:C28)</f>
        <v>9800000</v>
      </c>
      <c r="D22" s="408">
        <f>SUM(D23:D28)</f>
        <v>38171706</v>
      </c>
      <c r="E22" s="408">
        <f>SUM(E23:E28)</f>
        <v>38171706</v>
      </c>
      <c r="F22" s="684" t="s">
        <v>754</v>
      </c>
    </row>
    <row r="23" spans="1:6" s="566" customFormat="1" ht="12" customHeight="1">
      <c r="A23" s="549" t="s">
        <v>60</v>
      </c>
      <c r="B23" s="419" t="s">
        <v>326</v>
      </c>
      <c r="C23" s="410"/>
      <c r="D23" s="410"/>
      <c r="E23" s="393"/>
      <c r="F23" s="684" t="s">
        <v>755</v>
      </c>
    </row>
    <row r="24" spans="1:6" s="539" customFormat="1" ht="12" customHeight="1">
      <c r="A24" s="550" t="s">
        <v>61</v>
      </c>
      <c r="B24" s="420" t="s">
        <v>327</v>
      </c>
      <c r="C24" s="409">
        <v>0</v>
      </c>
      <c r="D24" s="409">
        <v>0</v>
      </c>
      <c r="E24" s="392">
        <v>0</v>
      </c>
      <c r="F24" s="684" t="s">
        <v>756</v>
      </c>
    </row>
    <row r="25" spans="1:6" s="566" customFormat="1" ht="12" customHeight="1">
      <c r="A25" s="550" t="s">
        <v>62</v>
      </c>
      <c r="B25" s="420" t="s">
        <v>328</v>
      </c>
      <c r="C25" s="409">
        <v>0</v>
      </c>
      <c r="D25" s="409">
        <v>0</v>
      </c>
      <c r="E25" s="392">
        <v>0</v>
      </c>
      <c r="F25" s="684" t="s">
        <v>757</v>
      </c>
    </row>
    <row r="26" spans="1:6" s="566" customFormat="1" ht="12" customHeight="1">
      <c r="A26" s="550" t="s">
        <v>63</v>
      </c>
      <c r="B26" s="420" t="s">
        <v>329</v>
      </c>
      <c r="C26" s="409">
        <v>0</v>
      </c>
      <c r="D26" s="409">
        <v>0</v>
      </c>
      <c r="E26" s="392">
        <v>0</v>
      </c>
      <c r="F26" s="684" t="s">
        <v>758</v>
      </c>
    </row>
    <row r="27" spans="1:6" s="566" customFormat="1" ht="12" customHeight="1">
      <c r="A27" s="550" t="s">
        <v>121</v>
      </c>
      <c r="B27" s="420" t="s">
        <v>330</v>
      </c>
      <c r="C27" s="409">
        <v>9800000</v>
      </c>
      <c r="D27" s="409">
        <v>38171706</v>
      </c>
      <c r="E27" s="392">
        <v>38171706</v>
      </c>
      <c r="F27" s="684" t="s">
        <v>759</v>
      </c>
    </row>
    <row r="28" spans="1:6" s="566" customFormat="1" ht="12" customHeight="1" thickBot="1">
      <c r="A28" s="551" t="s">
        <v>122</v>
      </c>
      <c r="B28" s="421" t="s">
        <v>331</v>
      </c>
      <c r="C28" s="411">
        <v>0</v>
      </c>
      <c r="D28" s="411">
        <v>0</v>
      </c>
      <c r="E28" s="394">
        <v>0</v>
      </c>
      <c r="F28" s="684" t="s">
        <v>760</v>
      </c>
    </row>
    <row r="29" spans="1:6" s="566" customFormat="1" ht="12" customHeight="1" thickBot="1">
      <c r="A29" s="381" t="s">
        <v>123</v>
      </c>
      <c r="B29" s="377" t="s">
        <v>332</v>
      </c>
      <c r="C29" s="414">
        <f>C30+C33+C34+C35</f>
        <v>60950000</v>
      </c>
      <c r="D29" s="414">
        <f>D30+D33+D34+D35</f>
        <v>83093414</v>
      </c>
      <c r="E29" s="414">
        <f>E30+E33+E34+E35</f>
        <v>79539692</v>
      </c>
      <c r="F29" s="684" t="s">
        <v>761</v>
      </c>
    </row>
    <row r="30" spans="1:6" s="566" customFormat="1" ht="12" customHeight="1">
      <c r="A30" s="549" t="s">
        <v>333</v>
      </c>
      <c r="B30" s="419" t="s">
        <v>334</v>
      </c>
      <c r="C30" s="727">
        <f>C31+C32</f>
        <v>50000000</v>
      </c>
      <c r="D30" s="428">
        <f>D31+D32</f>
        <v>71866088</v>
      </c>
      <c r="E30" s="428">
        <f>E31+E32</f>
        <v>69106149</v>
      </c>
      <c r="F30" s="684" t="s">
        <v>762</v>
      </c>
    </row>
    <row r="31" spans="1:6" s="566" customFormat="1" ht="12" customHeight="1">
      <c r="A31" s="550" t="s">
        <v>335</v>
      </c>
      <c r="B31" s="420" t="s">
        <v>336</v>
      </c>
      <c r="C31" s="530">
        <v>10000000</v>
      </c>
      <c r="D31" s="409">
        <v>11702235</v>
      </c>
      <c r="E31" s="392">
        <v>10700263</v>
      </c>
      <c r="F31" s="684" t="s">
        <v>763</v>
      </c>
    </row>
    <row r="32" spans="1:6" s="566" customFormat="1" ht="12" customHeight="1">
      <c r="A32" s="550" t="s">
        <v>337</v>
      </c>
      <c r="B32" s="420" t="s">
        <v>338</v>
      </c>
      <c r="C32" s="530">
        <v>40000000</v>
      </c>
      <c r="D32" s="409">
        <v>60163853</v>
      </c>
      <c r="E32" s="392">
        <v>58405886</v>
      </c>
      <c r="F32" s="684" t="s">
        <v>764</v>
      </c>
    </row>
    <row r="33" spans="1:6" s="566" customFormat="1" ht="12" customHeight="1">
      <c r="A33" s="550" t="s">
        <v>339</v>
      </c>
      <c r="B33" s="420" t="s">
        <v>340</v>
      </c>
      <c r="C33" s="530">
        <v>4000000</v>
      </c>
      <c r="D33" s="409">
        <v>4406655</v>
      </c>
      <c r="E33" s="392">
        <v>4361845</v>
      </c>
      <c r="F33" s="684" t="s">
        <v>765</v>
      </c>
    </row>
    <row r="34" spans="1:6" s="566" customFormat="1" ht="12" customHeight="1">
      <c r="A34" s="550" t="s">
        <v>341</v>
      </c>
      <c r="B34" s="420" t="s">
        <v>342</v>
      </c>
      <c r="C34" s="530">
        <v>4150000</v>
      </c>
      <c r="D34" s="409">
        <v>2797800</v>
      </c>
      <c r="E34" s="392">
        <v>2797800</v>
      </c>
      <c r="F34" s="684" t="s">
        <v>766</v>
      </c>
    </row>
    <row r="35" spans="1:6" s="566" customFormat="1" ht="12" customHeight="1" thickBot="1">
      <c r="A35" s="551" t="s">
        <v>343</v>
      </c>
      <c r="B35" s="421" t="s">
        <v>344</v>
      </c>
      <c r="C35" s="532">
        <v>2800000</v>
      </c>
      <c r="D35" s="411">
        <v>4022871</v>
      </c>
      <c r="E35" s="394">
        <v>3273898</v>
      </c>
      <c r="F35" s="684" t="s">
        <v>767</v>
      </c>
    </row>
    <row r="36" spans="1:6" s="566" customFormat="1" ht="12" customHeight="1" thickBot="1">
      <c r="A36" s="381" t="s">
        <v>10</v>
      </c>
      <c r="B36" s="377" t="s">
        <v>345</v>
      </c>
      <c r="C36" s="408">
        <f>SUM(C37:C46)</f>
        <v>18519901</v>
      </c>
      <c r="D36" s="408">
        <f>SUM(D37:D46)</f>
        <v>23783807</v>
      </c>
      <c r="E36" s="408">
        <f>SUM(E37:E46)</f>
        <v>22662894</v>
      </c>
      <c r="F36" s="684" t="s">
        <v>768</v>
      </c>
    </row>
    <row r="37" spans="1:6" s="566" customFormat="1" ht="12" customHeight="1">
      <c r="A37" s="549" t="s">
        <v>64</v>
      </c>
      <c r="B37" s="419" t="s">
        <v>346</v>
      </c>
      <c r="C37" s="410">
        <v>0</v>
      </c>
      <c r="D37" s="410">
        <v>0</v>
      </c>
      <c r="E37" s="393">
        <v>0</v>
      </c>
      <c r="F37" s="684" t="s">
        <v>769</v>
      </c>
    </row>
    <row r="38" spans="1:6" s="566" customFormat="1" ht="12" customHeight="1">
      <c r="A38" s="550" t="s">
        <v>65</v>
      </c>
      <c r="B38" s="420" t="s">
        <v>347</v>
      </c>
      <c r="C38" s="530">
        <v>11799735</v>
      </c>
      <c r="D38" s="409">
        <v>5229610</v>
      </c>
      <c r="E38" s="392">
        <v>5024890</v>
      </c>
      <c r="F38" s="684" t="s">
        <v>770</v>
      </c>
    </row>
    <row r="39" spans="1:6" s="566" customFormat="1" ht="12" customHeight="1">
      <c r="A39" s="550" t="s">
        <v>66</v>
      </c>
      <c r="B39" s="420" t="s">
        <v>348</v>
      </c>
      <c r="C39" s="530">
        <v>1500000</v>
      </c>
      <c r="D39" s="409">
        <v>4474665</v>
      </c>
      <c r="E39" s="392">
        <v>4081962</v>
      </c>
      <c r="F39" s="684" t="s">
        <v>771</v>
      </c>
    </row>
    <row r="40" spans="1:6" s="566" customFormat="1" ht="12" customHeight="1">
      <c r="A40" s="550" t="s">
        <v>125</v>
      </c>
      <c r="B40" s="420" t="s">
        <v>349</v>
      </c>
      <c r="C40" s="530">
        <v>1586056</v>
      </c>
      <c r="D40" s="409">
        <v>5044245</v>
      </c>
      <c r="E40" s="392">
        <v>4955313</v>
      </c>
      <c r="F40" s="684" t="s">
        <v>772</v>
      </c>
    </row>
    <row r="41" spans="1:6" s="566" customFormat="1" ht="12" customHeight="1">
      <c r="A41" s="550" t="s">
        <v>126</v>
      </c>
      <c r="B41" s="420" t="s">
        <v>350</v>
      </c>
      <c r="C41" s="530"/>
      <c r="D41" s="409">
        <v>1289427</v>
      </c>
      <c r="E41" s="392">
        <v>1209385</v>
      </c>
      <c r="F41" s="684" t="s">
        <v>773</v>
      </c>
    </row>
    <row r="42" spans="1:6" s="566" customFormat="1" ht="12" customHeight="1">
      <c r="A42" s="550" t="s">
        <v>127</v>
      </c>
      <c r="B42" s="420" t="s">
        <v>351</v>
      </c>
      <c r="C42" s="530">
        <v>1834110</v>
      </c>
      <c r="D42" s="409">
        <v>2656381</v>
      </c>
      <c r="E42" s="392">
        <v>2441466</v>
      </c>
      <c r="F42" s="684" t="s">
        <v>774</v>
      </c>
    </row>
    <row r="43" spans="1:6" s="566" customFormat="1" ht="12" customHeight="1">
      <c r="A43" s="550" t="s">
        <v>128</v>
      </c>
      <c r="B43" s="420" t="s">
        <v>352</v>
      </c>
      <c r="C43" s="530"/>
      <c r="D43" s="409">
        <v>280715</v>
      </c>
      <c r="E43" s="392">
        <v>280715</v>
      </c>
      <c r="F43" s="684" t="s">
        <v>775</v>
      </c>
    </row>
    <row r="44" spans="1:6" s="566" customFormat="1" ht="12" customHeight="1">
      <c r="A44" s="550" t="s">
        <v>129</v>
      </c>
      <c r="B44" s="420" t="s">
        <v>353</v>
      </c>
      <c r="C44" s="530">
        <v>600000</v>
      </c>
      <c r="D44" s="409">
        <v>1015716</v>
      </c>
      <c r="E44" s="392">
        <v>1015716</v>
      </c>
      <c r="F44" s="684" t="s">
        <v>776</v>
      </c>
    </row>
    <row r="45" spans="1:6" s="566" customFormat="1" ht="12" customHeight="1">
      <c r="A45" s="550" t="s">
        <v>354</v>
      </c>
      <c r="B45" s="420" t="s">
        <v>355</v>
      </c>
      <c r="C45" s="728"/>
      <c r="D45" s="412"/>
      <c r="E45" s="395"/>
      <c r="F45" s="684" t="s">
        <v>777</v>
      </c>
    </row>
    <row r="46" spans="1:6" s="539" customFormat="1" ht="12" customHeight="1" thickBot="1">
      <c r="A46" s="551" t="s">
        <v>356</v>
      </c>
      <c r="B46" s="421" t="s">
        <v>357</v>
      </c>
      <c r="C46" s="729">
        <v>1200000</v>
      </c>
      <c r="D46" s="413">
        <v>3793048</v>
      </c>
      <c r="E46" s="396">
        <v>3653447</v>
      </c>
      <c r="F46" s="684" t="s">
        <v>778</v>
      </c>
    </row>
    <row r="47" spans="1:6" s="566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804331</v>
      </c>
      <c r="E47" s="408">
        <f>SUM(E48:E52)</f>
        <v>804331</v>
      </c>
      <c r="F47" s="684" t="s">
        <v>779</v>
      </c>
    </row>
    <row r="48" spans="1:6" s="566" customFormat="1" ht="12" customHeight="1">
      <c r="A48" s="549" t="s">
        <v>67</v>
      </c>
      <c r="B48" s="419" t="s">
        <v>359</v>
      </c>
      <c r="C48" s="430">
        <v>0</v>
      </c>
      <c r="D48" s="430">
        <v>0</v>
      </c>
      <c r="E48" s="397">
        <v>0</v>
      </c>
      <c r="F48" s="684" t="s">
        <v>780</v>
      </c>
    </row>
    <row r="49" spans="1:6" s="566" customFormat="1" ht="12" customHeight="1">
      <c r="A49" s="550" t="s">
        <v>68</v>
      </c>
      <c r="B49" s="420" t="s">
        <v>360</v>
      </c>
      <c r="C49" s="412">
        <v>0</v>
      </c>
      <c r="D49" s="412">
        <v>450000</v>
      </c>
      <c r="E49" s="395">
        <v>450000</v>
      </c>
      <c r="F49" s="684" t="s">
        <v>781</v>
      </c>
    </row>
    <row r="50" spans="1:6" s="566" customFormat="1" ht="12" customHeight="1">
      <c r="A50" s="550" t="s">
        <v>361</v>
      </c>
      <c r="B50" s="420" t="s">
        <v>362</v>
      </c>
      <c r="C50" s="412"/>
      <c r="D50" s="412">
        <v>354331</v>
      </c>
      <c r="E50" s="395">
        <v>354331</v>
      </c>
      <c r="F50" s="684" t="s">
        <v>782</v>
      </c>
    </row>
    <row r="51" spans="1:6" s="566" customFormat="1" ht="12" customHeight="1">
      <c r="A51" s="550" t="s">
        <v>363</v>
      </c>
      <c r="B51" s="420" t="s">
        <v>364</v>
      </c>
      <c r="C51" s="412">
        <v>0</v>
      </c>
      <c r="D51" s="412">
        <v>0</v>
      </c>
      <c r="E51" s="395">
        <v>0</v>
      </c>
      <c r="F51" s="684" t="s">
        <v>783</v>
      </c>
    </row>
    <row r="52" spans="1:6" s="566" customFormat="1" ht="12" customHeight="1" thickBot="1">
      <c r="A52" s="551" t="s">
        <v>365</v>
      </c>
      <c r="B52" s="421" t="s">
        <v>366</v>
      </c>
      <c r="C52" s="413">
        <v>0</v>
      </c>
      <c r="D52" s="413">
        <v>0</v>
      </c>
      <c r="E52" s="396">
        <v>0</v>
      </c>
      <c r="F52" s="684" t="s">
        <v>784</v>
      </c>
    </row>
    <row r="53" spans="1:6" s="566" customFormat="1" ht="12" customHeight="1" thickBot="1">
      <c r="A53" s="381" t="s">
        <v>130</v>
      </c>
      <c r="B53" s="377" t="s">
        <v>367</v>
      </c>
      <c r="C53" s="408">
        <f>SUM(C54:C57)</f>
        <v>0</v>
      </c>
      <c r="D53" s="408">
        <f>SUM(D54:D57)</f>
        <v>0</v>
      </c>
      <c r="E53" s="408">
        <f>SUM(E54:E57)</f>
        <v>0</v>
      </c>
      <c r="F53" s="684" t="s">
        <v>785</v>
      </c>
    </row>
    <row r="54" spans="1:6" s="539" customFormat="1" ht="12" customHeight="1">
      <c r="A54" s="549" t="s">
        <v>69</v>
      </c>
      <c r="B54" s="419" t="s">
        <v>368</v>
      </c>
      <c r="C54" s="410">
        <v>0</v>
      </c>
      <c r="D54" s="410">
        <v>0</v>
      </c>
      <c r="E54" s="393">
        <v>0</v>
      </c>
      <c r="F54" s="684" t="s">
        <v>786</v>
      </c>
    </row>
    <row r="55" spans="1:6" s="539" customFormat="1" ht="12" customHeight="1">
      <c r="A55" s="550" t="s">
        <v>70</v>
      </c>
      <c r="B55" s="420" t="s">
        <v>369</v>
      </c>
      <c r="C55" s="409">
        <v>0</v>
      </c>
      <c r="D55" s="409"/>
      <c r="E55" s="392"/>
      <c r="F55" s="684" t="s">
        <v>787</v>
      </c>
    </row>
    <row r="56" spans="1:6" s="539" customFormat="1" ht="12" customHeight="1">
      <c r="A56" s="550" t="s">
        <v>370</v>
      </c>
      <c r="B56" s="420" t="s">
        <v>371</v>
      </c>
      <c r="C56" s="409"/>
      <c r="D56" s="409"/>
      <c r="E56" s="392"/>
      <c r="F56" s="684" t="s">
        <v>788</v>
      </c>
    </row>
    <row r="57" spans="1:6" s="539" customFormat="1" ht="12" customHeight="1" thickBot="1">
      <c r="A57" s="551" t="s">
        <v>372</v>
      </c>
      <c r="B57" s="421" t="s">
        <v>373</v>
      </c>
      <c r="C57" s="411">
        <v>0</v>
      </c>
      <c r="D57" s="411">
        <v>0</v>
      </c>
      <c r="E57" s="394">
        <v>0</v>
      </c>
      <c r="F57" s="684" t="s">
        <v>789</v>
      </c>
    </row>
    <row r="58" spans="1:6" s="566" customFormat="1" ht="12" customHeight="1" thickBot="1">
      <c r="A58" s="381" t="s">
        <v>13</v>
      </c>
      <c r="B58" s="398" t="s">
        <v>374</v>
      </c>
      <c r="C58" s="408">
        <f>SUM(C59:C62)</f>
        <v>0</v>
      </c>
      <c r="D58" s="408">
        <f>SUM(D59:D62)</f>
        <v>0</v>
      </c>
      <c r="E58" s="408">
        <f>SUM(E59:E62)</f>
        <v>0</v>
      </c>
      <c r="F58" s="684" t="s">
        <v>790</v>
      </c>
    </row>
    <row r="59" spans="1:6" s="566" customFormat="1" ht="12" customHeight="1">
      <c r="A59" s="549" t="s">
        <v>131</v>
      </c>
      <c r="B59" s="419" t="s">
        <v>375</v>
      </c>
      <c r="C59" s="412">
        <v>0</v>
      </c>
      <c r="D59" s="412">
        <v>0</v>
      </c>
      <c r="E59" s="395">
        <v>0</v>
      </c>
      <c r="F59" s="684" t="s">
        <v>791</v>
      </c>
    </row>
    <row r="60" spans="1:6" s="566" customFormat="1" ht="12" customHeight="1">
      <c r="A60" s="550" t="s">
        <v>132</v>
      </c>
      <c r="B60" s="420" t="s">
        <v>563</v>
      </c>
      <c r="C60" s="412"/>
      <c r="D60" s="412">
        <v>0</v>
      </c>
      <c r="E60" s="395">
        <v>0</v>
      </c>
      <c r="F60" s="684" t="s">
        <v>792</v>
      </c>
    </row>
    <row r="61" spans="1:6" s="566" customFormat="1" ht="12" customHeight="1">
      <c r="A61" s="550" t="s">
        <v>159</v>
      </c>
      <c r="B61" s="420" t="s">
        <v>377</v>
      </c>
      <c r="C61" s="412">
        <v>0</v>
      </c>
      <c r="D61" s="412"/>
      <c r="E61" s="395">
        <v>0</v>
      </c>
      <c r="F61" s="684" t="s">
        <v>793</v>
      </c>
    </row>
    <row r="62" spans="1:6" s="566" customFormat="1" ht="12" customHeight="1" thickBot="1">
      <c r="A62" s="551" t="s">
        <v>378</v>
      </c>
      <c r="B62" s="421" t="s">
        <v>379</v>
      </c>
      <c r="C62" s="412">
        <v>0</v>
      </c>
      <c r="D62" s="412">
        <v>0</v>
      </c>
      <c r="E62" s="395">
        <v>0</v>
      </c>
      <c r="F62" s="684" t="s">
        <v>794</v>
      </c>
    </row>
    <row r="63" spans="1:6" s="566" customFormat="1" ht="12" customHeight="1" thickBot="1">
      <c r="A63" s="381" t="s">
        <v>14</v>
      </c>
      <c r="B63" s="377" t="s">
        <v>380</v>
      </c>
      <c r="C63" s="414">
        <f>C8+C15+C22+C29+C36+C47+C53+C58</f>
        <v>237319242</v>
      </c>
      <c r="D63" s="414">
        <f>D8+D15+D22+D29+D36+D47+D53+D58</f>
        <v>315709584</v>
      </c>
      <c r="E63" s="414">
        <f>E8+E15+E22+E29+E36+E47+E53+E58</f>
        <v>310920032</v>
      </c>
      <c r="F63" s="684" t="s">
        <v>795</v>
      </c>
    </row>
    <row r="64" spans="1:6" s="566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408">
        <f>SUM(E65:E67)</f>
        <v>0</v>
      </c>
      <c r="F64" s="408">
        <f>SUM(F65:F67)</f>
        <v>0</v>
      </c>
    </row>
    <row r="65" spans="1:6" s="566" customFormat="1" ht="12" customHeight="1">
      <c r="A65" s="549" t="s">
        <v>383</v>
      </c>
      <c r="B65" s="419" t="s">
        <v>384</v>
      </c>
      <c r="C65" s="412">
        <v>0</v>
      </c>
      <c r="D65" s="412">
        <v>0</v>
      </c>
      <c r="E65" s="395">
        <v>0</v>
      </c>
      <c r="F65" s="684" t="s">
        <v>797</v>
      </c>
    </row>
    <row r="66" spans="1:6" s="566" customFormat="1" ht="12" customHeight="1">
      <c r="A66" s="550" t="s">
        <v>385</v>
      </c>
      <c r="B66" s="420" t="s">
        <v>386</v>
      </c>
      <c r="C66" s="412">
        <v>0</v>
      </c>
      <c r="D66" s="412">
        <v>0</v>
      </c>
      <c r="E66" s="395">
        <v>0</v>
      </c>
      <c r="F66" s="684" t="s">
        <v>798</v>
      </c>
    </row>
    <row r="67" spans="1:6" s="566" customFormat="1" ht="12" customHeight="1" thickBot="1">
      <c r="A67" s="551" t="s">
        <v>387</v>
      </c>
      <c r="B67" s="545" t="s">
        <v>388</v>
      </c>
      <c r="C67" s="412">
        <v>0</v>
      </c>
      <c r="D67" s="412">
        <v>0</v>
      </c>
      <c r="E67" s="395">
        <v>0</v>
      </c>
      <c r="F67" s="684" t="s">
        <v>799</v>
      </c>
    </row>
    <row r="68" spans="1:6" s="566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408">
        <f>SUM(E69:E72)</f>
        <v>0</v>
      </c>
      <c r="F68" s="684" t="s">
        <v>800</v>
      </c>
    </row>
    <row r="69" spans="1:6" s="566" customFormat="1" ht="12" customHeight="1">
      <c r="A69" s="549" t="s">
        <v>108</v>
      </c>
      <c r="B69" s="419" t="s">
        <v>391</v>
      </c>
      <c r="C69" s="412">
        <v>0</v>
      </c>
      <c r="D69" s="412">
        <v>0</v>
      </c>
      <c r="E69" s="395">
        <v>0</v>
      </c>
      <c r="F69" s="684" t="s">
        <v>801</v>
      </c>
    </row>
    <row r="70" spans="1:6" s="566" customFormat="1" ht="12" customHeight="1">
      <c r="A70" s="550" t="s">
        <v>109</v>
      </c>
      <c r="B70" s="420" t="s">
        <v>392</v>
      </c>
      <c r="C70" s="412">
        <v>0</v>
      </c>
      <c r="D70" s="412">
        <v>0</v>
      </c>
      <c r="E70" s="395">
        <v>0</v>
      </c>
      <c r="F70" s="684" t="s">
        <v>802</v>
      </c>
    </row>
    <row r="71" spans="1:6" s="566" customFormat="1" ht="12" customHeight="1">
      <c r="A71" s="550" t="s">
        <v>393</v>
      </c>
      <c r="B71" s="420" t="s">
        <v>394</v>
      </c>
      <c r="C71" s="412">
        <v>0</v>
      </c>
      <c r="D71" s="412">
        <v>0</v>
      </c>
      <c r="E71" s="395">
        <v>0</v>
      </c>
      <c r="F71" s="684" t="s">
        <v>803</v>
      </c>
    </row>
    <row r="72" spans="1:6" s="566" customFormat="1" ht="12" customHeight="1" thickBot="1">
      <c r="A72" s="551" t="s">
        <v>395</v>
      </c>
      <c r="B72" s="421" t="s">
        <v>396</v>
      </c>
      <c r="C72" s="412">
        <v>0</v>
      </c>
      <c r="D72" s="412">
        <v>0</v>
      </c>
      <c r="E72" s="395">
        <v>0</v>
      </c>
      <c r="F72" s="684" t="s">
        <v>804</v>
      </c>
    </row>
    <row r="73" spans="1:6" s="566" customFormat="1" ht="12" customHeight="1" thickBot="1">
      <c r="A73" s="552" t="s">
        <v>397</v>
      </c>
      <c r="B73" s="398" t="s">
        <v>398</v>
      </c>
      <c r="C73" s="408">
        <f>SUM(C74:C75)</f>
        <v>180056979</v>
      </c>
      <c r="D73" s="408">
        <f>SUM(D74:D75)</f>
        <v>179906404</v>
      </c>
      <c r="E73" s="408">
        <f>SUM(E74:E75)</f>
        <v>179906404</v>
      </c>
      <c r="F73" s="684" t="s">
        <v>805</v>
      </c>
    </row>
    <row r="74" spans="1:6" s="566" customFormat="1" ht="12" customHeight="1">
      <c r="A74" s="549" t="s">
        <v>399</v>
      </c>
      <c r="B74" s="419" t="s">
        <v>400</v>
      </c>
      <c r="C74" s="412">
        <v>180056979</v>
      </c>
      <c r="D74" s="412">
        <v>179906404</v>
      </c>
      <c r="E74" s="395">
        <v>179906404</v>
      </c>
      <c r="F74" s="684" t="s">
        <v>806</v>
      </c>
    </row>
    <row r="75" spans="1:6" s="566" customFormat="1" ht="12" customHeight="1" thickBot="1">
      <c r="A75" s="551" t="s">
        <v>401</v>
      </c>
      <c r="B75" s="421" t="s">
        <v>402</v>
      </c>
      <c r="C75" s="412">
        <v>0</v>
      </c>
      <c r="D75" s="412">
        <v>0</v>
      </c>
      <c r="E75" s="395">
        <v>0</v>
      </c>
      <c r="F75" s="684" t="s">
        <v>807</v>
      </c>
    </row>
    <row r="76" spans="1:6" s="566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5119012</v>
      </c>
      <c r="E76" s="408">
        <f>SUM(E77:E79)</f>
        <v>5119012</v>
      </c>
      <c r="F76" s="684" t="s">
        <v>808</v>
      </c>
    </row>
    <row r="77" spans="1:6" s="566" customFormat="1" ht="12" customHeight="1">
      <c r="A77" s="549" t="s">
        <v>405</v>
      </c>
      <c r="B77" s="419" t="s">
        <v>406</v>
      </c>
      <c r="C77" s="412"/>
      <c r="D77" s="412">
        <v>5119012</v>
      </c>
      <c r="E77" s="395">
        <v>5119012</v>
      </c>
      <c r="F77" s="684" t="s">
        <v>809</v>
      </c>
    </row>
    <row r="78" spans="1:6" s="566" customFormat="1" ht="12" customHeight="1">
      <c r="A78" s="550" t="s">
        <v>407</v>
      </c>
      <c r="B78" s="420" t="s">
        <v>408</v>
      </c>
      <c r="C78" s="412">
        <v>0</v>
      </c>
      <c r="D78" s="412">
        <v>0</v>
      </c>
      <c r="E78" s="395">
        <v>0</v>
      </c>
      <c r="F78" s="684" t="s">
        <v>810</v>
      </c>
    </row>
    <row r="79" spans="1:6" s="566" customFormat="1" ht="12" customHeight="1" thickBot="1">
      <c r="A79" s="551" t="s">
        <v>409</v>
      </c>
      <c r="B79" s="421" t="s">
        <v>410</v>
      </c>
      <c r="C79" s="412">
        <v>0</v>
      </c>
      <c r="D79" s="412">
        <v>0</v>
      </c>
      <c r="E79" s="395">
        <v>0</v>
      </c>
      <c r="F79" s="684" t="s">
        <v>811</v>
      </c>
    </row>
    <row r="80" spans="1:6" s="566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408">
        <f>SUM(E81:E84)</f>
        <v>0</v>
      </c>
      <c r="F80" s="684" t="s">
        <v>812</v>
      </c>
    </row>
    <row r="81" spans="1:6" s="566" customFormat="1" ht="12" customHeight="1">
      <c r="A81" s="553" t="s">
        <v>413</v>
      </c>
      <c r="B81" s="419" t="s">
        <v>414</v>
      </c>
      <c r="C81" s="412">
        <v>0</v>
      </c>
      <c r="D81" s="412">
        <v>0</v>
      </c>
      <c r="E81" s="395">
        <v>0</v>
      </c>
      <c r="F81" s="684" t="s">
        <v>813</v>
      </c>
    </row>
    <row r="82" spans="1:6" s="566" customFormat="1" ht="12" customHeight="1">
      <c r="A82" s="554" t="s">
        <v>415</v>
      </c>
      <c r="B82" s="420" t="s">
        <v>416</v>
      </c>
      <c r="C82" s="412">
        <v>0</v>
      </c>
      <c r="D82" s="412">
        <v>0</v>
      </c>
      <c r="E82" s="395">
        <v>0</v>
      </c>
      <c r="F82" s="684" t="s">
        <v>814</v>
      </c>
    </row>
    <row r="83" spans="1:6" s="566" customFormat="1" ht="12" customHeight="1">
      <c r="A83" s="554" t="s">
        <v>417</v>
      </c>
      <c r="B83" s="420" t="s">
        <v>418</v>
      </c>
      <c r="C83" s="412">
        <v>0</v>
      </c>
      <c r="D83" s="412">
        <v>0</v>
      </c>
      <c r="E83" s="395">
        <v>0</v>
      </c>
      <c r="F83" s="684" t="s">
        <v>815</v>
      </c>
    </row>
    <row r="84" spans="1:6" s="566" customFormat="1" ht="12" customHeight="1" thickBot="1">
      <c r="A84" s="555" t="s">
        <v>419</v>
      </c>
      <c r="B84" s="421" t="s">
        <v>420</v>
      </c>
      <c r="C84" s="412">
        <v>0</v>
      </c>
      <c r="D84" s="412">
        <v>0</v>
      </c>
      <c r="E84" s="395">
        <v>0</v>
      </c>
      <c r="F84" s="684" t="s">
        <v>816</v>
      </c>
    </row>
    <row r="85" spans="1:6" s="566" customFormat="1" ht="12" customHeight="1" thickBot="1">
      <c r="A85" s="552" t="s">
        <v>421</v>
      </c>
      <c r="B85" s="398" t="s">
        <v>422</v>
      </c>
      <c r="C85" s="434">
        <v>0</v>
      </c>
      <c r="D85" s="434">
        <v>0</v>
      </c>
      <c r="E85" s="435">
        <v>0</v>
      </c>
      <c r="F85" s="684" t="s">
        <v>817</v>
      </c>
    </row>
    <row r="86" spans="1:6" s="566" customFormat="1" ht="12" customHeight="1" thickBot="1">
      <c r="A86" s="552" t="s">
        <v>423</v>
      </c>
      <c r="B86" s="546" t="s">
        <v>424</v>
      </c>
      <c r="C86" s="414">
        <f>C64+C68+C73+C76+C80+C85</f>
        <v>180056979</v>
      </c>
      <c r="D86" s="414">
        <f>D64+D68+D73+D76+D80+D85</f>
        <v>185025416</v>
      </c>
      <c r="E86" s="414">
        <f>E64+E68+E73+E76+E80+E85</f>
        <v>185025416</v>
      </c>
      <c r="F86" s="684" t="s">
        <v>818</v>
      </c>
    </row>
    <row r="87" spans="1:6" s="566" customFormat="1" ht="12" customHeight="1" thickBot="1">
      <c r="A87" s="556" t="s">
        <v>425</v>
      </c>
      <c r="B87" s="547" t="s">
        <v>562</v>
      </c>
      <c r="C87" s="414">
        <f>C63+C86</f>
        <v>417376221</v>
      </c>
      <c r="D87" s="414">
        <f>D63+D86</f>
        <v>500735000</v>
      </c>
      <c r="E87" s="414">
        <f>E63+E86</f>
        <v>495945448</v>
      </c>
      <c r="F87" s="684" t="s">
        <v>819</v>
      </c>
    </row>
    <row r="88" spans="1:6" s="566" customFormat="1" ht="15" customHeight="1">
      <c r="A88" s="521"/>
      <c r="B88" s="522"/>
      <c r="C88" s="537"/>
      <c r="D88" s="537"/>
      <c r="E88" s="537"/>
      <c r="F88" s="685"/>
    </row>
    <row r="89" spans="1:5" ht="13.5" thickBot="1">
      <c r="A89" s="523"/>
      <c r="B89" s="524"/>
      <c r="C89" s="538"/>
      <c r="D89" s="538"/>
      <c r="E89" s="538"/>
    </row>
    <row r="90" spans="1:6" s="565" customFormat="1" ht="16.5" customHeight="1" thickBot="1">
      <c r="A90" s="797" t="s">
        <v>44</v>
      </c>
      <c r="B90" s="798"/>
      <c r="C90" s="798"/>
      <c r="D90" s="798"/>
      <c r="E90" s="799"/>
      <c r="F90" s="684"/>
    </row>
    <row r="91" spans="1:6" s="339" customFormat="1" ht="12" customHeight="1" thickBot="1">
      <c r="A91" s="544" t="s">
        <v>6</v>
      </c>
      <c r="B91" s="380" t="s">
        <v>433</v>
      </c>
      <c r="C91" s="528">
        <f>SUM(C92:C96)</f>
        <v>246537437</v>
      </c>
      <c r="D91" s="528">
        <f>SUM(D92:D96)</f>
        <v>273043184</v>
      </c>
      <c r="E91" s="528">
        <f>SUM(E92:E96)</f>
        <v>239226276</v>
      </c>
      <c r="F91" s="686" t="s">
        <v>740</v>
      </c>
    </row>
    <row r="92" spans="1:6" ht="12" customHeight="1">
      <c r="A92" s="557" t="s">
        <v>71</v>
      </c>
      <c r="B92" s="366" t="s">
        <v>36</v>
      </c>
      <c r="C92" s="529">
        <v>40379956</v>
      </c>
      <c r="D92" s="529">
        <v>50602237</v>
      </c>
      <c r="E92" s="529">
        <v>47862153</v>
      </c>
      <c r="F92" s="686" t="s">
        <v>741</v>
      </c>
    </row>
    <row r="93" spans="1:6" ht="12" customHeight="1">
      <c r="A93" s="550" t="s">
        <v>72</v>
      </c>
      <c r="B93" s="364" t="s">
        <v>133</v>
      </c>
      <c r="C93" s="530">
        <v>8803230</v>
      </c>
      <c r="D93" s="530">
        <v>11034997</v>
      </c>
      <c r="E93" s="530">
        <v>11034997</v>
      </c>
      <c r="F93" s="686" t="s">
        <v>742</v>
      </c>
    </row>
    <row r="94" spans="1:6" ht="12" customHeight="1">
      <c r="A94" s="550" t="s">
        <v>73</v>
      </c>
      <c r="B94" s="364" t="s">
        <v>100</v>
      </c>
      <c r="C94" s="532">
        <v>73487658</v>
      </c>
      <c r="D94" s="532">
        <v>77795774</v>
      </c>
      <c r="E94" s="532">
        <v>63311200</v>
      </c>
      <c r="F94" s="686" t="s">
        <v>743</v>
      </c>
    </row>
    <row r="95" spans="1:6" ht="12" customHeight="1">
      <c r="A95" s="550" t="s">
        <v>74</v>
      </c>
      <c r="B95" s="367" t="s">
        <v>134</v>
      </c>
      <c r="C95" s="532">
        <v>5460000</v>
      </c>
      <c r="D95" s="532">
        <v>7425420</v>
      </c>
      <c r="E95" s="532">
        <v>6784270</v>
      </c>
      <c r="F95" s="686" t="s">
        <v>744</v>
      </c>
    </row>
    <row r="96" spans="1:6" ht="12" customHeight="1">
      <c r="A96" s="550" t="s">
        <v>83</v>
      </c>
      <c r="B96" s="375" t="s">
        <v>135</v>
      </c>
      <c r="C96" s="532">
        <f>C101+C106</f>
        <v>118406593</v>
      </c>
      <c r="D96" s="532">
        <f>D101+D106+D97</f>
        <v>126184756</v>
      </c>
      <c r="E96" s="532">
        <f>E101+E106+E97</f>
        <v>110233656</v>
      </c>
      <c r="F96" s="686" t="s">
        <v>745</v>
      </c>
    </row>
    <row r="97" spans="1:6" ht="12" customHeight="1">
      <c r="A97" s="550" t="s">
        <v>75</v>
      </c>
      <c r="B97" s="364" t="s">
        <v>434</v>
      </c>
      <c r="C97" s="532"/>
      <c r="D97" s="532">
        <v>5145169</v>
      </c>
      <c r="E97" s="532">
        <v>5145169</v>
      </c>
      <c r="F97" s="686" t="s">
        <v>746</v>
      </c>
    </row>
    <row r="98" spans="1:6" ht="12" customHeight="1">
      <c r="A98" s="550" t="s">
        <v>76</v>
      </c>
      <c r="B98" s="387" t="s">
        <v>435</v>
      </c>
      <c r="C98" s="532"/>
      <c r="D98" s="532">
        <v>0</v>
      </c>
      <c r="E98" s="532">
        <v>0</v>
      </c>
      <c r="F98" s="686" t="s">
        <v>747</v>
      </c>
    </row>
    <row r="99" spans="1:6" ht="12" customHeight="1">
      <c r="A99" s="550" t="s">
        <v>84</v>
      </c>
      <c r="B99" s="388" t="s">
        <v>436</v>
      </c>
      <c r="C99" s="532"/>
      <c r="D99" s="532">
        <v>0</v>
      </c>
      <c r="E99" s="532">
        <v>0</v>
      </c>
      <c r="F99" s="686" t="s">
        <v>748</v>
      </c>
    </row>
    <row r="100" spans="1:6" ht="12" customHeight="1">
      <c r="A100" s="550" t="s">
        <v>85</v>
      </c>
      <c r="B100" s="388" t="s">
        <v>437</v>
      </c>
      <c r="C100" s="532"/>
      <c r="D100" s="532">
        <v>0</v>
      </c>
      <c r="E100" s="532">
        <v>0</v>
      </c>
      <c r="F100" s="686" t="s">
        <v>749</v>
      </c>
    </row>
    <row r="101" spans="1:6" ht="12" customHeight="1">
      <c r="A101" s="550" t="s">
        <v>86</v>
      </c>
      <c r="B101" s="387" t="s">
        <v>438</v>
      </c>
      <c r="C101" s="532">
        <v>114406593</v>
      </c>
      <c r="D101" s="532">
        <v>116839587</v>
      </c>
      <c r="E101" s="532">
        <v>100913687</v>
      </c>
      <c r="F101" s="686" t="s">
        <v>750</v>
      </c>
    </row>
    <row r="102" spans="1:6" ht="12" customHeight="1">
      <c r="A102" s="550" t="s">
        <v>87</v>
      </c>
      <c r="B102" s="387" t="s">
        <v>439</v>
      </c>
      <c r="C102" s="532"/>
      <c r="D102" s="532">
        <v>0</v>
      </c>
      <c r="E102" s="532">
        <v>0</v>
      </c>
      <c r="F102" s="686" t="s">
        <v>751</v>
      </c>
    </row>
    <row r="103" spans="1:6" ht="12" customHeight="1">
      <c r="A103" s="550" t="s">
        <v>89</v>
      </c>
      <c r="B103" s="388" t="s">
        <v>440</v>
      </c>
      <c r="C103" s="532"/>
      <c r="D103" s="532">
        <v>0</v>
      </c>
      <c r="E103" s="532">
        <v>0</v>
      </c>
      <c r="F103" s="686" t="s">
        <v>752</v>
      </c>
    </row>
    <row r="104" spans="1:6" ht="12" customHeight="1">
      <c r="A104" s="558" t="s">
        <v>136</v>
      </c>
      <c r="B104" s="389" t="s">
        <v>441</v>
      </c>
      <c r="C104" s="532"/>
      <c r="D104" s="532">
        <v>0</v>
      </c>
      <c r="E104" s="532">
        <v>0</v>
      </c>
      <c r="F104" s="686" t="s">
        <v>753</v>
      </c>
    </row>
    <row r="105" spans="1:6" ht="12" customHeight="1">
      <c r="A105" s="550" t="s">
        <v>442</v>
      </c>
      <c r="B105" s="389" t="s">
        <v>443</v>
      </c>
      <c r="C105" s="532"/>
      <c r="D105" s="532">
        <v>0</v>
      </c>
      <c r="E105" s="532">
        <v>0</v>
      </c>
      <c r="F105" s="686" t="s">
        <v>754</v>
      </c>
    </row>
    <row r="106" spans="1:6" s="339" customFormat="1" ht="12" customHeight="1" thickBot="1">
      <c r="A106" s="559" t="s">
        <v>444</v>
      </c>
      <c r="B106" s="390" t="s">
        <v>445</v>
      </c>
      <c r="C106" s="534">
        <v>4000000</v>
      </c>
      <c r="D106" s="534">
        <v>4200000</v>
      </c>
      <c r="E106" s="534">
        <v>4174800</v>
      </c>
      <c r="F106" s="686" t="s">
        <v>755</v>
      </c>
    </row>
    <row r="107" spans="1:6" ht="12" customHeight="1" thickBot="1">
      <c r="A107" s="381" t="s">
        <v>7</v>
      </c>
      <c r="B107" s="379" t="s">
        <v>446</v>
      </c>
      <c r="C107" s="402">
        <f>C108+C110+C112</f>
        <v>89275501</v>
      </c>
      <c r="D107" s="402">
        <f>D108+D110+D112</f>
        <v>122251788</v>
      </c>
      <c r="E107" s="402">
        <f>E108+E110+E112</f>
        <v>115548064</v>
      </c>
      <c r="F107" s="686" t="s">
        <v>756</v>
      </c>
    </row>
    <row r="108" spans="1:6" ht="12" customHeight="1">
      <c r="A108" s="549" t="s">
        <v>77</v>
      </c>
      <c r="B108" s="364" t="s">
        <v>157</v>
      </c>
      <c r="C108" s="531">
        <v>16101978</v>
      </c>
      <c r="D108" s="531">
        <v>24875294</v>
      </c>
      <c r="E108" s="531">
        <v>20871185</v>
      </c>
      <c r="F108" s="686" t="s">
        <v>757</v>
      </c>
    </row>
    <row r="109" spans="1:6" ht="12" customHeight="1">
      <c r="A109" s="549" t="s">
        <v>78</v>
      </c>
      <c r="B109" s="368" t="s">
        <v>447</v>
      </c>
      <c r="C109" s="531"/>
      <c r="D109" s="531"/>
      <c r="E109" s="531"/>
      <c r="F109" s="686" t="s">
        <v>758</v>
      </c>
    </row>
    <row r="110" spans="1:6" ht="12" customHeight="1">
      <c r="A110" s="549" t="s">
        <v>79</v>
      </c>
      <c r="B110" s="368" t="s">
        <v>137</v>
      </c>
      <c r="C110" s="530">
        <v>71673523</v>
      </c>
      <c r="D110" s="530">
        <v>95876494</v>
      </c>
      <c r="E110" s="530">
        <v>93876879</v>
      </c>
      <c r="F110" s="686" t="s">
        <v>759</v>
      </c>
    </row>
    <row r="111" spans="1:6" ht="12" customHeight="1">
      <c r="A111" s="549" t="s">
        <v>80</v>
      </c>
      <c r="B111" s="368" t="s">
        <v>448</v>
      </c>
      <c r="C111" s="392"/>
      <c r="D111" s="392"/>
      <c r="E111" s="392"/>
      <c r="F111" s="686" t="s">
        <v>760</v>
      </c>
    </row>
    <row r="112" spans="1:6" ht="12" customHeight="1">
      <c r="A112" s="549" t="s">
        <v>81</v>
      </c>
      <c r="B112" s="400" t="s">
        <v>160</v>
      </c>
      <c r="C112" s="392">
        <v>1500000</v>
      </c>
      <c r="D112" s="392">
        <v>1500000</v>
      </c>
      <c r="E112" s="392">
        <v>800000</v>
      </c>
      <c r="F112" s="686" t="s">
        <v>761</v>
      </c>
    </row>
    <row r="113" spans="1:6" ht="12" customHeight="1">
      <c r="A113" s="549" t="s">
        <v>88</v>
      </c>
      <c r="B113" s="399" t="s">
        <v>449</v>
      </c>
      <c r="C113" s="392">
        <v>0</v>
      </c>
      <c r="D113" s="392">
        <v>0</v>
      </c>
      <c r="E113" s="392">
        <v>0</v>
      </c>
      <c r="F113" s="686" t="s">
        <v>762</v>
      </c>
    </row>
    <row r="114" spans="1:6" ht="12" customHeight="1">
      <c r="A114" s="549" t="s">
        <v>90</v>
      </c>
      <c r="B114" s="415" t="s">
        <v>450</v>
      </c>
      <c r="C114" s="392">
        <v>0</v>
      </c>
      <c r="D114" s="392">
        <v>0</v>
      </c>
      <c r="E114" s="392">
        <v>0</v>
      </c>
      <c r="F114" s="686" t="s">
        <v>763</v>
      </c>
    </row>
    <row r="115" spans="1:6" ht="12" customHeight="1">
      <c r="A115" s="549" t="s">
        <v>138</v>
      </c>
      <c r="B115" s="388" t="s">
        <v>437</v>
      </c>
      <c r="C115" s="392">
        <v>0</v>
      </c>
      <c r="D115" s="392">
        <v>0</v>
      </c>
      <c r="E115" s="392">
        <v>0</v>
      </c>
      <c r="F115" s="686" t="s">
        <v>764</v>
      </c>
    </row>
    <row r="116" spans="1:6" ht="12" customHeight="1">
      <c r="A116" s="549" t="s">
        <v>139</v>
      </c>
      <c r="B116" s="388" t="s">
        <v>451</v>
      </c>
      <c r="C116" s="392">
        <v>0</v>
      </c>
      <c r="D116" s="392">
        <v>0</v>
      </c>
      <c r="E116" s="392">
        <v>0</v>
      </c>
      <c r="F116" s="686" t="s">
        <v>765</v>
      </c>
    </row>
    <row r="117" spans="1:6" ht="12" customHeight="1">
      <c r="A117" s="549" t="s">
        <v>140</v>
      </c>
      <c r="B117" s="388" t="s">
        <v>452</v>
      </c>
      <c r="C117" s="392">
        <v>0</v>
      </c>
      <c r="D117" s="392">
        <v>0</v>
      </c>
      <c r="E117" s="392">
        <v>0</v>
      </c>
      <c r="F117" s="686" t="s">
        <v>766</v>
      </c>
    </row>
    <row r="118" spans="1:6" ht="12" customHeight="1">
      <c r="A118" s="549" t="s">
        <v>453</v>
      </c>
      <c r="B118" s="388" t="s">
        <v>440</v>
      </c>
      <c r="C118" s="392">
        <v>0</v>
      </c>
      <c r="D118" s="392">
        <v>0</v>
      </c>
      <c r="E118" s="392">
        <v>0</v>
      </c>
      <c r="F118" s="686" t="s">
        <v>767</v>
      </c>
    </row>
    <row r="119" spans="1:6" ht="12" customHeight="1">
      <c r="A119" s="549" t="s">
        <v>454</v>
      </c>
      <c r="B119" s="388" t="s">
        <v>455</v>
      </c>
      <c r="C119" s="392">
        <v>0</v>
      </c>
      <c r="D119" s="392">
        <v>0</v>
      </c>
      <c r="E119" s="392">
        <v>0</v>
      </c>
      <c r="F119" s="686" t="s">
        <v>768</v>
      </c>
    </row>
    <row r="120" spans="1:6" ht="12" customHeight="1" thickBot="1">
      <c r="A120" s="558" t="s">
        <v>456</v>
      </c>
      <c r="B120" s="388" t="s">
        <v>457</v>
      </c>
      <c r="C120" s="394">
        <v>1500000</v>
      </c>
      <c r="D120" s="394">
        <v>1500000</v>
      </c>
      <c r="E120" s="394">
        <v>800000</v>
      </c>
      <c r="F120" s="686" t="s">
        <v>769</v>
      </c>
    </row>
    <row r="121" spans="1:6" ht="12" customHeight="1" thickBot="1">
      <c r="A121" s="381" t="s">
        <v>8</v>
      </c>
      <c r="B121" s="384" t="s">
        <v>458</v>
      </c>
      <c r="C121" s="402">
        <f>SUM(C122:C123)</f>
        <v>81563283</v>
      </c>
      <c r="D121" s="402">
        <f>SUM(D122:D123)</f>
        <v>100621538</v>
      </c>
      <c r="E121" s="402">
        <f>SUM(E122:E123)</f>
        <v>0</v>
      </c>
      <c r="F121" s="686" t="s">
        <v>770</v>
      </c>
    </row>
    <row r="122" spans="1:6" ht="12" customHeight="1">
      <c r="A122" s="549" t="s">
        <v>60</v>
      </c>
      <c r="B122" s="365" t="s">
        <v>46</v>
      </c>
      <c r="C122" s="531">
        <v>81563283</v>
      </c>
      <c r="D122" s="531">
        <v>100621538</v>
      </c>
      <c r="E122" s="531">
        <v>0</v>
      </c>
      <c r="F122" s="686" t="s">
        <v>771</v>
      </c>
    </row>
    <row r="123" spans="1:6" ht="12" customHeight="1" thickBot="1">
      <c r="A123" s="551" t="s">
        <v>61</v>
      </c>
      <c r="B123" s="368" t="s">
        <v>47</v>
      </c>
      <c r="C123" s="532">
        <v>0</v>
      </c>
      <c r="D123" s="532">
        <v>0</v>
      </c>
      <c r="E123" s="532">
        <v>0</v>
      </c>
      <c r="F123" s="686" t="s">
        <v>772</v>
      </c>
    </row>
    <row r="124" spans="1:6" ht="12" customHeight="1" thickBot="1">
      <c r="A124" s="381" t="s">
        <v>9</v>
      </c>
      <c r="B124" s="384" t="s">
        <v>459</v>
      </c>
      <c r="C124" s="402">
        <f>C91+C107+C121</f>
        <v>417376221</v>
      </c>
      <c r="D124" s="402">
        <f>D91+D107+D121</f>
        <v>495916510</v>
      </c>
      <c r="E124" s="402">
        <f>E91+E107+E121</f>
        <v>354774340</v>
      </c>
      <c r="F124" s="686" t="s">
        <v>773</v>
      </c>
    </row>
    <row r="125" spans="1:6" ht="12" customHeight="1" thickBot="1">
      <c r="A125" s="381" t="s">
        <v>10</v>
      </c>
      <c r="B125" s="384" t="s">
        <v>564</v>
      </c>
      <c r="C125" s="402">
        <f>SUM(C126:C128)</f>
        <v>0</v>
      </c>
      <c r="D125" s="402">
        <f>SUM(D126:D128)</f>
        <v>0</v>
      </c>
      <c r="E125" s="402">
        <f>SUM(E126:E128)</f>
        <v>0</v>
      </c>
      <c r="F125" s="686" t="s">
        <v>774</v>
      </c>
    </row>
    <row r="126" spans="1:6" ht="12" customHeight="1">
      <c r="A126" s="549" t="s">
        <v>64</v>
      </c>
      <c r="B126" s="365" t="s">
        <v>461</v>
      </c>
      <c r="C126" s="392">
        <v>0</v>
      </c>
      <c r="D126" s="392">
        <v>0</v>
      </c>
      <c r="E126" s="392">
        <v>0</v>
      </c>
      <c r="F126" s="686" t="s">
        <v>775</v>
      </c>
    </row>
    <row r="127" spans="1:6" ht="12" customHeight="1">
      <c r="A127" s="549" t="s">
        <v>65</v>
      </c>
      <c r="B127" s="365" t="s">
        <v>462</v>
      </c>
      <c r="C127" s="392">
        <v>0</v>
      </c>
      <c r="D127" s="392">
        <v>0</v>
      </c>
      <c r="E127" s="392">
        <v>0</v>
      </c>
      <c r="F127" s="686" t="s">
        <v>776</v>
      </c>
    </row>
    <row r="128" spans="1:6" ht="12" customHeight="1" thickBot="1">
      <c r="A128" s="558" t="s">
        <v>66</v>
      </c>
      <c r="B128" s="363" t="s">
        <v>463</v>
      </c>
      <c r="C128" s="392">
        <v>0</v>
      </c>
      <c r="D128" s="392">
        <v>0</v>
      </c>
      <c r="E128" s="392">
        <v>0</v>
      </c>
      <c r="F128" s="686" t="s">
        <v>777</v>
      </c>
    </row>
    <row r="129" spans="1:6" ht="12" customHeight="1" thickBot="1">
      <c r="A129" s="381" t="s">
        <v>11</v>
      </c>
      <c r="B129" s="384" t="s">
        <v>464</v>
      </c>
      <c r="C129" s="402">
        <f>SUM(C130:C133)</f>
        <v>0</v>
      </c>
      <c r="D129" s="402">
        <f>SUM(D130:D133)</f>
        <v>0</v>
      </c>
      <c r="E129" s="402">
        <f>SUM(E130:E133)</f>
        <v>0</v>
      </c>
      <c r="F129" s="686" t="s">
        <v>778</v>
      </c>
    </row>
    <row r="130" spans="1:6" ht="12" customHeight="1">
      <c r="A130" s="549" t="s">
        <v>67</v>
      </c>
      <c r="B130" s="365" t="s">
        <v>465</v>
      </c>
      <c r="C130" s="392">
        <v>0</v>
      </c>
      <c r="D130" s="392">
        <v>0</v>
      </c>
      <c r="E130" s="392">
        <v>0</v>
      </c>
      <c r="F130" s="686" t="s">
        <v>779</v>
      </c>
    </row>
    <row r="131" spans="1:6" ht="12" customHeight="1">
      <c r="A131" s="549" t="s">
        <v>68</v>
      </c>
      <c r="B131" s="365" t="s">
        <v>466</v>
      </c>
      <c r="C131" s="392">
        <v>0</v>
      </c>
      <c r="D131" s="392">
        <v>0</v>
      </c>
      <c r="E131" s="392">
        <v>0</v>
      </c>
      <c r="F131" s="686" t="s">
        <v>780</v>
      </c>
    </row>
    <row r="132" spans="1:6" ht="12" customHeight="1">
      <c r="A132" s="549" t="s">
        <v>361</v>
      </c>
      <c r="B132" s="365" t="s">
        <v>467</v>
      </c>
      <c r="C132" s="392">
        <v>0</v>
      </c>
      <c r="D132" s="392">
        <v>0</v>
      </c>
      <c r="E132" s="392">
        <v>0</v>
      </c>
      <c r="F132" s="686" t="s">
        <v>781</v>
      </c>
    </row>
    <row r="133" spans="1:6" s="339" customFormat="1" ht="12" customHeight="1" thickBot="1">
      <c r="A133" s="558" t="s">
        <v>363</v>
      </c>
      <c r="B133" s="363" t="s">
        <v>468</v>
      </c>
      <c r="C133" s="392">
        <v>0</v>
      </c>
      <c r="D133" s="392">
        <v>0</v>
      </c>
      <c r="E133" s="392">
        <v>0</v>
      </c>
      <c r="F133" s="686" t="s">
        <v>782</v>
      </c>
    </row>
    <row r="134" spans="1:11" ht="13.5" thickBot="1">
      <c r="A134" s="381" t="s">
        <v>12</v>
      </c>
      <c r="B134" s="384" t="s">
        <v>681</v>
      </c>
      <c r="C134" s="533">
        <f>SUM(C135:C139)</f>
        <v>0</v>
      </c>
      <c r="D134" s="533">
        <f>SUM(D135:D139)</f>
        <v>4818490</v>
      </c>
      <c r="E134" s="533">
        <f>SUM(E135:E139)</f>
        <v>4818490</v>
      </c>
      <c r="F134" s="686" t="s">
        <v>783</v>
      </c>
      <c r="K134" s="512"/>
    </row>
    <row r="135" spans="1:6" ht="12.75">
      <c r="A135" s="549" t="s">
        <v>69</v>
      </c>
      <c r="B135" s="365" t="s">
        <v>470</v>
      </c>
      <c r="C135" s="392">
        <v>0</v>
      </c>
      <c r="D135" s="392"/>
      <c r="E135" s="392"/>
      <c r="F135" s="686" t="s">
        <v>784</v>
      </c>
    </row>
    <row r="136" spans="1:6" ht="12" customHeight="1">
      <c r="A136" s="549" t="s">
        <v>70</v>
      </c>
      <c r="B136" s="365" t="s">
        <v>471</v>
      </c>
      <c r="C136" s="392">
        <v>0</v>
      </c>
      <c r="D136" s="392">
        <v>4818490</v>
      </c>
      <c r="E136" s="392">
        <v>4818490</v>
      </c>
      <c r="F136" s="686" t="s">
        <v>785</v>
      </c>
    </row>
    <row r="137" spans="1:6" s="339" customFormat="1" ht="12" customHeight="1">
      <c r="A137" s="549" t="s">
        <v>370</v>
      </c>
      <c r="B137" s="365" t="s">
        <v>680</v>
      </c>
      <c r="C137" s="392"/>
      <c r="D137" s="392">
        <v>0</v>
      </c>
      <c r="E137" s="392">
        <v>0</v>
      </c>
      <c r="F137" s="686" t="s">
        <v>786</v>
      </c>
    </row>
    <row r="138" spans="1:6" s="339" customFormat="1" ht="12" customHeight="1">
      <c r="A138" s="549" t="s">
        <v>372</v>
      </c>
      <c r="B138" s="365" t="s">
        <v>472</v>
      </c>
      <c r="C138" s="392">
        <v>0</v>
      </c>
      <c r="D138" s="392">
        <v>0</v>
      </c>
      <c r="E138" s="392">
        <v>0</v>
      </c>
      <c r="F138" s="686" t="s">
        <v>787</v>
      </c>
    </row>
    <row r="139" spans="1:6" s="339" customFormat="1" ht="12" customHeight="1" thickBot="1">
      <c r="A139" s="558" t="s">
        <v>679</v>
      </c>
      <c r="B139" s="363" t="s">
        <v>473</v>
      </c>
      <c r="C139" s="392">
        <v>0</v>
      </c>
      <c r="D139" s="392">
        <v>0</v>
      </c>
      <c r="E139" s="392">
        <v>0</v>
      </c>
      <c r="F139" s="686" t="s">
        <v>788</v>
      </c>
    </row>
    <row r="140" spans="1:6" s="339" customFormat="1" ht="12" customHeight="1" thickBot="1">
      <c r="A140" s="381" t="s">
        <v>13</v>
      </c>
      <c r="B140" s="384" t="s">
        <v>565</v>
      </c>
      <c r="C140" s="535">
        <f>SUM(C141:C144)</f>
        <v>0</v>
      </c>
      <c r="D140" s="535">
        <f>SUM(D141:D144)</f>
        <v>0</v>
      </c>
      <c r="E140" s="535">
        <f>SUM(E141:E144)</f>
        <v>0</v>
      </c>
      <c r="F140" s="686" t="s">
        <v>789</v>
      </c>
    </row>
    <row r="141" spans="1:6" s="339" customFormat="1" ht="12" customHeight="1">
      <c r="A141" s="549" t="s">
        <v>131</v>
      </c>
      <c r="B141" s="365" t="s">
        <v>475</v>
      </c>
      <c r="C141" s="392">
        <v>0</v>
      </c>
      <c r="D141" s="392">
        <v>0</v>
      </c>
      <c r="E141" s="392">
        <v>0</v>
      </c>
      <c r="F141" s="686" t="s">
        <v>790</v>
      </c>
    </row>
    <row r="142" spans="1:6" s="339" customFormat="1" ht="12" customHeight="1">
      <c r="A142" s="549" t="s">
        <v>132</v>
      </c>
      <c r="B142" s="365" t="s">
        <v>476</v>
      </c>
      <c r="C142" s="392">
        <v>0</v>
      </c>
      <c r="D142" s="392">
        <v>0</v>
      </c>
      <c r="E142" s="392">
        <v>0</v>
      </c>
      <c r="F142" s="686" t="s">
        <v>791</v>
      </c>
    </row>
    <row r="143" spans="1:6" s="339" customFormat="1" ht="12" customHeight="1">
      <c r="A143" s="549" t="s">
        <v>159</v>
      </c>
      <c r="B143" s="365" t="s">
        <v>477</v>
      </c>
      <c r="C143" s="392">
        <v>0</v>
      </c>
      <c r="D143" s="392">
        <v>0</v>
      </c>
      <c r="E143" s="392">
        <v>0</v>
      </c>
      <c r="F143" s="686" t="s">
        <v>792</v>
      </c>
    </row>
    <row r="144" spans="1:6" ht="12.75" customHeight="1" thickBot="1">
      <c r="A144" s="549" t="s">
        <v>378</v>
      </c>
      <c r="B144" s="365" t="s">
        <v>478</v>
      </c>
      <c r="C144" s="392">
        <v>0</v>
      </c>
      <c r="D144" s="392">
        <v>0</v>
      </c>
      <c r="E144" s="392">
        <v>0</v>
      </c>
      <c r="F144" s="686" t="s">
        <v>793</v>
      </c>
    </row>
    <row r="145" spans="1:6" ht="12" customHeight="1" thickBot="1">
      <c r="A145" s="381" t="s">
        <v>14</v>
      </c>
      <c r="B145" s="384" t="s">
        <v>479</v>
      </c>
      <c r="C145" s="548">
        <f>C125+C129+C134+C140</f>
        <v>0</v>
      </c>
      <c r="D145" s="548">
        <f>D125+D129+D134+D140</f>
        <v>4818490</v>
      </c>
      <c r="E145" s="548">
        <f>E125+E129+E134+E140</f>
        <v>4818490</v>
      </c>
      <c r="F145" s="686" t="s">
        <v>794</v>
      </c>
    </row>
    <row r="146" spans="1:6" ht="15" customHeight="1" thickBot="1">
      <c r="A146" s="560" t="s">
        <v>15</v>
      </c>
      <c r="B146" s="404" t="s">
        <v>480</v>
      </c>
      <c r="C146" s="548">
        <f>C124+C145</f>
        <v>417376221</v>
      </c>
      <c r="D146" s="548">
        <f>D124+D145</f>
        <v>500735000</v>
      </c>
      <c r="E146" s="548">
        <f>E124+E145</f>
        <v>359592830</v>
      </c>
      <c r="F146" s="686" t="s">
        <v>795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5" t="s">
        <v>682</v>
      </c>
      <c r="B148" s="526"/>
      <c r="C148" s="113">
        <v>17</v>
      </c>
      <c r="D148" s="114">
        <v>17</v>
      </c>
      <c r="E148" s="111">
        <v>17</v>
      </c>
    </row>
    <row r="149" spans="1:5" ht="14.25" customHeight="1" thickBot="1">
      <c r="A149" s="525" t="s">
        <v>149</v>
      </c>
      <c r="B149" s="526"/>
      <c r="C149" s="113">
        <v>14</v>
      </c>
      <c r="D149" s="114">
        <v>14</v>
      </c>
      <c r="E149" s="111">
        <v>14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540" customWidth="1"/>
    <col min="2" max="2" width="64.625" style="541" customWidth="1"/>
    <col min="3" max="5" width="17.00390625" style="542" customWidth="1"/>
    <col min="6" max="6" width="0" style="678" hidden="1" customWidth="1"/>
    <col min="7" max="16384" width="9.375" style="32" customWidth="1"/>
  </cols>
  <sheetData>
    <row r="1" spans="1:6" s="516" customFormat="1" ht="16.5" customHeight="1" thickBot="1">
      <c r="A1" s="515"/>
      <c r="B1" s="517"/>
      <c r="C1" s="562"/>
      <c r="D1" s="527"/>
      <c r="E1" s="657" t="str">
        <f>+CONCATENATE("6.2. melléklet a 6 /",LEFT(ÖSSZEFÜGGÉSEK!A4,4)+1,". (V.30.) önkormányzati rendelethez")</f>
        <v>6.2. melléklet a 6 /2018. (V.30.) önkormányzati rendelethez</v>
      </c>
      <c r="F1" s="681"/>
    </row>
    <row r="2" spans="1:6" s="563" customFormat="1" ht="15.75" customHeight="1">
      <c r="A2" s="543" t="s">
        <v>52</v>
      </c>
      <c r="B2" s="803" t="s">
        <v>154</v>
      </c>
      <c r="C2" s="804"/>
      <c r="D2" s="805"/>
      <c r="E2" s="536" t="s">
        <v>40</v>
      </c>
      <c r="F2" s="682"/>
    </row>
    <row r="3" spans="1:6" s="563" customFormat="1" ht="24.75" thickBot="1">
      <c r="A3" s="561" t="s">
        <v>560</v>
      </c>
      <c r="B3" s="800" t="s">
        <v>683</v>
      </c>
      <c r="C3" s="801"/>
      <c r="D3" s="802"/>
      <c r="E3" s="511" t="s">
        <v>48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65" customFormat="1" ht="12" customHeight="1" thickBot="1">
      <c r="A8" s="381" t="s">
        <v>6</v>
      </c>
      <c r="B8" s="377" t="s">
        <v>311</v>
      </c>
      <c r="C8" s="408">
        <f>SUM(C9:C14)</f>
        <v>132835967</v>
      </c>
      <c r="D8" s="408">
        <f>SUM(D9:D14)</f>
        <v>139978789</v>
      </c>
      <c r="E8" s="408">
        <f>SUM(E9:E14)</f>
        <v>139978789</v>
      </c>
      <c r="F8" s="684" t="s">
        <v>740</v>
      </c>
    </row>
    <row r="9" spans="1:6" s="539" customFormat="1" ht="12" customHeight="1">
      <c r="A9" s="549" t="s">
        <v>71</v>
      </c>
      <c r="B9" s="419" t="s">
        <v>312</v>
      </c>
      <c r="C9" s="98">
        <v>55233976</v>
      </c>
      <c r="D9" s="731">
        <v>56233976</v>
      </c>
      <c r="E9" s="731">
        <v>56233976</v>
      </c>
      <c r="F9" s="684" t="s">
        <v>741</v>
      </c>
    </row>
    <row r="10" spans="1:6" s="566" customFormat="1" ht="12" customHeight="1">
      <c r="A10" s="550" t="s">
        <v>72</v>
      </c>
      <c r="B10" s="420" t="s">
        <v>313</v>
      </c>
      <c r="C10" s="409">
        <v>35878653</v>
      </c>
      <c r="D10" s="732">
        <v>37727086</v>
      </c>
      <c r="E10" s="732">
        <v>37727086</v>
      </c>
      <c r="F10" s="684" t="s">
        <v>742</v>
      </c>
    </row>
    <row r="11" spans="1:6" s="566" customFormat="1" ht="12" customHeight="1">
      <c r="A11" s="550" t="s">
        <v>73</v>
      </c>
      <c r="B11" s="420" t="s">
        <v>314</v>
      </c>
      <c r="C11" s="409">
        <v>39121858</v>
      </c>
      <c r="D11" s="732">
        <v>37999568</v>
      </c>
      <c r="E11" s="732">
        <v>37999568</v>
      </c>
      <c r="F11" s="684" t="s">
        <v>743</v>
      </c>
    </row>
    <row r="12" spans="1:6" s="566" customFormat="1" ht="12" customHeight="1">
      <c r="A12" s="550" t="s">
        <v>74</v>
      </c>
      <c r="B12" s="420" t="s">
        <v>315</v>
      </c>
      <c r="C12" s="409">
        <v>2601480</v>
      </c>
      <c r="D12" s="732">
        <v>3307020</v>
      </c>
      <c r="E12" s="732">
        <v>3307020</v>
      </c>
      <c r="F12" s="684" t="s">
        <v>744</v>
      </c>
    </row>
    <row r="13" spans="1:6" s="566" customFormat="1" ht="12" customHeight="1">
      <c r="A13" s="550" t="s">
        <v>107</v>
      </c>
      <c r="B13" s="420" t="s">
        <v>875</v>
      </c>
      <c r="C13" s="734"/>
      <c r="D13" s="732">
        <v>3268793</v>
      </c>
      <c r="E13" s="732">
        <v>3268793</v>
      </c>
      <c r="F13" s="684" t="s">
        <v>745</v>
      </c>
    </row>
    <row r="14" spans="1:6" s="539" customFormat="1" ht="12" customHeight="1" thickBot="1">
      <c r="A14" s="551" t="s">
        <v>75</v>
      </c>
      <c r="B14" s="421" t="s">
        <v>876</v>
      </c>
      <c r="C14" s="735"/>
      <c r="D14" s="733">
        <v>1442346</v>
      </c>
      <c r="E14" s="733">
        <v>1442346</v>
      </c>
      <c r="F14" s="684" t="s">
        <v>746</v>
      </c>
    </row>
    <row r="15" spans="1:6" s="539" customFormat="1" ht="12" customHeight="1" thickBot="1">
      <c r="A15" s="381" t="s">
        <v>7</v>
      </c>
      <c r="B15" s="398" t="s">
        <v>318</v>
      </c>
      <c r="C15" s="408">
        <f>SUM(C16:C21)</f>
        <v>15213374</v>
      </c>
      <c r="D15" s="408">
        <f>SUM(D16:D21)</f>
        <v>29877537</v>
      </c>
      <c r="E15" s="408">
        <f>SUM(E16:E21)</f>
        <v>29762620</v>
      </c>
      <c r="F15" s="684" t="s">
        <v>747</v>
      </c>
    </row>
    <row r="16" spans="1:6" s="539" customFormat="1" ht="12" customHeight="1">
      <c r="A16" s="549" t="s">
        <v>77</v>
      </c>
      <c r="B16" s="419" t="s">
        <v>319</v>
      </c>
      <c r="C16" s="410">
        <v>0</v>
      </c>
      <c r="D16" s="410">
        <v>0</v>
      </c>
      <c r="E16" s="393">
        <v>0</v>
      </c>
      <c r="F16" s="684" t="s">
        <v>748</v>
      </c>
    </row>
    <row r="17" spans="1:6" s="539" customFormat="1" ht="12" customHeight="1">
      <c r="A17" s="550" t="s">
        <v>78</v>
      </c>
      <c r="B17" s="420" t="s">
        <v>320</v>
      </c>
      <c r="C17" s="409">
        <v>0</v>
      </c>
      <c r="D17" s="409">
        <v>0</v>
      </c>
      <c r="E17" s="392">
        <v>0</v>
      </c>
      <c r="F17" s="684" t="s">
        <v>749</v>
      </c>
    </row>
    <row r="18" spans="1:6" s="539" customFormat="1" ht="12" customHeight="1">
      <c r="A18" s="550" t="s">
        <v>79</v>
      </c>
      <c r="B18" s="420" t="s">
        <v>321</v>
      </c>
      <c r="C18" s="409">
        <v>0</v>
      </c>
      <c r="D18" s="409">
        <v>0</v>
      </c>
      <c r="E18" s="392">
        <v>0</v>
      </c>
      <c r="F18" s="684" t="s">
        <v>750</v>
      </c>
    </row>
    <row r="19" spans="1:6" s="539" customFormat="1" ht="12" customHeight="1">
      <c r="A19" s="550" t="s">
        <v>80</v>
      </c>
      <c r="B19" s="420" t="s">
        <v>322</v>
      </c>
      <c r="C19" s="409">
        <v>0</v>
      </c>
      <c r="D19" s="409">
        <v>0</v>
      </c>
      <c r="E19" s="392">
        <v>0</v>
      </c>
      <c r="F19" s="684" t="s">
        <v>751</v>
      </c>
    </row>
    <row r="20" spans="1:6" s="539" customFormat="1" ht="12" customHeight="1">
      <c r="A20" s="550" t="s">
        <v>81</v>
      </c>
      <c r="B20" s="420" t="s">
        <v>323</v>
      </c>
      <c r="C20" s="409">
        <v>15213374</v>
      </c>
      <c r="D20" s="409">
        <v>29877537</v>
      </c>
      <c r="E20" s="392">
        <v>29762620</v>
      </c>
      <c r="F20" s="684" t="s">
        <v>752</v>
      </c>
    </row>
    <row r="21" spans="1:6" s="566" customFormat="1" ht="12" customHeight="1" thickBot="1">
      <c r="A21" s="551" t="s">
        <v>88</v>
      </c>
      <c r="B21" s="421" t="s">
        <v>324</v>
      </c>
      <c r="C21" s="411">
        <v>0</v>
      </c>
      <c r="D21" s="411">
        <v>0</v>
      </c>
      <c r="E21" s="394">
        <v>0</v>
      </c>
      <c r="F21" s="684" t="s">
        <v>753</v>
      </c>
    </row>
    <row r="22" spans="1:6" s="566" customFormat="1" ht="12" customHeight="1" thickBot="1">
      <c r="A22" s="381" t="s">
        <v>8</v>
      </c>
      <c r="B22" s="377" t="s">
        <v>325</v>
      </c>
      <c r="C22" s="408">
        <f>SUM(C23:C28)</f>
        <v>9800000</v>
      </c>
      <c r="D22" s="408">
        <f>SUM(D23:D28)</f>
        <v>38171706</v>
      </c>
      <c r="E22" s="408">
        <f>SUM(E23:E28)</f>
        <v>38171706</v>
      </c>
      <c r="F22" s="684" t="s">
        <v>754</v>
      </c>
    </row>
    <row r="23" spans="1:6" s="566" customFormat="1" ht="12" customHeight="1">
      <c r="A23" s="549" t="s">
        <v>60</v>
      </c>
      <c r="B23" s="419" t="s">
        <v>326</v>
      </c>
      <c r="C23" s="410"/>
      <c r="D23" s="410"/>
      <c r="E23" s="393"/>
      <c r="F23" s="684" t="s">
        <v>755</v>
      </c>
    </row>
    <row r="24" spans="1:6" s="539" customFormat="1" ht="12" customHeight="1">
      <c r="A24" s="550" t="s">
        <v>61</v>
      </c>
      <c r="B24" s="420" t="s">
        <v>327</v>
      </c>
      <c r="C24" s="409">
        <v>0</v>
      </c>
      <c r="D24" s="409">
        <v>0</v>
      </c>
      <c r="E24" s="392">
        <v>0</v>
      </c>
      <c r="F24" s="684" t="s">
        <v>756</v>
      </c>
    </row>
    <row r="25" spans="1:6" s="566" customFormat="1" ht="12" customHeight="1">
      <c r="A25" s="550" t="s">
        <v>62</v>
      </c>
      <c r="B25" s="420" t="s">
        <v>328</v>
      </c>
      <c r="C25" s="409">
        <v>0</v>
      </c>
      <c r="D25" s="409">
        <v>0</v>
      </c>
      <c r="E25" s="392">
        <v>0</v>
      </c>
      <c r="F25" s="684" t="s">
        <v>757</v>
      </c>
    </row>
    <row r="26" spans="1:6" s="566" customFormat="1" ht="12" customHeight="1">
      <c r="A26" s="550" t="s">
        <v>63</v>
      </c>
      <c r="B26" s="420" t="s">
        <v>329</v>
      </c>
      <c r="C26" s="409">
        <v>0</v>
      </c>
      <c r="D26" s="409">
        <v>0</v>
      </c>
      <c r="E26" s="392">
        <v>0</v>
      </c>
      <c r="F26" s="684" t="s">
        <v>758</v>
      </c>
    </row>
    <row r="27" spans="1:6" s="566" customFormat="1" ht="12" customHeight="1">
      <c r="A27" s="550" t="s">
        <v>121</v>
      </c>
      <c r="B27" s="420" t="s">
        <v>330</v>
      </c>
      <c r="C27" s="409">
        <v>9800000</v>
      </c>
      <c r="D27" s="409">
        <v>38171706</v>
      </c>
      <c r="E27" s="392">
        <v>38171706</v>
      </c>
      <c r="F27" s="684" t="s">
        <v>759</v>
      </c>
    </row>
    <row r="28" spans="1:6" s="566" customFormat="1" ht="12" customHeight="1" thickBot="1">
      <c r="A28" s="551" t="s">
        <v>122</v>
      </c>
      <c r="B28" s="421" t="s">
        <v>331</v>
      </c>
      <c r="C28" s="411">
        <v>0</v>
      </c>
      <c r="D28" s="411">
        <v>0</v>
      </c>
      <c r="E28" s="394">
        <v>0</v>
      </c>
      <c r="F28" s="684" t="s">
        <v>760</v>
      </c>
    </row>
    <row r="29" spans="1:6" s="566" customFormat="1" ht="12" customHeight="1" thickBot="1">
      <c r="A29" s="381" t="s">
        <v>123</v>
      </c>
      <c r="B29" s="377" t="s">
        <v>332</v>
      </c>
      <c r="C29" s="414">
        <f>C30+C33+C34+C35</f>
        <v>60950000</v>
      </c>
      <c r="D29" s="414">
        <f>D30+D33+D34+D35</f>
        <v>83093414</v>
      </c>
      <c r="E29" s="414">
        <f>E30+E33+E34+E35</f>
        <v>79539692</v>
      </c>
      <c r="F29" s="684" t="s">
        <v>761</v>
      </c>
    </row>
    <row r="30" spans="1:6" s="566" customFormat="1" ht="12" customHeight="1">
      <c r="A30" s="549" t="s">
        <v>333</v>
      </c>
      <c r="B30" s="419" t="s">
        <v>334</v>
      </c>
      <c r="C30" s="727">
        <f>C31+C32</f>
        <v>50000000</v>
      </c>
      <c r="D30" s="428">
        <f>D31+D32</f>
        <v>71866088</v>
      </c>
      <c r="E30" s="428">
        <f>E31+E32</f>
        <v>69106149</v>
      </c>
      <c r="F30" s="684" t="s">
        <v>762</v>
      </c>
    </row>
    <row r="31" spans="1:6" s="566" customFormat="1" ht="12" customHeight="1">
      <c r="A31" s="550" t="s">
        <v>335</v>
      </c>
      <c r="B31" s="420" t="s">
        <v>336</v>
      </c>
      <c r="C31" s="530">
        <v>10000000</v>
      </c>
      <c r="D31" s="409">
        <v>11702235</v>
      </c>
      <c r="E31" s="392">
        <v>10700263</v>
      </c>
      <c r="F31" s="684" t="s">
        <v>763</v>
      </c>
    </row>
    <row r="32" spans="1:6" s="566" customFormat="1" ht="12" customHeight="1">
      <c r="A32" s="550" t="s">
        <v>337</v>
      </c>
      <c r="B32" s="420" t="s">
        <v>338</v>
      </c>
      <c r="C32" s="530">
        <v>40000000</v>
      </c>
      <c r="D32" s="409">
        <v>60163853</v>
      </c>
      <c r="E32" s="392">
        <v>58405886</v>
      </c>
      <c r="F32" s="684" t="s">
        <v>764</v>
      </c>
    </row>
    <row r="33" spans="1:6" s="566" customFormat="1" ht="12" customHeight="1">
      <c r="A33" s="550" t="s">
        <v>339</v>
      </c>
      <c r="B33" s="420" t="s">
        <v>340</v>
      </c>
      <c r="C33" s="530">
        <v>4000000</v>
      </c>
      <c r="D33" s="409">
        <v>4406655</v>
      </c>
      <c r="E33" s="392">
        <v>4361845</v>
      </c>
      <c r="F33" s="684" t="s">
        <v>765</v>
      </c>
    </row>
    <row r="34" spans="1:6" s="566" customFormat="1" ht="12" customHeight="1">
      <c r="A34" s="550" t="s">
        <v>341</v>
      </c>
      <c r="B34" s="420" t="s">
        <v>342</v>
      </c>
      <c r="C34" s="530">
        <v>4150000</v>
      </c>
      <c r="D34" s="409">
        <v>2797800</v>
      </c>
      <c r="E34" s="392">
        <v>2797800</v>
      </c>
      <c r="F34" s="684" t="s">
        <v>766</v>
      </c>
    </row>
    <row r="35" spans="1:6" s="566" customFormat="1" ht="12" customHeight="1" thickBot="1">
      <c r="A35" s="551" t="s">
        <v>343</v>
      </c>
      <c r="B35" s="421" t="s">
        <v>344</v>
      </c>
      <c r="C35" s="532">
        <v>2800000</v>
      </c>
      <c r="D35" s="411">
        <v>4022871</v>
      </c>
      <c r="E35" s="394">
        <v>3273898</v>
      </c>
      <c r="F35" s="684" t="s">
        <v>767</v>
      </c>
    </row>
    <row r="36" spans="1:6" s="566" customFormat="1" ht="12" customHeight="1" thickBot="1">
      <c r="A36" s="381" t="s">
        <v>10</v>
      </c>
      <c r="B36" s="377" t="s">
        <v>345</v>
      </c>
      <c r="C36" s="408">
        <f>SUM(C37:C46)</f>
        <v>18519901</v>
      </c>
      <c r="D36" s="408">
        <f>SUM(D37:D46)</f>
        <v>23783807</v>
      </c>
      <c r="E36" s="408">
        <f>SUM(E37:E46)</f>
        <v>22662894</v>
      </c>
      <c r="F36" s="684" t="s">
        <v>768</v>
      </c>
    </row>
    <row r="37" spans="1:6" s="566" customFormat="1" ht="12" customHeight="1">
      <c r="A37" s="549" t="s">
        <v>64</v>
      </c>
      <c r="B37" s="419" t="s">
        <v>346</v>
      </c>
      <c r="C37" s="410">
        <v>0</v>
      </c>
      <c r="D37" s="410">
        <v>0</v>
      </c>
      <c r="E37" s="393">
        <v>0</v>
      </c>
      <c r="F37" s="684" t="s">
        <v>769</v>
      </c>
    </row>
    <row r="38" spans="1:6" s="566" customFormat="1" ht="12" customHeight="1">
      <c r="A38" s="550" t="s">
        <v>65</v>
      </c>
      <c r="B38" s="420" t="s">
        <v>347</v>
      </c>
      <c r="C38" s="530">
        <v>11799735</v>
      </c>
      <c r="D38" s="409">
        <v>5229610</v>
      </c>
      <c r="E38" s="392">
        <v>5024890</v>
      </c>
      <c r="F38" s="684" t="s">
        <v>770</v>
      </c>
    </row>
    <row r="39" spans="1:6" s="566" customFormat="1" ht="12" customHeight="1">
      <c r="A39" s="550" t="s">
        <v>66</v>
      </c>
      <c r="B39" s="420" t="s">
        <v>348</v>
      </c>
      <c r="C39" s="530">
        <v>1500000</v>
      </c>
      <c r="D39" s="409">
        <v>4474665</v>
      </c>
      <c r="E39" s="392">
        <v>4081962</v>
      </c>
      <c r="F39" s="684" t="s">
        <v>771</v>
      </c>
    </row>
    <row r="40" spans="1:6" s="566" customFormat="1" ht="12" customHeight="1">
      <c r="A40" s="550" t="s">
        <v>125</v>
      </c>
      <c r="B40" s="420" t="s">
        <v>349</v>
      </c>
      <c r="C40" s="530">
        <v>1586056</v>
      </c>
      <c r="D40" s="409">
        <v>5044245</v>
      </c>
      <c r="E40" s="392">
        <v>4955313</v>
      </c>
      <c r="F40" s="684" t="s">
        <v>772</v>
      </c>
    </row>
    <row r="41" spans="1:6" s="566" customFormat="1" ht="12" customHeight="1">
      <c r="A41" s="550" t="s">
        <v>126</v>
      </c>
      <c r="B41" s="420" t="s">
        <v>350</v>
      </c>
      <c r="C41" s="530"/>
      <c r="D41" s="409">
        <v>1289427</v>
      </c>
      <c r="E41" s="392">
        <v>1209385</v>
      </c>
      <c r="F41" s="684" t="s">
        <v>773</v>
      </c>
    </row>
    <row r="42" spans="1:6" s="566" customFormat="1" ht="12" customHeight="1">
      <c r="A42" s="550" t="s">
        <v>127</v>
      </c>
      <c r="B42" s="420" t="s">
        <v>351</v>
      </c>
      <c r="C42" s="530">
        <v>1834110</v>
      </c>
      <c r="D42" s="409">
        <v>2656381</v>
      </c>
      <c r="E42" s="392">
        <v>2441466</v>
      </c>
      <c r="F42" s="684" t="s">
        <v>774</v>
      </c>
    </row>
    <row r="43" spans="1:6" s="566" customFormat="1" ht="12" customHeight="1">
      <c r="A43" s="550" t="s">
        <v>128</v>
      </c>
      <c r="B43" s="420" t="s">
        <v>352</v>
      </c>
      <c r="C43" s="530"/>
      <c r="D43" s="409">
        <v>280715</v>
      </c>
      <c r="E43" s="392">
        <v>280715</v>
      </c>
      <c r="F43" s="684" t="s">
        <v>775</v>
      </c>
    </row>
    <row r="44" spans="1:6" s="566" customFormat="1" ht="12" customHeight="1">
      <c r="A44" s="550" t="s">
        <v>129</v>
      </c>
      <c r="B44" s="420" t="s">
        <v>353</v>
      </c>
      <c r="C44" s="530">
        <v>600000</v>
      </c>
      <c r="D44" s="409">
        <v>1015716</v>
      </c>
      <c r="E44" s="392">
        <v>1015716</v>
      </c>
      <c r="F44" s="684" t="s">
        <v>776</v>
      </c>
    </row>
    <row r="45" spans="1:6" s="566" customFormat="1" ht="12" customHeight="1">
      <c r="A45" s="550" t="s">
        <v>354</v>
      </c>
      <c r="B45" s="420" t="s">
        <v>355</v>
      </c>
      <c r="C45" s="728"/>
      <c r="D45" s="412"/>
      <c r="E45" s="395"/>
      <c r="F45" s="684" t="s">
        <v>777</v>
      </c>
    </row>
    <row r="46" spans="1:6" s="539" customFormat="1" ht="12" customHeight="1" thickBot="1">
      <c r="A46" s="551" t="s">
        <v>356</v>
      </c>
      <c r="B46" s="421" t="s">
        <v>357</v>
      </c>
      <c r="C46" s="729">
        <v>1200000</v>
      </c>
      <c r="D46" s="413">
        <v>3793048</v>
      </c>
      <c r="E46" s="396">
        <v>3653447</v>
      </c>
      <c r="F46" s="684" t="s">
        <v>778</v>
      </c>
    </row>
    <row r="47" spans="1:6" s="566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804331</v>
      </c>
      <c r="E47" s="408">
        <f>SUM(E48:E52)</f>
        <v>804331</v>
      </c>
      <c r="F47" s="684" t="s">
        <v>779</v>
      </c>
    </row>
    <row r="48" spans="1:6" s="566" customFormat="1" ht="12" customHeight="1">
      <c r="A48" s="549" t="s">
        <v>67</v>
      </c>
      <c r="B48" s="419" t="s">
        <v>359</v>
      </c>
      <c r="C48" s="430">
        <v>0</v>
      </c>
      <c r="D48" s="430">
        <v>0</v>
      </c>
      <c r="E48" s="397">
        <v>0</v>
      </c>
      <c r="F48" s="684" t="s">
        <v>780</v>
      </c>
    </row>
    <row r="49" spans="1:6" s="566" customFormat="1" ht="12" customHeight="1">
      <c r="A49" s="550" t="s">
        <v>68</v>
      </c>
      <c r="B49" s="420" t="s">
        <v>360</v>
      </c>
      <c r="C49" s="412">
        <v>0</v>
      </c>
      <c r="D49" s="412">
        <v>450000</v>
      </c>
      <c r="E49" s="395">
        <v>450000</v>
      </c>
      <c r="F49" s="684" t="s">
        <v>781</v>
      </c>
    </row>
    <row r="50" spans="1:6" s="566" customFormat="1" ht="12" customHeight="1">
      <c r="A50" s="550" t="s">
        <v>361</v>
      </c>
      <c r="B50" s="420" t="s">
        <v>362</v>
      </c>
      <c r="C50" s="412"/>
      <c r="D50" s="412">
        <v>354331</v>
      </c>
      <c r="E50" s="395">
        <v>354331</v>
      </c>
      <c r="F50" s="684" t="s">
        <v>782</v>
      </c>
    </row>
    <row r="51" spans="1:6" s="566" customFormat="1" ht="12" customHeight="1">
      <c r="A51" s="550" t="s">
        <v>363</v>
      </c>
      <c r="B51" s="420" t="s">
        <v>364</v>
      </c>
      <c r="C51" s="412">
        <v>0</v>
      </c>
      <c r="D51" s="412">
        <v>0</v>
      </c>
      <c r="E51" s="395">
        <v>0</v>
      </c>
      <c r="F51" s="684" t="s">
        <v>783</v>
      </c>
    </row>
    <row r="52" spans="1:6" s="566" customFormat="1" ht="12" customHeight="1" thickBot="1">
      <c r="A52" s="551" t="s">
        <v>365</v>
      </c>
      <c r="B52" s="421" t="s">
        <v>366</v>
      </c>
      <c r="C52" s="413">
        <v>0</v>
      </c>
      <c r="D52" s="413">
        <v>0</v>
      </c>
      <c r="E52" s="396">
        <v>0</v>
      </c>
      <c r="F52" s="684" t="s">
        <v>784</v>
      </c>
    </row>
    <row r="53" spans="1:6" s="566" customFormat="1" ht="12" customHeight="1" thickBot="1">
      <c r="A53" s="381" t="s">
        <v>130</v>
      </c>
      <c r="B53" s="377" t="s">
        <v>367</v>
      </c>
      <c r="C53" s="408">
        <f>SUM(C54:C57)</f>
        <v>0</v>
      </c>
      <c r="D53" s="408">
        <f>SUM(D54:D57)</f>
        <v>0</v>
      </c>
      <c r="E53" s="408">
        <f>SUM(E54:E57)</f>
        <v>0</v>
      </c>
      <c r="F53" s="684" t="s">
        <v>785</v>
      </c>
    </row>
    <row r="54" spans="1:6" s="539" customFormat="1" ht="12" customHeight="1">
      <c r="A54" s="549" t="s">
        <v>69</v>
      </c>
      <c r="B54" s="419" t="s">
        <v>368</v>
      </c>
      <c r="C54" s="410">
        <v>0</v>
      </c>
      <c r="D54" s="410">
        <v>0</v>
      </c>
      <c r="E54" s="393">
        <v>0</v>
      </c>
      <c r="F54" s="684" t="s">
        <v>786</v>
      </c>
    </row>
    <row r="55" spans="1:6" s="539" customFormat="1" ht="12" customHeight="1">
      <c r="A55" s="550" t="s">
        <v>70</v>
      </c>
      <c r="B55" s="420" t="s">
        <v>369</v>
      </c>
      <c r="C55" s="409">
        <v>0</v>
      </c>
      <c r="D55" s="409"/>
      <c r="E55" s="392"/>
      <c r="F55" s="684" t="s">
        <v>787</v>
      </c>
    </row>
    <row r="56" spans="1:6" s="539" customFormat="1" ht="12" customHeight="1">
      <c r="A56" s="550" t="s">
        <v>370</v>
      </c>
      <c r="B56" s="420" t="s">
        <v>371</v>
      </c>
      <c r="C56" s="409"/>
      <c r="D56" s="409"/>
      <c r="E56" s="392"/>
      <c r="F56" s="684" t="s">
        <v>788</v>
      </c>
    </row>
    <row r="57" spans="1:6" s="539" customFormat="1" ht="12" customHeight="1" thickBot="1">
      <c r="A57" s="551" t="s">
        <v>372</v>
      </c>
      <c r="B57" s="421" t="s">
        <v>373</v>
      </c>
      <c r="C57" s="411">
        <v>0</v>
      </c>
      <c r="D57" s="411">
        <v>0</v>
      </c>
      <c r="E57" s="394">
        <v>0</v>
      </c>
      <c r="F57" s="684" t="s">
        <v>789</v>
      </c>
    </row>
    <row r="58" spans="1:6" s="566" customFormat="1" ht="12" customHeight="1" thickBot="1">
      <c r="A58" s="381" t="s">
        <v>13</v>
      </c>
      <c r="B58" s="398" t="s">
        <v>374</v>
      </c>
      <c r="C58" s="408">
        <f>SUM(C59:C62)</f>
        <v>0</v>
      </c>
      <c r="D58" s="408">
        <f>SUM(D59:D62)</f>
        <v>0</v>
      </c>
      <c r="E58" s="408">
        <f>SUM(E59:E62)</f>
        <v>0</v>
      </c>
      <c r="F58" s="684" t="s">
        <v>790</v>
      </c>
    </row>
    <row r="59" spans="1:6" s="566" customFormat="1" ht="12" customHeight="1">
      <c r="A59" s="549" t="s">
        <v>131</v>
      </c>
      <c r="B59" s="419" t="s">
        <v>375</v>
      </c>
      <c r="C59" s="412">
        <v>0</v>
      </c>
      <c r="D59" s="412">
        <v>0</v>
      </c>
      <c r="E59" s="395">
        <v>0</v>
      </c>
      <c r="F59" s="684" t="s">
        <v>791</v>
      </c>
    </row>
    <row r="60" spans="1:6" s="566" customFormat="1" ht="12" customHeight="1">
      <c r="A60" s="550" t="s">
        <v>132</v>
      </c>
      <c r="B60" s="420" t="s">
        <v>563</v>
      </c>
      <c r="C60" s="412"/>
      <c r="D60" s="412">
        <v>0</v>
      </c>
      <c r="E60" s="395">
        <v>0</v>
      </c>
      <c r="F60" s="684" t="s">
        <v>792</v>
      </c>
    </row>
    <row r="61" spans="1:6" s="566" customFormat="1" ht="12" customHeight="1">
      <c r="A61" s="550" t="s">
        <v>159</v>
      </c>
      <c r="B61" s="420" t="s">
        <v>377</v>
      </c>
      <c r="C61" s="412">
        <v>0</v>
      </c>
      <c r="D61" s="412"/>
      <c r="E61" s="395">
        <v>0</v>
      </c>
      <c r="F61" s="684" t="s">
        <v>793</v>
      </c>
    </row>
    <row r="62" spans="1:6" s="566" customFormat="1" ht="12" customHeight="1" thickBot="1">
      <c r="A62" s="551" t="s">
        <v>378</v>
      </c>
      <c r="B62" s="421" t="s">
        <v>379</v>
      </c>
      <c r="C62" s="412">
        <v>0</v>
      </c>
      <c r="D62" s="412">
        <v>0</v>
      </c>
      <c r="E62" s="395">
        <v>0</v>
      </c>
      <c r="F62" s="684" t="s">
        <v>794</v>
      </c>
    </row>
    <row r="63" spans="1:6" s="566" customFormat="1" ht="12" customHeight="1" thickBot="1">
      <c r="A63" s="381" t="s">
        <v>14</v>
      </c>
      <c r="B63" s="377" t="s">
        <v>380</v>
      </c>
      <c r="C63" s="414">
        <f>C8+C15+C22+C29+C36+C47+C53+C58</f>
        <v>237319242</v>
      </c>
      <c r="D63" s="414">
        <f>D8+D15+D22+D29+D36+D47+D53+D58</f>
        <v>315709584</v>
      </c>
      <c r="E63" s="414">
        <f>E8+E15+E22+E29+E36+E47+E53+E58</f>
        <v>310920032</v>
      </c>
      <c r="F63" s="684" t="s">
        <v>795</v>
      </c>
    </row>
    <row r="64" spans="1:6" s="566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408">
        <f>SUM(E65:E67)</f>
        <v>0</v>
      </c>
      <c r="F64" s="684" t="s">
        <v>796</v>
      </c>
    </row>
    <row r="65" spans="1:6" s="566" customFormat="1" ht="12" customHeight="1">
      <c r="A65" s="549" t="s">
        <v>383</v>
      </c>
      <c r="B65" s="419" t="s">
        <v>384</v>
      </c>
      <c r="C65" s="412">
        <v>0</v>
      </c>
      <c r="D65" s="412">
        <v>0</v>
      </c>
      <c r="E65" s="395">
        <v>0</v>
      </c>
      <c r="F65" s="684" t="s">
        <v>797</v>
      </c>
    </row>
    <row r="66" spans="1:6" s="566" customFormat="1" ht="12" customHeight="1">
      <c r="A66" s="550" t="s">
        <v>385</v>
      </c>
      <c r="B66" s="420" t="s">
        <v>386</v>
      </c>
      <c r="C66" s="412">
        <v>0</v>
      </c>
      <c r="D66" s="412">
        <v>0</v>
      </c>
      <c r="E66" s="395">
        <v>0</v>
      </c>
      <c r="F66" s="684" t="s">
        <v>798</v>
      </c>
    </row>
    <row r="67" spans="1:6" s="566" customFormat="1" ht="12" customHeight="1" thickBot="1">
      <c r="A67" s="551" t="s">
        <v>387</v>
      </c>
      <c r="B67" s="545" t="s">
        <v>388</v>
      </c>
      <c r="C67" s="412">
        <v>0</v>
      </c>
      <c r="D67" s="412">
        <v>0</v>
      </c>
      <c r="E67" s="395">
        <v>0</v>
      </c>
      <c r="F67" s="684" t="s">
        <v>799</v>
      </c>
    </row>
    <row r="68" spans="1:6" s="566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408">
        <f>SUM(E69:E72)</f>
        <v>0</v>
      </c>
      <c r="F68" s="684" t="s">
        <v>800</v>
      </c>
    </row>
    <row r="69" spans="1:6" s="566" customFormat="1" ht="12" customHeight="1">
      <c r="A69" s="549" t="s">
        <v>108</v>
      </c>
      <c r="B69" s="419" t="s">
        <v>391</v>
      </c>
      <c r="C69" s="412">
        <v>0</v>
      </c>
      <c r="D69" s="412">
        <v>0</v>
      </c>
      <c r="E69" s="395">
        <v>0</v>
      </c>
      <c r="F69" s="684" t="s">
        <v>801</v>
      </c>
    </row>
    <row r="70" spans="1:6" s="566" customFormat="1" ht="12" customHeight="1">
      <c r="A70" s="550" t="s">
        <v>109</v>
      </c>
      <c r="B70" s="420" t="s">
        <v>392</v>
      </c>
      <c r="C70" s="412">
        <v>0</v>
      </c>
      <c r="D70" s="412">
        <v>0</v>
      </c>
      <c r="E70" s="395">
        <v>0</v>
      </c>
      <c r="F70" s="684" t="s">
        <v>802</v>
      </c>
    </row>
    <row r="71" spans="1:6" s="566" customFormat="1" ht="12" customHeight="1">
      <c r="A71" s="550" t="s">
        <v>393</v>
      </c>
      <c r="B71" s="420" t="s">
        <v>394</v>
      </c>
      <c r="C71" s="412">
        <v>0</v>
      </c>
      <c r="D71" s="412">
        <v>0</v>
      </c>
      <c r="E71" s="395">
        <v>0</v>
      </c>
      <c r="F71" s="684" t="s">
        <v>803</v>
      </c>
    </row>
    <row r="72" spans="1:6" s="566" customFormat="1" ht="12" customHeight="1" thickBot="1">
      <c r="A72" s="551" t="s">
        <v>395</v>
      </c>
      <c r="B72" s="421" t="s">
        <v>396</v>
      </c>
      <c r="C72" s="412">
        <v>0</v>
      </c>
      <c r="D72" s="412">
        <v>0</v>
      </c>
      <c r="E72" s="395">
        <v>0</v>
      </c>
      <c r="F72" s="684" t="s">
        <v>804</v>
      </c>
    </row>
    <row r="73" spans="1:6" s="566" customFormat="1" ht="12" customHeight="1" thickBot="1">
      <c r="A73" s="552" t="s">
        <v>397</v>
      </c>
      <c r="B73" s="398" t="s">
        <v>398</v>
      </c>
      <c r="C73" s="408">
        <f>SUM(C74:C75)</f>
        <v>180056979</v>
      </c>
      <c r="D73" s="408">
        <f>SUM(D74:D75)</f>
        <v>179906404</v>
      </c>
      <c r="E73" s="408">
        <f>SUM(E74:E75)</f>
        <v>179906404</v>
      </c>
      <c r="F73" s="684" t="s">
        <v>805</v>
      </c>
    </row>
    <row r="74" spans="1:6" s="566" customFormat="1" ht="12" customHeight="1">
      <c r="A74" s="549" t="s">
        <v>399</v>
      </c>
      <c r="B74" s="419" t="s">
        <v>400</v>
      </c>
      <c r="C74" s="412">
        <v>180056979</v>
      </c>
      <c r="D74" s="412">
        <v>179906404</v>
      </c>
      <c r="E74" s="395">
        <v>179906404</v>
      </c>
      <c r="F74" s="684" t="s">
        <v>806</v>
      </c>
    </row>
    <row r="75" spans="1:6" s="566" customFormat="1" ht="12" customHeight="1" thickBot="1">
      <c r="A75" s="551" t="s">
        <v>401</v>
      </c>
      <c r="B75" s="421" t="s">
        <v>402</v>
      </c>
      <c r="C75" s="412">
        <v>0</v>
      </c>
      <c r="D75" s="412">
        <v>0</v>
      </c>
      <c r="E75" s="395">
        <v>0</v>
      </c>
      <c r="F75" s="684" t="s">
        <v>807</v>
      </c>
    </row>
    <row r="76" spans="1:6" s="566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5119012</v>
      </c>
      <c r="E76" s="408">
        <f>SUM(E77:E79)</f>
        <v>5119012</v>
      </c>
      <c r="F76" s="684" t="s">
        <v>808</v>
      </c>
    </row>
    <row r="77" spans="1:6" s="566" customFormat="1" ht="12" customHeight="1">
      <c r="A77" s="549" t="s">
        <v>405</v>
      </c>
      <c r="B77" s="419" t="s">
        <v>406</v>
      </c>
      <c r="C77" s="412"/>
      <c r="D77" s="412">
        <v>5119012</v>
      </c>
      <c r="E77" s="395">
        <v>5119012</v>
      </c>
      <c r="F77" s="684" t="s">
        <v>809</v>
      </c>
    </row>
    <row r="78" spans="1:6" s="566" customFormat="1" ht="12" customHeight="1">
      <c r="A78" s="550" t="s">
        <v>407</v>
      </c>
      <c r="B78" s="420" t="s">
        <v>408</v>
      </c>
      <c r="C78" s="412">
        <v>0</v>
      </c>
      <c r="D78" s="412">
        <v>0</v>
      </c>
      <c r="E78" s="395">
        <v>0</v>
      </c>
      <c r="F78" s="684" t="s">
        <v>810</v>
      </c>
    </row>
    <row r="79" spans="1:6" s="566" customFormat="1" ht="12" customHeight="1" thickBot="1">
      <c r="A79" s="551" t="s">
        <v>409</v>
      </c>
      <c r="B79" s="421" t="s">
        <v>410</v>
      </c>
      <c r="C79" s="412">
        <v>0</v>
      </c>
      <c r="D79" s="412">
        <v>0</v>
      </c>
      <c r="E79" s="395">
        <v>0</v>
      </c>
      <c r="F79" s="684" t="s">
        <v>811</v>
      </c>
    </row>
    <row r="80" spans="1:6" s="566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408">
        <f>SUM(E81:E84)</f>
        <v>0</v>
      </c>
      <c r="F80" s="684" t="s">
        <v>812</v>
      </c>
    </row>
    <row r="81" spans="1:6" s="566" customFormat="1" ht="12" customHeight="1">
      <c r="A81" s="553" t="s">
        <v>413</v>
      </c>
      <c r="B81" s="419" t="s">
        <v>414</v>
      </c>
      <c r="C81" s="412">
        <v>0</v>
      </c>
      <c r="D81" s="412">
        <v>0</v>
      </c>
      <c r="E81" s="395">
        <v>0</v>
      </c>
      <c r="F81" s="684" t="s">
        <v>813</v>
      </c>
    </row>
    <row r="82" spans="1:6" s="566" customFormat="1" ht="12" customHeight="1">
      <c r="A82" s="554" t="s">
        <v>415</v>
      </c>
      <c r="B82" s="420" t="s">
        <v>416</v>
      </c>
      <c r="C82" s="412">
        <v>0</v>
      </c>
      <c r="D82" s="412">
        <v>0</v>
      </c>
      <c r="E82" s="395">
        <v>0</v>
      </c>
      <c r="F82" s="684" t="s">
        <v>814</v>
      </c>
    </row>
    <row r="83" spans="1:6" s="566" customFormat="1" ht="12" customHeight="1">
      <c r="A83" s="554" t="s">
        <v>417</v>
      </c>
      <c r="B83" s="420" t="s">
        <v>418</v>
      </c>
      <c r="C83" s="412">
        <v>0</v>
      </c>
      <c r="D83" s="412">
        <v>0</v>
      </c>
      <c r="E83" s="395">
        <v>0</v>
      </c>
      <c r="F83" s="684" t="s">
        <v>815</v>
      </c>
    </row>
    <row r="84" spans="1:6" s="566" customFormat="1" ht="12" customHeight="1" thickBot="1">
      <c r="A84" s="555" t="s">
        <v>419</v>
      </c>
      <c r="B84" s="421" t="s">
        <v>420</v>
      </c>
      <c r="C84" s="412">
        <v>0</v>
      </c>
      <c r="D84" s="412">
        <v>0</v>
      </c>
      <c r="E84" s="395">
        <v>0</v>
      </c>
      <c r="F84" s="684" t="s">
        <v>816</v>
      </c>
    </row>
    <row r="85" spans="1:6" s="566" customFormat="1" ht="12" customHeight="1" thickBot="1">
      <c r="A85" s="552" t="s">
        <v>421</v>
      </c>
      <c r="B85" s="398" t="s">
        <v>422</v>
      </c>
      <c r="C85" s="434">
        <v>0</v>
      </c>
      <c r="D85" s="434">
        <v>0</v>
      </c>
      <c r="E85" s="435">
        <v>0</v>
      </c>
      <c r="F85" s="684" t="s">
        <v>817</v>
      </c>
    </row>
    <row r="86" spans="1:6" s="566" customFormat="1" ht="12" customHeight="1" thickBot="1">
      <c r="A86" s="552" t="s">
        <v>423</v>
      </c>
      <c r="B86" s="546" t="s">
        <v>424</v>
      </c>
      <c r="C86" s="414">
        <f>C64+C68+C73+C76+C80+C85</f>
        <v>180056979</v>
      </c>
      <c r="D86" s="414">
        <f>D64+D68+D73+D76+D80+D85</f>
        <v>185025416</v>
      </c>
      <c r="E86" s="414">
        <f>E64+E68+E73+E76+E80+E85</f>
        <v>185025416</v>
      </c>
      <c r="F86" s="684" t="s">
        <v>818</v>
      </c>
    </row>
    <row r="87" spans="1:6" s="566" customFormat="1" ht="12" customHeight="1" thickBot="1">
      <c r="A87" s="556" t="s">
        <v>425</v>
      </c>
      <c r="B87" s="547" t="s">
        <v>562</v>
      </c>
      <c r="C87" s="414">
        <f>C63+C86</f>
        <v>417376221</v>
      </c>
      <c r="D87" s="414">
        <f>D63+D86</f>
        <v>500735000</v>
      </c>
      <c r="E87" s="414">
        <f>E63+E86</f>
        <v>495945448</v>
      </c>
      <c r="F87" s="414">
        <f>F63+F86</f>
        <v>135</v>
      </c>
    </row>
    <row r="88" spans="1:6" s="566" customFormat="1" ht="15" customHeight="1">
      <c r="A88" s="521"/>
      <c r="B88" s="522"/>
      <c r="C88" s="537"/>
      <c r="D88" s="537"/>
      <c r="E88" s="537"/>
      <c r="F88" s="685"/>
    </row>
    <row r="89" spans="1:5" ht="13.5" thickBot="1">
      <c r="A89" s="523"/>
      <c r="B89" s="524"/>
      <c r="C89" s="538"/>
      <c r="D89" s="538"/>
      <c r="E89" s="538"/>
    </row>
    <row r="90" spans="1:6" s="565" customFormat="1" ht="16.5" customHeight="1" thickBot="1">
      <c r="A90" s="797" t="s">
        <v>44</v>
      </c>
      <c r="B90" s="798"/>
      <c r="C90" s="798"/>
      <c r="D90" s="798"/>
      <c r="E90" s="799"/>
      <c r="F90" s="684"/>
    </row>
    <row r="91" spans="1:6" s="339" customFormat="1" ht="12" customHeight="1" thickBot="1">
      <c r="A91" s="544" t="s">
        <v>6</v>
      </c>
      <c r="B91" s="380" t="s">
        <v>433</v>
      </c>
      <c r="C91" s="528">
        <f>SUM(C92:C96)</f>
        <v>246537437</v>
      </c>
      <c r="D91" s="528">
        <f>SUM(D92:D96)</f>
        <v>273043184</v>
      </c>
      <c r="E91" s="528">
        <f>SUM(E92:E96)</f>
        <v>239226276</v>
      </c>
      <c r="F91" s="686" t="s">
        <v>740</v>
      </c>
    </row>
    <row r="92" spans="1:6" ht="12" customHeight="1">
      <c r="A92" s="557" t="s">
        <v>71</v>
      </c>
      <c r="B92" s="366" t="s">
        <v>36</v>
      </c>
      <c r="C92" s="529">
        <v>40379956</v>
      </c>
      <c r="D92" s="529">
        <v>50602237</v>
      </c>
      <c r="E92" s="529">
        <v>47862153</v>
      </c>
      <c r="F92" s="686" t="s">
        <v>741</v>
      </c>
    </row>
    <row r="93" spans="1:6" ht="12" customHeight="1">
      <c r="A93" s="550" t="s">
        <v>72</v>
      </c>
      <c r="B93" s="364" t="s">
        <v>133</v>
      </c>
      <c r="C93" s="530">
        <v>8803230</v>
      </c>
      <c r="D93" s="530">
        <v>11034997</v>
      </c>
      <c r="E93" s="530">
        <v>11034997</v>
      </c>
      <c r="F93" s="686" t="s">
        <v>742</v>
      </c>
    </row>
    <row r="94" spans="1:6" ht="12" customHeight="1">
      <c r="A94" s="550" t="s">
        <v>73</v>
      </c>
      <c r="B94" s="364" t="s">
        <v>100</v>
      </c>
      <c r="C94" s="532">
        <v>73487658</v>
      </c>
      <c r="D94" s="532">
        <v>77795774</v>
      </c>
      <c r="E94" s="532">
        <v>63311200</v>
      </c>
      <c r="F94" s="686" t="s">
        <v>743</v>
      </c>
    </row>
    <row r="95" spans="1:6" ht="12" customHeight="1">
      <c r="A95" s="550" t="s">
        <v>74</v>
      </c>
      <c r="B95" s="367" t="s">
        <v>134</v>
      </c>
      <c r="C95" s="532">
        <v>5460000</v>
      </c>
      <c r="D95" s="532">
        <v>7425420</v>
      </c>
      <c r="E95" s="532">
        <v>6784270</v>
      </c>
      <c r="F95" s="686" t="s">
        <v>744</v>
      </c>
    </row>
    <row r="96" spans="1:6" ht="12" customHeight="1">
      <c r="A96" s="550" t="s">
        <v>83</v>
      </c>
      <c r="B96" s="375" t="s">
        <v>135</v>
      </c>
      <c r="C96" s="532">
        <f>C101+C106</f>
        <v>118406593</v>
      </c>
      <c r="D96" s="532">
        <f>D101+D106+D97</f>
        <v>126184756</v>
      </c>
      <c r="E96" s="532">
        <f>E101+E106+E97</f>
        <v>110233656</v>
      </c>
      <c r="F96" s="686" t="s">
        <v>745</v>
      </c>
    </row>
    <row r="97" spans="1:6" ht="12" customHeight="1">
      <c r="A97" s="550" t="s">
        <v>75</v>
      </c>
      <c r="B97" s="364" t="s">
        <v>434</v>
      </c>
      <c r="C97" s="532"/>
      <c r="D97" s="532">
        <v>5145169</v>
      </c>
      <c r="E97" s="532">
        <v>5145169</v>
      </c>
      <c r="F97" s="686" t="s">
        <v>746</v>
      </c>
    </row>
    <row r="98" spans="1:6" ht="12" customHeight="1">
      <c r="A98" s="550" t="s">
        <v>76</v>
      </c>
      <c r="B98" s="387" t="s">
        <v>435</v>
      </c>
      <c r="C98" s="532"/>
      <c r="D98" s="532">
        <v>0</v>
      </c>
      <c r="E98" s="532">
        <v>0</v>
      </c>
      <c r="F98" s="686" t="s">
        <v>747</v>
      </c>
    </row>
    <row r="99" spans="1:6" ht="12" customHeight="1">
      <c r="A99" s="550" t="s">
        <v>84</v>
      </c>
      <c r="B99" s="388" t="s">
        <v>436</v>
      </c>
      <c r="C99" s="532"/>
      <c r="D99" s="532">
        <v>0</v>
      </c>
      <c r="E99" s="532">
        <v>0</v>
      </c>
      <c r="F99" s="686" t="s">
        <v>748</v>
      </c>
    </row>
    <row r="100" spans="1:6" ht="12" customHeight="1">
      <c r="A100" s="550" t="s">
        <v>85</v>
      </c>
      <c r="B100" s="388" t="s">
        <v>437</v>
      </c>
      <c r="C100" s="532"/>
      <c r="D100" s="532">
        <v>0</v>
      </c>
      <c r="E100" s="532">
        <v>0</v>
      </c>
      <c r="F100" s="686" t="s">
        <v>749</v>
      </c>
    </row>
    <row r="101" spans="1:6" ht="12" customHeight="1">
      <c r="A101" s="550" t="s">
        <v>86</v>
      </c>
      <c r="B101" s="387" t="s">
        <v>438</v>
      </c>
      <c r="C101" s="532">
        <v>114406593</v>
      </c>
      <c r="D101" s="532">
        <v>116839587</v>
      </c>
      <c r="E101" s="532">
        <v>100913687</v>
      </c>
      <c r="F101" s="686" t="s">
        <v>750</v>
      </c>
    </row>
    <row r="102" spans="1:6" ht="12" customHeight="1">
      <c r="A102" s="550" t="s">
        <v>87</v>
      </c>
      <c r="B102" s="387" t="s">
        <v>439</v>
      </c>
      <c r="C102" s="532"/>
      <c r="D102" s="532">
        <v>0</v>
      </c>
      <c r="E102" s="532">
        <v>0</v>
      </c>
      <c r="F102" s="686" t="s">
        <v>751</v>
      </c>
    </row>
    <row r="103" spans="1:6" ht="12" customHeight="1">
      <c r="A103" s="550" t="s">
        <v>89</v>
      </c>
      <c r="B103" s="388" t="s">
        <v>440</v>
      </c>
      <c r="C103" s="532"/>
      <c r="D103" s="532">
        <v>0</v>
      </c>
      <c r="E103" s="532">
        <v>0</v>
      </c>
      <c r="F103" s="686" t="s">
        <v>752</v>
      </c>
    </row>
    <row r="104" spans="1:6" ht="12" customHeight="1">
      <c r="A104" s="558" t="s">
        <v>136</v>
      </c>
      <c r="B104" s="389" t="s">
        <v>441</v>
      </c>
      <c r="C104" s="532"/>
      <c r="D104" s="532">
        <v>0</v>
      </c>
      <c r="E104" s="532">
        <v>0</v>
      </c>
      <c r="F104" s="686" t="s">
        <v>753</v>
      </c>
    </row>
    <row r="105" spans="1:6" ht="12" customHeight="1">
      <c r="A105" s="550" t="s">
        <v>442</v>
      </c>
      <c r="B105" s="389" t="s">
        <v>443</v>
      </c>
      <c r="C105" s="532"/>
      <c r="D105" s="532">
        <v>0</v>
      </c>
      <c r="E105" s="532">
        <v>0</v>
      </c>
      <c r="F105" s="686" t="s">
        <v>754</v>
      </c>
    </row>
    <row r="106" spans="1:6" s="339" customFormat="1" ht="12" customHeight="1" thickBot="1">
      <c r="A106" s="559" t="s">
        <v>444</v>
      </c>
      <c r="B106" s="390" t="s">
        <v>445</v>
      </c>
      <c r="C106" s="534">
        <v>4000000</v>
      </c>
      <c r="D106" s="534">
        <v>4200000</v>
      </c>
      <c r="E106" s="534">
        <v>4174800</v>
      </c>
      <c r="F106" s="686" t="s">
        <v>755</v>
      </c>
    </row>
    <row r="107" spans="1:6" ht="12" customHeight="1" thickBot="1">
      <c r="A107" s="381" t="s">
        <v>7</v>
      </c>
      <c r="B107" s="379" t="s">
        <v>446</v>
      </c>
      <c r="C107" s="402">
        <f>C108+C110+C112</f>
        <v>89275501</v>
      </c>
      <c r="D107" s="402">
        <f>D108+D110+D112</f>
        <v>122251788</v>
      </c>
      <c r="E107" s="402">
        <f>E108+E110+E112</f>
        <v>115548064</v>
      </c>
      <c r="F107" s="686" t="s">
        <v>756</v>
      </c>
    </row>
    <row r="108" spans="1:6" ht="12" customHeight="1">
      <c r="A108" s="549" t="s">
        <v>77</v>
      </c>
      <c r="B108" s="364" t="s">
        <v>157</v>
      </c>
      <c r="C108" s="531">
        <v>16101978</v>
      </c>
      <c r="D108" s="531">
        <v>24875294</v>
      </c>
      <c r="E108" s="531">
        <v>20871185</v>
      </c>
      <c r="F108" s="686" t="s">
        <v>757</v>
      </c>
    </row>
    <row r="109" spans="1:6" ht="12" customHeight="1">
      <c r="A109" s="549" t="s">
        <v>78</v>
      </c>
      <c r="B109" s="368" t="s">
        <v>447</v>
      </c>
      <c r="C109" s="531"/>
      <c r="D109" s="531"/>
      <c r="E109" s="531"/>
      <c r="F109" s="686" t="s">
        <v>758</v>
      </c>
    </row>
    <row r="110" spans="1:6" ht="12" customHeight="1">
      <c r="A110" s="549" t="s">
        <v>79</v>
      </c>
      <c r="B110" s="368" t="s">
        <v>137</v>
      </c>
      <c r="C110" s="530">
        <v>71673523</v>
      </c>
      <c r="D110" s="530">
        <v>95876494</v>
      </c>
      <c r="E110" s="530">
        <v>93876879</v>
      </c>
      <c r="F110" s="686" t="s">
        <v>759</v>
      </c>
    </row>
    <row r="111" spans="1:6" ht="12" customHeight="1">
      <c r="A111" s="549" t="s">
        <v>80</v>
      </c>
      <c r="B111" s="368" t="s">
        <v>448</v>
      </c>
      <c r="C111" s="392"/>
      <c r="D111" s="392"/>
      <c r="E111" s="392"/>
      <c r="F111" s="686" t="s">
        <v>760</v>
      </c>
    </row>
    <row r="112" spans="1:6" ht="12" customHeight="1">
      <c r="A112" s="549" t="s">
        <v>81</v>
      </c>
      <c r="B112" s="400" t="s">
        <v>160</v>
      </c>
      <c r="C112" s="392">
        <v>1500000</v>
      </c>
      <c r="D112" s="392">
        <v>1500000</v>
      </c>
      <c r="E112" s="392">
        <v>800000</v>
      </c>
      <c r="F112" s="392" t="str">
        <f>F120</f>
        <v>030</v>
      </c>
    </row>
    <row r="113" spans="1:6" ht="12" customHeight="1">
      <c r="A113" s="549" t="s">
        <v>88</v>
      </c>
      <c r="B113" s="399" t="s">
        <v>449</v>
      </c>
      <c r="C113" s="392">
        <v>0</v>
      </c>
      <c r="D113" s="392">
        <v>0</v>
      </c>
      <c r="E113" s="392">
        <v>0</v>
      </c>
      <c r="F113" s="686" t="s">
        <v>762</v>
      </c>
    </row>
    <row r="114" spans="1:6" ht="12" customHeight="1">
      <c r="A114" s="549" t="s">
        <v>90</v>
      </c>
      <c r="B114" s="415" t="s">
        <v>450</v>
      </c>
      <c r="C114" s="392">
        <v>0</v>
      </c>
      <c r="D114" s="392">
        <v>0</v>
      </c>
      <c r="E114" s="392">
        <v>0</v>
      </c>
      <c r="F114" s="686" t="s">
        <v>763</v>
      </c>
    </row>
    <row r="115" spans="1:6" ht="12" customHeight="1">
      <c r="A115" s="549" t="s">
        <v>138</v>
      </c>
      <c r="B115" s="388" t="s">
        <v>437</v>
      </c>
      <c r="C115" s="392">
        <v>0</v>
      </c>
      <c r="D115" s="392">
        <v>0</v>
      </c>
      <c r="E115" s="392">
        <v>0</v>
      </c>
      <c r="F115" s="686" t="s">
        <v>764</v>
      </c>
    </row>
    <row r="116" spans="1:6" ht="12" customHeight="1">
      <c r="A116" s="549" t="s">
        <v>139</v>
      </c>
      <c r="B116" s="388" t="s">
        <v>451</v>
      </c>
      <c r="C116" s="392">
        <v>0</v>
      </c>
      <c r="D116" s="392">
        <v>0</v>
      </c>
      <c r="E116" s="392">
        <v>0</v>
      </c>
      <c r="F116" s="686" t="s">
        <v>765</v>
      </c>
    </row>
    <row r="117" spans="1:6" ht="12" customHeight="1">
      <c r="A117" s="549" t="s">
        <v>140</v>
      </c>
      <c r="B117" s="388" t="s">
        <v>452</v>
      </c>
      <c r="C117" s="392">
        <v>0</v>
      </c>
      <c r="D117" s="392">
        <v>0</v>
      </c>
      <c r="E117" s="392">
        <v>0</v>
      </c>
      <c r="F117" s="686" t="s">
        <v>766</v>
      </c>
    </row>
    <row r="118" spans="1:6" ht="12" customHeight="1">
      <c r="A118" s="549" t="s">
        <v>453</v>
      </c>
      <c r="B118" s="388" t="s">
        <v>440</v>
      </c>
      <c r="C118" s="392">
        <v>0</v>
      </c>
      <c r="D118" s="392">
        <v>0</v>
      </c>
      <c r="E118" s="392">
        <v>0</v>
      </c>
      <c r="F118" s="686" t="s">
        <v>767</v>
      </c>
    </row>
    <row r="119" spans="1:6" ht="12" customHeight="1">
      <c r="A119" s="549" t="s">
        <v>454</v>
      </c>
      <c r="B119" s="388" t="s">
        <v>455</v>
      </c>
      <c r="C119" s="392">
        <v>0</v>
      </c>
      <c r="D119" s="392">
        <v>0</v>
      </c>
      <c r="E119" s="392">
        <v>0</v>
      </c>
      <c r="F119" s="686" t="s">
        <v>768</v>
      </c>
    </row>
    <row r="120" spans="1:6" ht="12" customHeight="1" thickBot="1">
      <c r="A120" s="558" t="s">
        <v>456</v>
      </c>
      <c r="B120" s="388" t="s">
        <v>457</v>
      </c>
      <c r="C120" s="394">
        <v>1500000</v>
      </c>
      <c r="D120" s="394">
        <v>1500000</v>
      </c>
      <c r="E120" s="394">
        <v>800000</v>
      </c>
      <c r="F120" s="686" t="s">
        <v>769</v>
      </c>
    </row>
    <row r="121" spans="1:6" ht="12" customHeight="1" thickBot="1">
      <c r="A121" s="381" t="s">
        <v>8</v>
      </c>
      <c r="B121" s="384" t="s">
        <v>458</v>
      </c>
      <c r="C121" s="402">
        <f>SUM(C122:C123)</f>
        <v>81563283</v>
      </c>
      <c r="D121" s="402">
        <f>SUM(D122:D123)</f>
        <v>100621538</v>
      </c>
      <c r="E121" s="402">
        <f>SUM(E122:E123)</f>
        <v>0</v>
      </c>
      <c r="F121" s="686" t="s">
        <v>770</v>
      </c>
    </row>
    <row r="122" spans="1:6" ht="12" customHeight="1">
      <c r="A122" s="549" t="s">
        <v>60</v>
      </c>
      <c r="B122" s="365" t="s">
        <v>46</v>
      </c>
      <c r="C122" s="531">
        <v>81563283</v>
      </c>
      <c r="D122" s="531">
        <v>100621538</v>
      </c>
      <c r="E122" s="531">
        <v>0</v>
      </c>
      <c r="F122" s="686" t="s">
        <v>771</v>
      </c>
    </row>
    <row r="123" spans="1:6" ht="12" customHeight="1" thickBot="1">
      <c r="A123" s="551" t="s">
        <v>61</v>
      </c>
      <c r="B123" s="368" t="s">
        <v>47</v>
      </c>
      <c r="C123" s="532">
        <v>0</v>
      </c>
      <c r="D123" s="532">
        <v>0</v>
      </c>
      <c r="E123" s="532">
        <v>0</v>
      </c>
      <c r="F123" s="686" t="s">
        <v>772</v>
      </c>
    </row>
    <row r="124" spans="1:6" ht="12" customHeight="1" thickBot="1">
      <c r="A124" s="381" t="s">
        <v>9</v>
      </c>
      <c r="B124" s="384" t="s">
        <v>459</v>
      </c>
      <c r="C124" s="402">
        <f>C91+C107+C121</f>
        <v>417376221</v>
      </c>
      <c r="D124" s="402">
        <f>D91+D107+D121</f>
        <v>495916510</v>
      </c>
      <c r="E124" s="402">
        <f>E91+E107+E121</f>
        <v>354774340</v>
      </c>
      <c r="F124" s="686" t="s">
        <v>773</v>
      </c>
    </row>
    <row r="125" spans="1:6" ht="12" customHeight="1" thickBot="1">
      <c r="A125" s="381" t="s">
        <v>10</v>
      </c>
      <c r="B125" s="384" t="s">
        <v>564</v>
      </c>
      <c r="C125" s="402">
        <f>SUM(C126:C128)</f>
        <v>0</v>
      </c>
      <c r="D125" s="402">
        <f>SUM(D126:D128)</f>
        <v>0</v>
      </c>
      <c r="E125" s="402">
        <f>SUM(E126:E128)</f>
        <v>0</v>
      </c>
      <c r="F125" s="686" t="s">
        <v>774</v>
      </c>
    </row>
    <row r="126" spans="1:6" ht="12" customHeight="1">
      <c r="A126" s="549" t="s">
        <v>64</v>
      </c>
      <c r="B126" s="365" t="s">
        <v>461</v>
      </c>
      <c r="C126" s="392">
        <v>0</v>
      </c>
      <c r="D126" s="392">
        <v>0</v>
      </c>
      <c r="E126" s="392">
        <v>0</v>
      </c>
      <c r="F126" s="686" t="s">
        <v>775</v>
      </c>
    </row>
    <row r="127" spans="1:6" ht="12" customHeight="1">
      <c r="A127" s="549" t="s">
        <v>65</v>
      </c>
      <c r="B127" s="365" t="s">
        <v>462</v>
      </c>
      <c r="C127" s="392">
        <v>0</v>
      </c>
      <c r="D127" s="392">
        <v>0</v>
      </c>
      <c r="E127" s="392">
        <v>0</v>
      </c>
      <c r="F127" s="686" t="s">
        <v>776</v>
      </c>
    </row>
    <row r="128" spans="1:6" ht="12" customHeight="1" thickBot="1">
      <c r="A128" s="558" t="s">
        <v>66</v>
      </c>
      <c r="B128" s="363" t="s">
        <v>463</v>
      </c>
      <c r="C128" s="392">
        <v>0</v>
      </c>
      <c r="D128" s="392">
        <v>0</v>
      </c>
      <c r="E128" s="392">
        <v>0</v>
      </c>
      <c r="F128" s="686" t="s">
        <v>777</v>
      </c>
    </row>
    <row r="129" spans="1:6" ht="12" customHeight="1" thickBot="1">
      <c r="A129" s="381" t="s">
        <v>11</v>
      </c>
      <c r="B129" s="384" t="s">
        <v>464</v>
      </c>
      <c r="C129" s="402">
        <f>SUM(C130:C133)</f>
        <v>0</v>
      </c>
      <c r="D129" s="402">
        <f>SUM(D130:D133)</f>
        <v>0</v>
      </c>
      <c r="E129" s="402">
        <f>SUM(E130:E133)</f>
        <v>0</v>
      </c>
      <c r="F129" s="686" t="s">
        <v>778</v>
      </c>
    </row>
    <row r="130" spans="1:6" ht="12" customHeight="1">
      <c r="A130" s="549" t="s">
        <v>67</v>
      </c>
      <c r="B130" s="365" t="s">
        <v>465</v>
      </c>
      <c r="C130" s="392">
        <v>0</v>
      </c>
      <c r="D130" s="392">
        <v>0</v>
      </c>
      <c r="E130" s="392">
        <v>0</v>
      </c>
      <c r="F130" s="686" t="s">
        <v>779</v>
      </c>
    </row>
    <row r="131" spans="1:6" ht="12" customHeight="1">
      <c r="A131" s="549" t="s">
        <v>68</v>
      </c>
      <c r="B131" s="365" t="s">
        <v>466</v>
      </c>
      <c r="C131" s="392">
        <v>0</v>
      </c>
      <c r="D131" s="392">
        <v>0</v>
      </c>
      <c r="E131" s="392">
        <v>0</v>
      </c>
      <c r="F131" s="686" t="s">
        <v>780</v>
      </c>
    </row>
    <row r="132" spans="1:6" ht="12" customHeight="1">
      <c r="A132" s="549" t="s">
        <v>361</v>
      </c>
      <c r="B132" s="365" t="s">
        <v>467</v>
      </c>
      <c r="C132" s="392">
        <v>0</v>
      </c>
      <c r="D132" s="392">
        <v>0</v>
      </c>
      <c r="E132" s="392">
        <v>0</v>
      </c>
      <c r="F132" s="686" t="s">
        <v>781</v>
      </c>
    </row>
    <row r="133" spans="1:6" s="339" customFormat="1" ht="12" customHeight="1" thickBot="1">
      <c r="A133" s="558" t="s">
        <v>363</v>
      </c>
      <c r="B133" s="363" t="s">
        <v>468</v>
      </c>
      <c r="C133" s="392">
        <v>0</v>
      </c>
      <c r="D133" s="392">
        <v>0</v>
      </c>
      <c r="E133" s="392">
        <v>0</v>
      </c>
      <c r="F133" s="686" t="s">
        <v>782</v>
      </c>
    </row>
    <row r="134" spans="1:11" ht="13.5" thickBot="1">
      <c r="A134" s="381" t="s">
        <v>12</v>
      </c>
      <c r="B134" s="384" t="s">
        <v>681</v>
      </c>
      <c r="C134" s="533">
        <f>SUM(C135:C139)</f>
        <v>0</v>
      </c>
      <c r="D134" s="533">
        <f>SUM(D135:D139)</f>
        <v>4818490</v>
      </c>
      <c r="E134" s="533">
        <f>SUM(E135:E139)</f>
        <v>4818490</v>
      </c>
      <c r="F134" s="686" t="s">
        <v>783</v>
      </c>
      <c r="K134" s="512"/>
    </row>
    <row r="135" spans="1:6" ht="12.75">
      <c r="A135" s="549" t="s">
        <v>69</v>
      </c>
      <c r="B135" s="365" t="s">
        <v>470</v>
      </c>
      <c r="C135" s="392">
        <v>0</v>
      </c>
      <c r="D135" s="392"/>
      <c r="E135" s="392"/>
      <c r="F135" s="686" t="s">
        <v>784</v>
      </c>
    </row>
    <row r="136" spans="1:6" ht="12" customHeight="1">
      <c r="A136" s="549" t="s">
        <v>70</v>
      </c>
      <c r="B136" s="365" t="s">
        <v>471</v>
      </c>
      <c r="C136" s="392">
        <v>0</v>
      </c>
      <c r="D136" s="392">
        <v>4818490</v>
      </c>
      <c r="E136" s="392">
        <v>4818490</v>
      </c>
      <c r="F136" s="686" t="s">
        <v>785</v>
      </c>
    </row>
    <row r="137" spans="1:6" ht="12" customHeight="1">
      <c r="A137" s="549" t="s">
        <v>370</v>
      </c>
      <c r="B137" s="365" t="s">
        <v>680</v>
      </c>
      <c r="C137" s="392"/>
      <c r="D137" s="392">
        <v>0</v>
      </c>
      <c r="E137" s="392">
        <v>0</v>
      </c>
      <c r="F137" s="686" t="s">
        <v>786</v>
      </c>
    </row>
    <row r="138" spans="1:6" s="339" customFormat="1" ht="12" customHeight="1">
      <c r="A138" s="549" t="s">
        <v>372</v>
      </c>
      <c r="B138" s="365" t="s">
        <v>472</v>
      </c>
      <c r="C138" s="392">
        <v>0</v>
      </c>
      <c r="D138" s="392">
        <v>0</v>
      </c>
      <c r="E138" s="392">
        <v>0</v>
      </c>
      <c r="F138" s="686" t="s">
        <v>787</v>
      </c>
    </row>
    <row r="139" spans="1:6" s="339" customFormat="1" ht="12" customHeight="1" thickBot="1">
      <c r="A139" s="558" t="s">
        <v>679</v>
      </c>
      <c r="B139" s="363" t="s">
        <v>473</v>
      </c>
      <c r="C139" s="392">
        <v>0</v>
      </c>
      <c r="D139" s="392">
        <v>0</v>
      </c>
      <c r="E139" s="392">
        <v>0</v>
      </c>
      <c r="F139" s="686" t="s">
        <v>788</v>
      </c>
    </row>
    <row r="140" spans="1:6" s="339" customFormat="1" ht="12" customHeight="1" thickBot="1">
      <c r="A140" s="381" t="s">
        <v>13</v>
      </c>
      <c r="B140" s="384" t="s">
        <v>565</v>
      </c>
      <c r="C140" s="535">
        <f>SUM(C141:C144)</f>
        <v>0</v>
      </c>
      <c r="D140" s="535">
        <f>SUM(D141:D144)</f>
        <v>0</v>
      </c>
      <c r="E140" s="535">
        <f>SUM(E141:E144)</f>
        <v>0</v>
      </c>
      <c r="F140" s="686" t="s">
        <v>789</v>
      </c>
    </row>
    <row r="141" spans="1:6" s="339" customFormat="1" ht="12" customHeight="1">
      <c r="A141" s="549" t="s">
        <v>131</v>
      </c>
      <c r="B141" s="365" t="s">
        <v>475</v>
      </c>
      <c r="C141" s="392">
        <v>0</v>
      </c>
      <c r="D141" s="392">
        <v>0</v>
      </c>
      <c r="E141" s="392">
        <v>0</v>
      </c>
      <c r="F141" s="686" t="s">
        <v>790</v>
      </c>
    </row>
    <row r="142" spans="1:6" s="339" customFormat="1" ht="12" customHeight="1">
      <c r="A142" s="549" t="s">
        <v>132</v>
      </c>
      <c r="B142" s="365" t="s">
        <v>476</v>
      </c>
      <c r="C142" s="392">
        <v>0</v>
      </c>
      <c r="D142" s="392">
        <v>0</v>
      </c>
      <c r="E142" s="392">
        <v>0</v>
      </c>
      <c r="F142" s="686" t="s">
        <v>791</v>
      </c>
    </row>
    <row r="143" spans="1:6" s="339" customFormat="1" ht="12" customHeight="1">
      <c r="A143" s="549" t="s">
        <v>159</v>
      </c>
      <c r="B143" s="365" t="s">
        <v>477</v>
      </c>
      <c r="C143" s="392">
        <v>0</v>
      </c>
      <c r="D143" s="392">
        <v>0</v>
      </c>
      <c r="E143" s="392">
        <v>0</v>
      </c>
      <c r="F143" s="686" t="s">
        <v>792</v>
      </c>
    </row>
    <row r="144" spans="1:6" ht="12.75" customHeight="1" thickBot="1">
      <c r="A144" s="549" t="s">
        <v>378</v>
      </c>
      <c r="B144" s="365" t="s">
        <v>478</v>
      </c>
      <c r="C144" s="392">
        <v>0</v>
      </c>
      <c r="D144" s="392">
        <v>0</v>
      </c>
      <c r="E144" s="392">
        <v>0</v>
      </c>
      <c r="F144" s="686" t="s">
        <v>793</v>
      </c>
    </row>
    <row r="145" spans="1:6" ht="12" customHeight="1" thickBot="1">
      <c r="A145" s="381" t="s">
        <v>14</v>
      </c>
      <c r="B145" s="384" t="s">
        <v>479</v>
      </c>
      <c r="C145" s="548">
        <f>C125+C129+C134+C140</f>
        <v>0</v>
      </c>
      <c r="D145" s="548">
        <f>D125+D129+D134+D140</f>
        <v>4818490</v>
      </c>
      <c r="E145" s="548">
        <f>E125+E129+E134+E140</f>
        <v>4818490</v>
      </c>
      <c r="F145" s="686" t="s">
        <v>794</v>
      </c>
    </row>
    <row r="146" spans="1:6" ht="15" customHeight="1" thickBot="1">
      <c r="A146" s="560" t="s">
        <v>15</v>
      </c>
      <c r="B146" s="404" t="s">
        <v>480</v>
      </c>
      <c r="C146" s="548">
        <f>C124+C145</f>
        <v>417376221</v>
      </c>
      <c r="D146" s="548">
        <f>D124+D145</f>
        <v>500735000</v>
      </c>
      <c r="E146" s="548">
        <f>E124+E145</f>
        <v>359592830</v>
      </c>
      <c r="F146" s="686" t="s">
        <v>795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5" t="s">
        <v>684</v>
      </c>
      <c r="B148" s="526"/>
      <c r="C148" s="113">
        <v>17</v>
      </c>
      <c r="D148" s="114">
        <v>17</v>
      </c>
      <c r="E148" s="111">
        <v>17</v>
      </c>
    </row>
    <row r="149" spans="1:5" ht="14.25" customHeight="1" thickBot="1">
      <c r="A149" s="525" t="s">
        <v>149</v>
      </c>
      <c r="B149" s="526"/>
      <c r="C149" s="113"/>
      <c r="D149" s="114"/>
      <c r="E149" s="111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540" customWidth="1"/>
    <col min="2" max="2" width="64.625" style="541" customWidth="1"/>
    <col min="3" max="5" width="17.00390625" style="542" customWidth="1"/>
    <col min="6" max="6" width="0" style="678" hidden="1" customWidth="1"/>
    <col min="7" max="16384" width="9.375" style="32" customWidth="1"/>
  </cols>
  <sheetData>
    <row r="1" spans="1:6" s="516" customFormat="1" ht="16.5" customHeight="1" thickBot="1">
      <c r="A1" s="515"/>
      <c r="B1" s="517"/>
      <c r="C1" s="562"/>
      <c r="D1" s="527"/>
      <c r="E1" s="657" t="str">
        <f>+CONCATENATE("6.3. melléklet a 6 /",LEFT(ÖSSZEFÜGGÉSEK!A4,4)+1,". (V.30.) önkormányzati rendelethez")</f>
        <v>6.3. melléklet a 6 /2018. (V.30.) önkormányzati rendelethez</v>
      </c>
      <c r="F1" s="681"/>
    </row>
    <row r="2" spans="1:6" s="563" customFormat="1" ht="15.75" customHeight="1">
      <c r="A2" s="543" t="s">
        <v>52</v>
      </c>
      <c r="B2" s="803" t="s">
        <v>154</v>
      </c>
      <c r="C2" s="804"/>
      <c r="D2" s="805"/>
      <c r="E2" s="536" t="s">
        <v>40</v>
      </c>
      <c r="F2" s="682"/>
    </row>
    <row r="3" spans="1:6" s="563" customFormat="1" ht="24.75" thickBot="1">
      <c r="A3" s="561" t="s">
        <v>560</v>
      </c>
      <c r="B3" s="800" t="s">
        <v>685</v>
      </c>
      <c r="C3" s="801"/>
      <c r="D3" s="802"/>
      <c r="E3" s="511" t="s">
        <v>49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65" customFormat="1" ht="12" customHeight="1" thickBot="1">
      <c r="A8" s="381" t="s">
        <v>6</v>
      </c>
      <c r="B8" s="377" t="s">
        <v>311</v>
      </c>
      <c r="C8" s="408">
        <f>SUM(C9:C14)</f>
        <v>0</v>
      </c>
      <c r="D8" s="408">
        <f>SUM(D9:D14)</f>
        <v>0</v>
      </c>
      <c r="E8" s="408">
        <f>SUM(E9:E14)</f>
        <v>0</v>
      </c>
      <c r="F8" s="684" t="s">
        <v>740</v>
      </c>
    </row>
    <row r="9" spans="1:6" s="539" customFormat="1" ht="12" customHeight="1">
      <c r="A9" s="549" t="s">
        <v>71</v>
      </c>
      <c r="B9" s="419" t="s">
        <v>312</v>
      </c>
      <c r="C9" s="410"/>
      <c r="D9" s="410">
        <v>0</v>
      </c>
      <c r="E9" s="393">
        <v>0</v>
      </c>
      <c r="F9" s="684" t="s">
        <v>741</v>
      </c>
    </row>
    <row r="10" spans="1:6" s="566" customFormat="1" ht="12" customHeight="1">
      <c r="A10" s="550" t="s">
        <v>72</v>
      </c>
      <c r="B10" s="420" t="s">
        <v>313</v>
      </c>
      <c r="C10" s="409"/>
      <c r="D10" s="409">
        <v>0</v>
      </c>
      <c r="E10" s="392">
        <v>0</v>
      </c>
      <c r="F10" s="684" t="s">
        <v>742</v>
      </c>
    </row>
    <row r="11" spans="1:6" s="566" customFormat="1" ht="12" customHeight="1">
      <c r="A11" s="550" t="s">
        <v>73</v>
      </c>
      <c r="B11" s="420" t="s">
        <v>314</v>
      </c>
      <c r="C11" s="409"/>
      <c r="D11" s="409">
        <v>0</v>
      </c>
      <c r="E11" s="392">
        <v>0</v>
      </c>
      <c r="F11" s="684" t="s">
        <v>743</v>
      </c>
    </row>
    <row r="12" spans="1:6" s="566" customFormat="1" ht="12" customHeight="1">
      <c r="A12" s="550" t="s">
        <v>74</v>
      </c>
      <c r="B12" s="420" t="s">
        <v>315</v>
      </c>
      <c r="C12" s="409"/>
      <c r="D12" s="409">
        <v>0</v>
      </c>
      <c r="E12" s="392">
        <v>0</v>
      </c>
      <c r="F12" s="684" t="s">
        <v>744</v>
      </c>
    </row>
    <row r="13" spans="1:6" s="566" customFormat="1" ht="12" customHeight="1">
      <c r="A13" s="550" t="s">
        <v>107</v>
      </c>
      <c r="B13" s="420" t="s">
        <v>316</v>
      </c>
      <c r="C13" s="409"/>
      <c r="D13" s="409">
        <v>0</v>
      </c>
      <c r="E13" s="392">
        <v>0</v>
      </c>
      <c r="F13" s="684" t="s">
        <v>745</v>
      </c>
    </row>
    <row r="14" spans="1:6" s="539" customFormat="1" ht="12" customHeight="1" thickBot="1">
      <c r="A14" s="551" t="s">
        <v>75</v>
      </c>
      <c r="B14" s="421" t="s">
        <v>317</v>
      </c>
      <c r="C14" s="411"/>
      <c r="D14" s="411">
        <v>0</v>
      </c>
      <c r="E14" s="394">
        <v>0</v>
      </c>
      <c r="F14" s="684" t="s">
        <v>746</v>
      </c>
    </row>
    <row r="15" spans="1:6" s="539" customFormat="1" ht="12" customHeight="1" thickBot="1">
      <c r="A15" s="381" t="s">
        <v>7</v>
      </c>
      <c r="B15" s="398" t="s">
        <v>318</v>
      </c>
      <c r="C15" s="408">
        <f>SUM(C16:C20)</f>
        <v>0</v>
      </c>
      <c r="D15" s="408">
        <f>SUM(D16:D20)</f>
        <v>0</v>
      </c>
      <c r="E15" s="408">
        <f>SUM(E16:E20)</f>
        <v>0</v>
      </c>
      <c r="F15" s="684" t="s">
        <v>747</v>
      </c>
    </row>
    <row r="16" spans="1:6" s="539" customFormat="1" ht="12" customHeight="1">
      <c r="A16" s="549" t="s">
        <v>77</v>
      </c>
      <c r="B16" s="419" t="s">
        <v>319</v>
      </c>
      <c r="C16" s="410">
        <v>0</v>
      </c>
      <c r="D16" s="410">
        <v>0</v>
      </c>
      <c r="E16" s="393">
        <v>0</v>
      </c>
      <c r="F16" s="684" t="s">
        <v>748</v>
      </c>
    </row>
    <row r="17" spans="1:6" s="539" customFormat="1" ht="12" customHeight="1">
      <c r="A17" s="550" t="s">
        <v>78</v>
      </c>
      <c r="B17" s="420" t="s">
        <v>320</v>
      </c>
      <c r="C17" s="409">
        <v>0</v>
      </c>
      <c r="D17" s="409">
        <v>0</v>
      </c>
      <c r="E17" s="392">
        <v>0</v>
      </c>
      <c r="F17" s="684" t="s">
        <v>749</v>
      </c>
    </row>
    <row r="18" spans="1:6" s="539" customFormat="1" ht="12" customHeight="1">
      <c r="A18" s="550" t="s">
        <v>79</v>
      </c>
      <c r="B18" s="420" t="s">
        <v>321</v>
      </c>
      <c r="C18" s="409">
        <v>0</v>
      </c>
      <c r="D18" s="409">
        <v>0</v>
      </c>
      <c r="E18" s="392">
        <v>0</v>
      </c>
      <c r="F18" s="684" t="s">
        <v>750</v>
      </c>
    </row>
    <row r="19" spans="1:6" s="539" customFormat="1" ht="12" customHeight="1">
      <c r="A19" s="550" t="s">
        <v>80</v>
      </c>
      <c r="B19" s="420" t="s">
        <v>322</v>
      </c>
      <c r="C19" s="409">
        <v>0</v>
      </c>
      <c r="D19" s="409">
        <v>0</v>
      </c>
      <c r="E19" s="392">
        <v>0</v>
      </c>
      <c r="F19" s="684" t="s">
        <v>751</v>
      </c>
    </row>
    <row r="20" spans="1:6" s="539" customFormat="1" ht="12" customHeight="1">
      <c r="A20" s="550" t="s">
        <v>81</v>
      </c>
      <c r="B20" s="420" t="s">
        <v>323</v>
      </c>
      <c r="C20" s="409"/>
      <c r="D20" s="409">
        <v>0</v>
      </c>
      <c r="E20" s="392">
        <v>0</v>
      </c>
      <c r="F20" s="684" t="s">
        <v>752</v>
      </c>
    </row>
    <row r="21" spans="1:6" s="566" customFormat="1" ht="12" customHeight="1" thickBot="1">
      <c r="A21" s="551" t="s">
        <v>88</v>
      </c>
      <c r="B21" s="421" t="s">
        <v>324</v>
      </c>
      <c r="C21" s="411">
        <v>0</v>
      </c>
      <c r="D21" s="411">
        <v>0</v>
      </c>
      <c r="E21" s="394">
        <v>0</v>
      </c>
      <c r="F21" s="684" t="s">
        <v>753</v>
      </c>
    </row>
    <row r="22" spans="1:6" s="566" customFormat="1" ht="12" customHeight="1" thickBot="1">
      <c r="A22" s="381" t="s">
        <v>8</v>
      </c>
      <c r="B22" s="377" t="s">
        <v>325</v>
      </c>
      <c r="C22" s="408">
        <f>SUM(C23:C27)</f>
        <v>0</v>
      </c>
      <c r="D22" s="408">
        <f>SUM(D23:D27)</f>
        <v>0</v>
      </c>
      <c r="E22" s="408">
        <f>SUM(E23:E27)</f>
        <v>0</v>
      </c>
      <c r="F22" s="684" t="s">
        <v>754</v>
      </c>
    </row>
    <row r="23" spans="1:6" s="566" customFormat="1" ht="12" customHeight="1">
      <c r="A23" s="549" t="s">
        <v>60</v>
      </c>
      <c r="B23" s="419" t="s">
        <v>326</v>
      </c>
      <c r="C23" s="410"/>
      <c r="D23" s="410">
        <v>0</v>
      </c>
      <c r="E23" s="393">
        <v>0</v>
      </c>
      <c r="F23" s="684" t="s">
        <v>755</v>
      </c>
    </row>
    <row r="24" spans="1:6" s="539" customFormat="1" ht="12" customHeight="1">
      <c r="A24" s="550" t="s">
        <v>61</v>
      </c>
      <c r="B24" s="420" t="s">
        <v>327</v>
      </c>
      <c r="C24" s="409">
        <v>0</v>
      </c>
      <c r="D24" s="409">
        <v>0</v>
      </c>
      <c r="E24" s="392">
        <v>0</v>
      </c>
      <c r="F24" s="684" t="s">
        <v>756</v>
      </c>
    </row>
    <row r="25" spans="1:6" s="566" customFormat="1" ht="12" customHeight="1">
      <c r="A25" s="550" t="s">
        <v>62</v>
      </c>
      <c r="B25" s="420" t="s">
        <v>328</v>
      </c>
      <c r="C25" s="409">
        <v>0</v>
      </c>
      <c r="D25" s="409">
        <v>0</v>
      </c>
      <c r="E25" s="392">
        <v>0</v>
      </c>
      <c r="F25" s="684" t="s">
        <v>757</v>
      </c>
    </row>
    <row r="26" spans="1:6" s="566" customFormat="1" ht="12" customHeight="1">
      <c r="A26" s="550" t="s">
        <v>63</v>
      </c>
      <c r="B26" s="420" t="s">
        <v>329</v>
      </c>
      <c r="C26" s="409">
        <v>0</v>
      </c>
      <c r="D26" s="409">
        <v>0</v>
      </c>
      <c r="E26" s="392">
        <v>0</v>
      </c>
      <c r="F26" s="684" t="s">
        <v>758</v>
      </c>
    </row>
    <row r="27" spans="1:6" s="566" customFormat="1" ht="12" customHeight="1">
      <c r="A27" s="550" t="s">
        <v>121</v>
      </c>
      <c r="B27" s="420" t="s">
        <v>330</v>
      </c>
      <c r="C27" s="409"/>
      <c r="D27" s="409">
        <v>0</v>
      </c>
      <c r="E27" s="392">
        <v>0</v>
      </c>
      <c r="F27" s="684" t="s">
        <v>759</v>
      </c>
    </row>
    <row r="28" spans="1:6" s="566" customFormat="1" ht="12" customHeight="1" thickBot="1">
      <c r="A28" s="551" t="s">
        <v>122</v>
      </c>
      <c r="B28" s="421" t="s">
        <v>331</v>
      </c>
      <c r="C28" s="411">
        <v>0</v>
      </c>
      <c r="D28" s="411">
        <v>0</v>
      </c>
      <c r="E28" s="394">
        <v>0</v>
      </c>
      <c r="F28" s="684" t="s">
        <v>760</v>
      </c>
    </row>
    <row r="29" spans="1:6" s="566" customFormat="1" ht="12" customHeight="1" thickBot="1">
      <c r="A29" s="381" t="s">
        <v>123</v>
      </c>
      <c r="B29" s="377" t="s">
        <v>332</v>
      </c>
      <c r="C29" s="414">
        <f>C30+C33+C34+C35</f>
        <v>0</v>
      </c>
      <c r="D29" s="414">
        <f>D30+D33+D34+D35</f>
        <v>0</v>
      </c>
      <c r="E29" s="414">
        <f>E30+E33+E34+E35</f>
        <v>0</v>
      </c>
      <c r="F29" s="684" t="s">
        <v>761</v>
      </c>
    </row>
    <row r="30" spans="1:6" s="566" customFormat="1" ht="12" customHeight="1">
      <c r="A30" s="549" t="s">
        <v>333</v>
      </c>
      <c r="B30" s="419" t="s">
        <v>334</v>
      </c>
      <c r="C30" s="428"/>
      <c r="D30" s="428">
        <f>D31+D32</f>
        <v>0</v>
      </c>
      <c r="E30" s="428">
        <f>E31+E32</f>
        <v>0</v>
      </c>
      <c r="F30" s="684" t="s">
        <v>762</v>
      </c>
    </row>
    <row r="31" spans="1:6" s="566" customFormat="1" ht="12" customHeight="1">
      <c r="A31" s="550" t="s">
        <v>335</v>
      </c>
      <c r="B31" s="420" t="s">
        <v>336</v>
      </c>
      <c r="C31" s="409"/>
      <c r="D31" s="409">
        <v>0</v>
      </c>
      <c r="E31" s="392">
        <v>0</v>
      </c>
      <c r="F31" s="684" t="s">
        <v>763</v>
      </c>
    </row>
    <row r="32" spans="1:6" s="566" customFormat="1" ht="12" customHeight="1">
      <c r="A32" s="550" t="s">
        <v>337</v>
      </c>
      <c r="B32" s="420" t="s">
        <v>338</v>
      </c>
      <c r="C32" s="409"/>
      <c r="D32" s="409">
        <v>0</v>
      </c>
      <c r="E32" s="392">
        <v>0</v>
      </c>
      <c r="F32" s="684" t="s">
        <v>764</v>
      </c>
    </row>
    <row r="33" spans="1:6" s="566" customFormat="1" ht="12" customHeight="1">
      <c r="A33" s="550" t="s">
        <v>339</v>
      </c>
      <c r="B33" s="420" t="s">
        <v>340</v>
      </c>
      <c r="C33" s="409"/>
      <c r="D33" s="409">
        <v>0</v>
      </c>
      <c r="E33" s="392">
        <v>0</v>
      </c>
      <c r="F33" s="684" t="s">
        <v>765</v>
      </c>
    </row>
    <row r="34" spans="1:6" s="566" customFormat="1" ht="12" customHeight="1">
      <c r="A34" s="550" t="s">
        <v>341</v>
      </c>
      <c r="B34" s="420" t="s">
        <v>342</v>
      </c>
      <c r="C34" s="409"/>
      <c r="D34" s="409">
        <v>0</v>
      </c>
      <c r="E34" s="392"/>
      <c r="F34" s="684" t="s">
        <v>766</v>
      </c>
    </row>
    <row r="35" spans="1:6" s="566" customFormat="1" ht="12" customHeight="1" thickBot="1">
      <c r="A35" s="551" t="s">
        <v>343</v>
      </c>
      <c r="B35" s="421" t="s">
        <v>344</v>
      </c>
      <c r="C35" s="411"/>
      <c r="D35" s="411">
        <v>0</v>
      </c>
      <c r="E35" s="394">
        <v>0</v>
      </c>
      <c r="F35" s="684" t="s">
        <v>767</v>
      </c>
    </row>
    <row r="36" spans="1:6" s="566" customFormat="1" ht="12" customHeight="1" thickBot="1">
      <c r="A36" s="381" t="s">
        <v>10</v>
      </c>
      <c r="B36" s="377" t="s">
        <v>345</v>
      </c>
      <c r="C36" s="408">
        <f>SUM(C37:C46)</f>
        <v>0</v>
      </c>
      <c r="D36" s="408">
        <f>SUM(D37:D46)</f>
        <v>0</v>
      </c>
      <c r="E36" s="408">
        <f>SUM(E37:E46)</f>
        <v>0</v>
      </c>
      <c r="F36" s="684" t="s">
        <v>768</v>
      </c>
    </row>
    <row r="37" spans="1:6" s="566" customFormat="1" ht="12" customHeight="1">
      <c r="A37" s="549" t="s">
        <v>64</v>
      </c>
      <c r="B37" s="419" t="s">
        <v>346</v>
      </c>
      <c r="C37" s="410">
        <v>0</v>
      </c>
      <c r="D37" s="410">
        <v>0</v>
      </c>
      <c r="E37" s="393">
        <v>0</v>
      </c>
      <c r="F37" s="684" t="s">
        <v>769</v>
      </c>
    </row>
    <row r="38" spans="1:6" s="566" customFormat="1" ht="12" customHeight="1">
      <c r="A38" s="550" t="s">
        <v>65</v>
      </c>
      <c r="B38" s="420" t="s">
        <v>347</v>
      </c>
      <c r="C38" s="409"/>
      <c r="D38" s="409">
        <v>0</v>
      </c>
      <c r="E38" s="392">
        <v>0</v>
      </c>
      <c r="F38" s="684" t="s">
        <v>770</v>
      </c>
    </row>
    <row r="39" spans="1:6" s="566" customFormat="1" ht="12" customHeight="1">
      <c r="A39" s="550" t="s">
        <v>66</v>
      </c>
      <c r="B39" s="420" t="s">
        <v>348</v>
      </c>
      <c r="C39" s="409"/>
      <c r="D39" s="409">
        <v>0</v>
      </c>
      <c r="E39" s="392">
        <v>0</v>
      </c>
      <c r="F39" s="684" t="s">
        <v>771</v>
      </c>
    </row>
    <row r="40" spans="1:6" s="566" customFormat="1" ht="12" customHeight="1">
      <c r="A40" s="550" t="s">
        <v>125</v>
      </c>
      <c r="B40" s="420" t="s">
        <v>349</v>
      </c>
      <c r="C40" s="409"/>
      <c r="D40" s="409">
        <v>0</v>
      </c>
      <c r="E40" s="392">
        <v>0</v>
      </c>
      <c r="F40" s="684" t="s">
        <v>772</v>
      </c>
    </row>
    <row r="41" spans="1:6" s="566" customFormat="1" ht="12" customHeight="1">
      <c r="A41" s="550" t="s">
        <v>126</v>
      </c>
      <c r="B41" s="420" t="s">
        <v>350</v>
      </c>
      <c r="C41" s="409"/>
      <c r="D41" s="409">
        <v>0</v>
      </c>
      <c r="E41" s="392">
        <v>0</v>
      </c>
      <c r="F41" s="684" t="s">
        <v>773</v>
      </c>
    </row>
    <row r="42" spans="1:6" s="566" customFormat="1" ht="12" customHeight="1">
      <c r="A42" s="550" t="s">
        <v>127</v>
      </c>
      <c r="B42" s="420" t="s">
        <v>351</v>
      </c>
      <c r="C42" s="409"/>
      <c r="D42" s="409">
        <v>0</v>
      </c>
      <c r="E42" s="392">
        <v>0</v>
      </c>
      <c r="F42" s="684" t="s">
        <v>774</v>
      </c>
    </row>
    <row r="43" spans="1:6" s="566" customFormat="1" ht="12" customHeight="1">
      <c r="A43" s="550" t="s">
        <v>128</v>
      </c>
      <c r="B43" s="420" t="s">
        <v>352</v>
      </c>
      <c r="C43" s="409"/>
      <c r="D43" s="409">
        <v>0</v>
      </c>
      <c r="E43" s="392">
        <v>0</v>
      </c>
      <c r="F43" s="684" t="s">
        <v>775</v>
      </c>
    </row>
    <row r="44" spans="1:6" s="566" customFormat="1" ht="12" customHeight="1">
      <c r="A44" s="550" t="s">
        <v>129</v>
      </c>
      <c r="B44" s="420" t="s">
        <v>353</v>
      </c>
      <c r="C44" s="409"/>
      <c r="D44" s="409">
        <v>0</v>
      </c>
      <c r="E44" s="392">
        <v>0</v>
      </c>
      <c r="F44" s="684" t="s">
        <v>776</v>
      </c>
    </row>
    <row r="45" spans="1:6" s="566" customFormat="1" ht="12" customHeight="1">
      <c r="A45" s="550" t="s">
        <v>354</v>
      </c>
      <c r="B45" s="420" t="s">
        <v>355</v>
      </c>
      <c r="C45" s="412"/>
      <c r="D45" s="412">
        <v>0</v>
      </c>
      <c r="E45" s="395">
        <v>0</v>
      </c>
      <c r="F45" s="684" t="s">
        <v>777</v>
      </c>
    </row>
    <row r="46" spans="1:6" s="539" customFormat="1" ht="12" customHeight="1" thickBot="1">
      <c r="A46" s="551" t="s">
        <v>356</v>
      </c>
      <c r="B46" s="421" t="s">
        <v>357</v>
      </c>
      <c r="C46" s="413"/>
      <c r="D46" s="413">
        <v>0</v>
      </c>
      <c r="E46" s="396">
        <v>0</v>
      </c>
      <c r="F46" s="684" t="s">
        <v>778</v>
      </c>
    </row>
    <row r="47" spans="1:6" s="566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0</v>
      </c>
      <c r="E47" s="408">
        <f>SUM(E48:E52)</f>
        <v>0</v>
      </c>
      <c r="F47" s="684" t="s">
        <v>779</v>
      </c>
    </row>
    <row r="48" spans="1:6" s="566" customFormat="1" ht="12" customHeight="1">
      <c r="A48" s="549" t="s">
        <v>67</v>
      </c>
      <c r="B48" s="419" t="s">
        <v>359</v>
      </c>
      <c r="C48" s="430">
        <v>0</v>
      </c>
      <c r="D48" s="430">
        <v>0</v>
      </c>
      <c r="E48" s="397">
        <v>0</v>
      </c>
      <c r="F48" s="684" t="s">
        <v>780</v>
      </c>
    </row>
    <row r="49" spans="1:6" s="566" customFormat="1" ht="12" customHeight="1">
      <c r="A49" s="550" t="s">
        <v>68</v>
      </c>
      <c r="B49" s="420" t="s">
        <v>360</v>
      </c>
      <c r="C49" s="412">
        <v>0</v>
      </c>
      <c r="D49" s="412">
        <v>0</v>
      </c>
      <c r="E49" s="395">
        <v>0</v>
      </c>
      <c r="F49" s="684" t="s">
        <v>781</v>
      </c>
    </row>
    <row r="50" spans="1:6" s="566" customFormat="1" ht="12" customHeight="1">
      <c r="A50" s="550" t="s">
        <v>361</v>
      </c>
      <c r="B50" s="420" t="s">
        <v>362</v>
      </c>
      <c r="C50" s="412"/>
      <c r="D50" s="412">
        <v>0</v>
      </c>
      <c r="E50" s="395">
        <v>0</v>
      </c>
      <c r="F50" s="684" t="s">
        <v>782</v>
      </c>
    </row>
    <row r="51" spans="1:6" s="566" customFormat="1" ht="12" customHeight="1">
      <c r="A51" s="550" t="s">
        <v>363</v>
      </c>
      <c r="B51" s="420" t="s">
        <v>364</v>
      </c>
      <c r="C51" s="412">
        <v>0</v>
      </c>
      <c r="D51" s="412">
        <v>0</v>
      </c>
      <c r="E51" s="395">
        <v>0</v>
      </c>
      <c r="F51" s="684" t="s">
        <v>783</v>
      </c>
    </row>
    <row r="52" spans="1:6" s="566" customFormat="1" ht="12" customHeight="1" thickBot="1">
      <c r="A52" s="551" t="s">
        <v>365</v>
      </c>
      <c r="B52" s="421" t="s">
        <v>366</v>
      </c>
      <c r="C52" s="413">
        <v>0</v>
      </c>
      <c r="D52" s="413">
        <v>0</v>
      </c>
      <c r="E52" s="396">
        <v>0</v>
      </c>
      <c r="F52" s="684" t="s">
        <v>784</v>
      </c>
    </row>
    <row r="53" spans="1:6" s="566" customFormat="1" ht="12" customHeight="1" thickBot="1">
      <c r="A53" s="381" t="s">
        <v>130</v>
      </c>
      <c r="B53" s="377" t="s">
        <v>367</v>
      </c>
      <c r="C53" s="408">
        <f>SUM(C54:C56)</f>
        <v>0</v>
      </c>
      <c r="D53" s="408">
        <f>SUM(D54:D56)</f>
        <v>0</v>
      </c>
      <c r="E53" s="408">
        <f>SUM(E54:E56)</f>
        <v>0</v>
      </c>
      <c r="F53" s="684" t="s">
        <v>785</v>
      </c>
    </row>
    <row r="54" spans="1:6" s="539" customFormat="1" ht="12" customHeight="1">
      <c r="A54" s="549" t="s">
        <v>69</v>
      </c>
      <c r="B54" s="419" t="s">
        <v>368</v>
      </c>
      <c r="C54" s="410">
        <v>0</v>
      </c>
      <c r="D54" s="410">
        <v>0</v>
      </c>
      <c r="E54" s="393">
        <v>0</v>
      </c>
      <c r="F54" s="684" t="s">
        <v>786</v>
      </c>
    </row>
    <row r="55" spans="1:6" s="539" customFormat="1" ht="12" customHeight="1">
      <c r="A55" s="550" t="s">
        <v>70</v>
      </c>
      <c r="B55" s="420" t="s">
        <v>369</v>
      </c>
      <c r="C55" s="409">
        <v>0</v>
      </c>
      <c r="D55" s="409">
        <v>0</v>
      </c>
      <c r="E55" s="392">
        <v>0</v>
      </c>
      <c r="F55" s="684" t="s">
        <v>787</v>
      </c>
    </row>
    <row r="56" spans="1:6" s="539" customFormat="1" ht="12" customHeight="1">
      <c r="A56" s="550" t="s">
        <v>370</v>
      </c>
      <c r="B56" s="420" t="s">
        <v>371</v>
      </c>
      <c r="C56" s="409"/>
      <c r="D56" s="409">
        <v>0</v>
      </c>
      <c r="E56" s="392">
        <v>0</v>
      </c>
      <c r="F56" s="684" t="s">
        <v>788</v>
      </c>
    </row>
    <row r="57" spans="1:6" s="539" customFormat="1" ht="12" customHeight="1" thickBot="1">
      <c r="A57" s="551" t="s">
        <v>372</v>
      </c>
      <c r="B57" s="421" t="s">
        <v>373</v>
      </c>
      <c r="C57" s="411">
        <v>0</v>
      </c>
      <c r="D57" s="411">
        <v>0</v>
      </c>
      <c r="E57" s="394">
        <v>0</v>
      </c>
      <c r="F57" s="684" t="s">
        <v>789</v>
      </c>
    </row>
    <row r="58" spans="1:6" s="566" customFormat="1" ht="12" customHeight="1" thickBot="1">
      <c r="A58" s="381" t="s">
        <v>13</v>
      </c>
      <c r="B58" s="398" t="s">
        <v>374</v>
      </c>
      <c r="C58" s="408">
        <f>SUM(C59:C61)</f>
        <v>0</v>
      </c>
      <c r="D58" s="408">
        <f>SUM(D59:D61)</f>
        <v>0</v>
      </c>
      <c r="E58" s="408">
        <f>SUM(E59:E61)</f>
        <v>0</v>
      </c>
      <c r="F58" s="684" t="s">
        <v>790</v>
      </c>
    </row>
    <row r="59" spans="1:6" s="566" customFormat="1" ht="12" customHeight="1">
      <c r="A59" s="549" t="s">
        <v>131</v>
      </c>
      <c r="B59" s="419" t="s">
        <v>375</v>
      </c>
      <c r="C59" s="412">
        <v>0</v>
      </c>
      <c r="D59" s="412">
        <v>0</v>
      </c>
      <c r="E59" s="395">
        <v>0</v>
      </c>
      <c r="F59" s="684" t="s">
        <v>791</v>
      </c>
    </row>
    <row r="60" spans="1:6" s="566" customFormat="1" ht="12" customHeight="1">
      <c r="A60" s="550" t="s">
        <v>132</v>
      </c>
      <c r="B60" s="420" t="s">
        <v>563</v>
      </c>
      <c r="C60" s="412"/>
      <c r="D60" s="412">
        <v>0</v>
      </c>
      <c r="E60" s="395">
        <v>0</v>
      </c>
      <c r="F60" s="684" t="s">
        <v>792</v>
      </c>
    </row>
    <row r="61" spans="1:6" s="566" customFormat="1" ht="12" customHeight="1">
      <c r="A61" s="550" t="s">
        <v>159</v>
      </c>
      <c r="B61" s="420" t="s">
        <v>377</v>
      </c>
      <c r="C61" s="412">
        <v>0</v>
      </c>
      <c r="D61" s="412">
        <v>0</v>
      </c>
      <c r="E61" s="395">
        <v>0</v>
      </c>
      <c r="F61" s="684" t="s">
        <v>793</v>
      </c>
    </row>
    <row r="62" spans="1:6" s="566" customFormat="1" ht="12" customHeight="1" thickBot="1">
      <c r="A62" s="551" t="s">
        <v>378</v>
      </c>
      <c r="B62" s="421" t="s">
        <v>379</v>
      </c>
      <c r="C62" s="412">
        <v>0</v>
      </c>
      <c r="D62" s="412">
        <v>0</v>
      </c>
      <c r="E62" s="395">
        <v>0</v>
      </c>
      <c r="F62" s="684" t="s">
        <v>794</v>
      </c>
    </row>
    <row r="63" spans="1:6" s="566" customFormat="1" ht="12" customHeight="1" thickBot="1">
      <c r="A63" s="381" t="s">
        <v>14</v>
      </c>
      <c r="B63" s="377" t="s">
        <v>380</v>
      </c>
      <c r="C63" s="414">
        <f>C8+C15+C22+C29+C36+C47+C53+C58</f>
        <v>0</v>
      </c>
      <c r="D63" s="414">
        <f>D8+D15+D22+D29+D36+D47+D53+D58</f>
        <v>0</v>
      </c>
      <c r="E63" s="414">
        <f>E8+E15+E22+E29+E36+E47+E53+E58</f>
        <v>0</v>
      </c>
      <c r="F63" s="684" t="s">
        <v>795</v>
      </c>
    </row>
    <row r="64" spans="1:6" s="566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408">
        <f>SUM(E65:E67)</f>
        <v>0</v>
      </c>
      <c r="F64" s="684" t="s">
        <v>796</v>
      </c>
    </row>
    <row r="65" spans="1:6" s="566" customFormat="1" ht="12" customHeight="1">
      <c r="A65" s="549" t="s">
        <v>383</v>
      </c>
      <c r="B65" s="419" t="s">
        <v>384</v>
      </c>
      <c r="C65" s="412">
        <v>0</v>
      </c>
      <c r="D65" s="412">
        <v>0</v>
      </c>
      <c r="E65" s="395">
        <v>0</v>
      </c>
      <c r="F65" s="684" t="s">
        <v>797</v>
      </c>
    </row>
    <row r="66" spans="1:6" s="566" customFormat="1" ht="12" customHeight="1">
      <c r="A66" s="550" t="s">
        <v>385</v>
      </c>
      <c r="B66" s="420" t="s">
        <v>386</v>
      </c>
      <c r="C66" s="412">
        <v>0</v>
      </c>
      <c r="D66" s="412">
        <v>0</v>
      </c>
      <c r="E66" s="395">
        <v>0</v>
      </c>
      <c r="F66" s="684" t="s">
        <v>798</v>
      </c>
    </row>
    <row r="67" spans="1:6" s="566" customFormat="1" ht="12" customHeight="1" thickBot="1">
      <c r="A67" s="551" t="s">
        <v>387</v>
      </c>
      <c r="B67" s="545" t="s">
        <v>388</v>
      </c>
      <c r="C67" s="412">
        <v>0</v>
      </c>
      <c r="D67" s="412">
        <v>0</v>
      </c>
      <c r="E67" s="395">
        <v>0</v>
      </c>
      <c r="F67" s="684" t="s">
        <v>799</v>
      </c>
    </row>
    <row r="68" spans="1:6" s="566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408">
        <f>SUM(E69:E72)</f>
        <v>0</v>
      </c>
      <c r="F68" s="684" t="s">
        <v>800</v>
      </c>
    </row>
    <row r="69" spans="1:6" s="566" customFormat="1" ht="12" customHeight="1">
      <c r="A69" s="549" t="s">
        <v>108</v>
      </c>
      <c r="B69" s="419" t="s">
        <v>391</v>
      </c>
      <c r="C69" s="412">
        <v>0</v>
      </c>
      <c r="D69" s="412">
        <v>0</v>
      </c>
      <c r="E69" s="395">
        <v>0</v>
      </c>
      <c r="F69" s="684" t="s">
        <v>801</v>
      </c>
    </row>
    <row r="70" spans="1:6" s="566" customFormat="1" ht="12" customHeight="1">
      <c r="A70" s="550" t="s">
        <v>109</v>
      </c>
      <c r="B70" s="420" t="s">
        <v>392</v>
      </c>
      <c r="C70" s="412">
        <v>0</v>
      </c>
      <c r="D70" s="412">
        <v>0</v>
      </c>
      <c r="E70" s="395">
        <v>0</v>
      </c>
      <c r="F70" s="684" t="s">
        <v>802</v>
      </c>
    </row>
    <row r="71" spans="1:6" s="566" customFormat="1" ht="12" customHeight="1">
      <c r="A71" s="550" t="s">
        <v>393</v>
      </c>
      <c r="B71" s="420" t="s">
        <v>394</v>
      </c>
      <c r="C71" s="412">
        <v>0</v>
      </c>
      <c r="D71" s="412">
        <v>0</v>
      </c>
      <c r="E71" s="395">
        <v>0</v>
      </c>
      <c r="F71" s="684" t="s">
        <v>803</v>
      </c>
    </row>
    <row r="72" spans="1:6" s="566" customFormat="1" ht="12" customHeight="1" thickBot="1">
      <c r="A72" s="551" t="s">
        <v>395</v>
      </c>
      <c r="B72" s="421" t="s">
        <v>396</v>
      </c>
      <c r="C72" s="412">
        <v>0</v>
      </c>
      <c r="D72" s="412">
        <v>0</v>
      </c>
      <c r="E72" s="395">
        <v>0</v>
      </c>
      <c r="F72" s="684" t="s">
        <v>804</v>
      </c>
    </row>
    <row r="73" spans="1:6" s="566" customFormat="1" ht="12" customHeight="1" thickBot="1">
      <c r="A73" s="552" t="s">
        <v>397</v>
      </c>
      <c r="B73" s="398" t="s">
        <v>398</v>
      </c>
      <c r="C73" s="408">
        <f>SUM(C74:C75)</f>
        <v>0</v>
      </c>
      <c r="D73" s="408">
        <f>SUM(D74:D75)</f>
        <v>0</v>
      </c>
      <c r="E73" s="408">
        <f>SUM(E74:E75)</f>
        <v>0</v>
      </c>
      <c r="F73" s="684" t="s">
        <v>805</v>
      </c>
    </row>
    <row r="74" spans="1:6" s="566" customFormat="1" ht="12" customHeight="1">
      <c r="A74" s="549" t="s">
        <v>399</v>
      </c>
      <c r="B74" s="419" t="s">
        <v>400</v>
      </c>
      <c r="C74" s="412"/>
      <c r="D74" s="412"/>
      <c r="E74" s="395"/>
      <c r="F74" s="684" t="s">
        <v>806</v>
      </c>
    </row>
    <row r="75" spans="1:6" s="566" customFormat="1" ht="12" customHeight="1" thickBot="1">
      <c r="A75" s="551" t="s">
        <v>401</v>
      </c>
      <c r="B75" s="421" t="s">
        <v>402</v>
      </c>
      <c r="C75" s="412">
        <v>0</v>
      </c>
      <c r="D75" s="412">
        <v>0</v>
      </c>
      <c r="E75" s="395">
        <v>0</v>
      </c>
      <c r="F75" s="684" t="s">
        <v>807</v>
      </c>
    </row>
    <row r="76" spans="1:6" s="566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0</v>
      </c>
      <c r="E76" s="408">
        <f>SUM(E77:E79)</f>
        <v>0</v>
      </c>
      <c r="F76" s="684" t="s">
        <v>808</v>
      </c>
    </row>
    <row r="77" spans="1:6" s="566" customFormat="1" ht="12" customHeight="1">
      <c r="A77" s="549" t="s">
        <v>405</v>
      </c>
      <c r="B77" s="419" t="s">
        <v>406</v>
      </c>
      <c r="C77" s="412"/>
      <c r="D77" s="412">
        <v>0</v>
      </c>
      <c r="E77" s="395">
        <v>0</v>
      </c>
      <c r="F77" s="684" t="s">
        <v>809</v>
      </c>
    </row>
    <row r="78" spans="1:6" s="566" customFormat="1" ht="12" customHeight="1">
      <c r="A78" s="550" t="s">
        <v>407</v>
      </c>
      <c r="B78" s="420" t="s">
        <v>408</v>
      </c>
      <c r="C78" s="412">
        <v>0</v>
      </c>
      <c r="D78" s="412">
        <v>0</v>
      </c>
      <c r="E78" s="395">
        <v>0</v>
      </c>
      <c r="F78" s="684" t="s">
        <v>810</v>
      </c>
    </row>
    <row r="79" spans="1:6" s="566" customFormat="1" ht="12" customHeight="1" thickBot="1">
      <c r="A79" s="551" t="s">
        <v>409</v>
      </c>
      <c r="B79" s="421" t="s">
        <v>410</v>
      </c>
      <c r="C79" s="412">
        <v>0</v>
      </c>
      <c r="D79" s="412">
        <v>0</v>
      </c>
      <c r="E79" s="395">
        <v>0</v>
      </c>
      <c r="F79" s="684" t="s">
        <v>811</v>
      </c>
    </row>
    <row r="80" spans="1:6" s="566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408">
        <f>SUM(E81:E84)</f>
        <v>0</v>
      </c>
      <c r="F80" s="684" t="s">
        <v>812</v>
      </c>
    </row>
    <row r="81" spans="1:6" s="566" customFormat="1" ht="12" customHeight="1">
      <c r="A81" s="553" t="s">
        <v>413</v>
      </c>
      <c r="B81" s="419" t="s">
        <v>414</v>
      </c>
      <c r="C81" s="412">
        <v>0</v>
      </c>
      <c r="D81" s="412">
        <v>0</v>
      </c>
      <c r="E81" s="395">
        <v>0</v>
      </c>
      <c r="F81" s="684" t="s">
        <v>813</v>
      </c>
    </row>
    <row r="82" spans="1:6" s="566" customFormat="1" ht="12" customHeight="1">
      <c r="A82" s="554" t="s">
        <v>415</v>
      </c>
      <c r="B82" s="420" t="s">
        <v>416</v>
      </c>
      <c r="C82" s="412">
        <v>0</v>
      </c>
      <c r="D82" s="412">
        <v>0</v>
      </c>
      <c r="E82" s="395">
        <v>0</v>
      </c>
      <c r="F82" s="684" t="s">
        <v>814</v>
      </c>
    </row>
    <row r="83" spans="1:6" s="566" customFormat="1" ht="12" customHeight="1">
      <c r="A83" s="554" t="s">
        <v>417</v>
      </c>
      <c r="B83" s="420" t="s">
        <v>418</v>
      </c>
      <c r="C83" s="412">
        <v>0</v>
      </c>
      <c r="D83" s="412">
        <v>0</v>
      </c>
      <c r="E83" s="395">
        <v>0</v>
      </c>
      <c r="F83" s="684" t="s">
        <v>815</v>
      </c>
    </row>
    <row r="84" spans="1:6" s="566" customFormat="1" ht="12" customHeight="1" thickBot="1">
      <c r="A84" s="555" t="s">
        <v>419</v>
      </c>
      <c r="B84" s="421" t="s">
        <v>420</v>
      </c>
      <c r="C84" s="412">
        <v>0</v>
      </c>
      <c r="D84" s="412">
        <v>0</v>
      </c>
      <c r="E84" s="395">
        <v>0</v>
      </c>
      <c r="F84" s="684" t="s">
        <v>816</v>
      </c>
    </row>
    <row r="85" spans="1:6" s="566" customFormat="1" ht="12" customHeight="1" thickBot="1">
      <c r="A85" s="552" t="s">
        <v>421</v>
      </c>
      <c r="B85" s="398" t="s">
        <v>422</v>
      </c>
      <c r="C85" s="434">
        <v>0</v>
      </c>
      <c r="D85" s="434">
        <v>0</v>
      </c>
      <c r="E85" s="435">
        <v>0</v>
      </c>
      <c r="F85" s="684" t="s">
        <v>817</v>
      </c>
    </row>
    <row r="86" spans="1:6" s="566" customFormat="1" ht="12" customHeight="1" thickBot="1">
      <c r="A86" s="552" t="s">
        <v>423</v>
      </c>
      <c r="B86" s="546" t="s">
        <v>424</v>
      </c>
      <c r="C86" s="414">
        <f>C64+C68+C73+C76+C80+C85</f>
        <v>0</v>
      </c>
      <c r="D86" s="414">
        <f>D64+D68+D73+D76+D80+D85</f>
        <v>0</v>
      </c>
      <c r="E86" s="414">
        <f>E64+E68+E73+E76+E80+E85</f>
        <v>0</v>
      </c>
      <c r="F86" s="684" t="s">
        <v>818</v>
      </c>
    </row>
    <row r="87" spans="1:6" s="566" customFormat="1" ht="12" customHeight="1" thickBot="1">
      <c r="A87" s="556" t="s">
        <v>425</v>
      </c>
      <c r="B87" s="547" t="s">
        <v>562</v>
      </c>
      <c r="C87" s="414">
        <f>C63+C86</f>
        <v>0</v>
      </c>
      <c r="D87" s="414">
        <f>D63+D86</f>
        <v>0</v>
      </c>
      <c r="E87" s="414">
        <f>E63+E86</f>
        <v>0</v>
      </c>
      <c r="F87" s="414">
        <f>F63+F86</f>
        <v>135</v>
      </c>
    </row>
    <row r="88" spans="1:6" s="566" customFormat="1" ht="15" customHeight="1">
      <c r="A88" s="521"/>
      <c r="B88" s="522"/>
      <c r="C88" s="537"/>
      <c r="D88" s="537"/>
      <c r="E88" s="537"/>
      <c r="F88" s="685"/>
    </row>
    <row r="89" spans="1:5" ht="13.5" thickBot="1">
      <c r="A89" s="523"/>
      <c r="B89" s="524"/>
      <c r="C89" s="538"/>
      <c r="D89" s="538"/>
      <c r="E89" s="538"/>
    </row>
    <row r="90" spans="1:6" s="565" customFormat="1" ht="16.5" customHeight="1" thickBot="1">
      <c r="A90" s="797" t="s">
        <v>44</v>
      </c>
      <c r="B90" s="798"/>
      <c r="C90" s="798"/>
      <c r="D90" s="798"/>
      <c r="E90" s="799"/>
      <c r="F90" s="684"/>
    </row>
    <row r="91" spans="1:6" s="339" customFormat="1" ht="12" customHeight="1" thickBot="1">
      <c r="A91" s="544" t="s">
        <v>6</v>
      </c>
      <c r="B91" s="380" t="s">
        <v>433</v>
      </c>
      <c r="C91" s="528">
        <f>SUM(C92:C96)</f>
        <v>0</v>
      </c>
      <c r="D91" s="528">
        <f>SUM(D92:D96)</f>
        <v>0</v>
      </c>
      <c r="E91" s="528">
        <f>SUM(E92:E96)</f>
        <v>0</v>
      </c>
      <c r="F91" s="686" t="s">
        <v>740</v>
      </c>
    </row>
    <row r="92" spans="1:6" ht="12" customHeight="1">
      <c r="A92" s="557" t="s">
        <v>71</v>
      </c>
      <c r="B92" s="366" t="s">
        <v>36</v>
      </c>
      <c r="C92" s="529"/>
      <c r="D92" s="529"/>
      <c r="E92" s="529"/>
      <c r="F92" s="686" t="s">
        <v>741</v>
      </c>
    </row>
    <row r="93" spans="1:6" ht="12" customHeight="1">
      <c r="A93" s="550" t="s">
        <v>72</v>
      </c>
      <c r="B93" s="364" t="s">
        <v>133</v>
      </c>
      <c r="C93" s="530"/>
      <c r="D93" s="530"/>
      <c r="E93" s="530"/>
      <c r="F93" s="686" t="s">
        <v>742</v>
      </c>
    </row>
    <row r="94" spans="1:6" ht="12" customHeight="1">
      <c r="A94" s="550" t="s">
        <v>73</v>
      </c>
      <c r="B94" s="364" t="s">
        <v>100</v>
      </c>
      <c r="C94" s="532"/>
      <c r="D94" s="532"/>
      <c r="E94" s="532"/>
      <c r="F94" s="686" t="s">
        <v>743</v>
      </c>
    </row>
    <row r="95" spans="1:6" ht="12" customHeight="1">
      <c r="A95" s="550" t="s">
        <v>74</v>
      </c>
      <c r="B95" s="367" t="s">
        <v>134</v>
      </c>
      <c r="C95" s="532"/>
      <c r="D95" s="532"/>
      <c r="E95" s="532"/>
      <c r="F95" s="686" t="s">
        <v>744</v>
      </c>
    </row>
    <row r="96" spans="1:6" ht="12" customHeight="1">
      <c r="A96" s="550" t="s">
        <v>83</v>
      </c>
      <c r="B96" s="375" t="s">
        <v>135</v>
      </c>
      <c r="C96" s="532">
        <f>C106+C101</f>
        <v>0</v>
      </c>
      <c r="D96" s="532">
        <f>D106+D101</f>
        <v>0</v>
      </c>
      <c r="E96" s="532">
        <f>E106+E101</f>
        <v>0</v>
      </c>
      <c r="F96" s="686" t="s">
        <v>745</v>
      </c>
    </row>
    <row r="97" spans="1:6" ht="12" customHeight="1">
      <c r="A97" s="550" t="s">
        <v>75</v>
      </c>
      <c r="B97" s="364" t="s">
        <v>434</v>
      </c>
      <c r="C97" s="532">
        <v>0</v>
      </c>
      <c r="D97" s="532">
        <v>0</v>
      </c>
      <c r="E97" s="532">
        <v>0</v>
      </c>
      <c r="F97" s="686" t="s">
        <v>746</v>
      </c>
    </row>
    <row r="98" spans="1:6" ht="12" customHeight="1">
      <c r="A98" s="550" t="s">
        <v>76</v>
      </c>
      <c r="B98" s="387" t="s">
        <v>435</v>
      </c>
      <c r="C98" s="532">
        <v>0</v>
      </c>
      <c r="D98" s="532">
        <v>0</v>
      </c>
      <c r="E98" s="532">
        <v>0</v>
      </c>
      <c r="F98" s="686" t="s">
        <v>747</v>
      </c>
    </row>
    <row r="99" spans="1:6" ht="12" customHeight="1">
      <c r="A99" s="550" t="s">
        <v>84</v>
      </c>
      <c r="B99" s="388" t="s">
        <v>436</v>
      </c>
      <c r="C99" s="532">
        <v>0</v>
      </c>
      <c r="D99" s="532">
        <v>0</v>
      </c>
      <c r="E99" s="532">
        <v>0</v>
      </c>
      <c r="F99" s="686" t="s">
        <v>748</v>
      </c>
    </row>
    <row r="100" spans="1:6" ht="12" customHeight="1">
      <c r="A100" s="550" t="s">
        <v>85</v>
      </c>
      <c r="B100" s="388" t="s">
        <v>437</v>
      </c>
      <c r="C100" s="532">
        <v>0</v>
      </c>
      <c r="D100" s="532">
        <v>0</v>
      </c>
      <c r="E100" s="532">
        <v>0</v>
      </c>
      <c r="F100" s="686" t="s">
        <v>749</v>
      </c>
    </row>
    <row r="101" spans="1:6" ht="12" customHeight="1">
      <c r="A101" s="550" t="s">
        <v>86</v>
      </c>
      <c r="B101" s="387" t="s">
        <v>438</v>
      </c>
      <c r="C101" s="532"/>
      <c r="D101" s="532">
        <v>0</v>
      </c>
      <c r="E101" s="532">
        <v>0</v>
      </c>
      <c r="F101" s="686" t="s">
        <v>750</v>
      </c>
    </row>
    <row r="102" spans="1:6" ht="12" customHeight="1">
      <c r="A102" s="550" t="s">
        <v>87</v>
      </c>
      <c r="B102" s="387" t="s">
        <v>439</v>
      </c>
      <c r="C102" s="532">
        <v>0</v>
      </c>
      <c r="D102" s="532">
        <v>0</v>
      </c>
      <c r="E102" s="532">
        <v>0</v>
      </c>
      <c r="F102" s="686" t="s">
        <v>751</v>
      </c>
    </row>
    <row r="103" spans="1:6" ht="12" customHeight="1">
      <c r="A103" s="550" t="s">
        <v>89</v>
      </c>
      <c r="B103" s="388" t="s">
        <v>440</v>
      </c>
      <c r="C103" s="532">
        <v>0</v>
      </c>
      <c r="D103" s="532">
        <v>0</v>
      </c>
      <c r="E103" s="532">
        <v>0</v>
      </c>
      <c r="F103" s="686" t="s">
        <v>752</v>
      </c>
    </row>
    <row r="104" spans="1:6" ht="12" customHeight="1">
      <c r="A104" s="558" t="s">
        <v>136</v>
      </c>
      <c r="B104" s="389" t="s">
        <v>441</v>
      </c>
      <c r="C104" s="532">
        <v>0</v>
      </c>
      <c r="D104" s="532">
        <v>0</v>
      </c>
      <c r="E104" s="532">
        <v>0</v>
      </c>
      <c r="F104" s="686" t="s">
        <v>753</v>
      </c>
    </row>
    <row r="105" spans="1:6" ht="12" customHeight="1">
      <c r="A105" s="550" t="s">
        <v>442</v>
      </c>
      <c r="B105" s="389" t="s">
        <v>443</v>
      </c>
      <c r="C105" s="532">
        <v>0</v>
      </c>
      <c r="D105" s="532">
        <v>0</v>
      </c>
      <c r="E105" s="532">
        <v>0</v>
      </c>
      <c r="F105" s="686" t="s">
        <v>754</v>
      </c>
    </row>
    <row r="106" spans="1:6" s="339" customFormat="1" ht="12" customHeight="1" thickBot="1">
      <c r="A106" s="559" t="s">
        <v>444</v>
      </c>
      <c r="B106" s="390" t="s">
        <v>445</v>
      </c>
      <c r="C106" s="534"/>
      <c r="D106" s="534"/>
      <c r="E106" s="534"/>
      <c r="F106" s="686" t="s">
        <v>755</v>
      </c>
    </row>
    <row r="107" spans="1:6" ht="12" customHeight="1" thickBot="1">
      <c r="A107" s="381" t="s">
        <v>7</v>
      </c>
      <c r="B107" s="379" t="s">
        <v>446</v>
      </c>
      <c r="C107" s="402">
        <f>C108+C110+C112</f>
        <v>0</v>
      </c>
      <c r="D107" s="402">
        <f>D108+D110+D112</f>
        <v>0</v>
      </c>
      <c r="E107" s="402">
        <f>E108+E110+E112</f>
        <v>0</v>
      </c>
      <c r="F107" s="686" t="s">
        <v>756</v>
      </c>
    </row>
    <row r="108" spans="1:6" ht="12" customHeight="1">
      <c r="A108" s="549" t="s">
        <v>77</v>
      </c>
      <c r="B108" s="364" t="s">
        <v>157</v>
      </c>
      <c r="C108" s="531"/>
      <c r="D108" s="531">
        <v>0</v>
      </c>
      <c r="E108" s="531">
        <v>0</v>
      </c>
      <c r="F108" s="686" t="s">
        <v>757</v>
      </c>
    </row>
    <row r="109" spans="1:6" ht="12" customHeight="1">
      <c r="A109" s="549" t="s">
        <v>78</v>
      </c>
      <c r="B109" s="368" t="s">
        <v>447</v>
      </c>
      <c r="C109" s="531"/>
      <c r="D109" s="531">
        <v>0</v>
      </c>
      <c r="E109" s="531">
        <v>0</v>
      </c>
      <c r="F109" s="686" t="s">
        <v>758</v>
      </c>
    </row>
    <row r="110" spans="1:6" ht="12" customHeight="1">
      <c r="A110" s="549" t="s">
        <v>79</v>
      </c>
      <c r="B110" s="368" t="s">
        <v>137</v>
      </c>
      <c r="C110" s="530"/>
      <c r="D110" s="530">
        <v>0</v>
      </c>
      <c r="E110" s="530">
        <v>0</v>
      </c>
      <c r="F110" s="686" t="s">
        <v>759</v>
      </c>
    </row>
    <row r="111" spans="1:6" ht="12" customHeight="1">
      <c r="A111" s="549" t="s">
        <v>80</v>
      </c>
      <c r="B111" s="368" t="s">
        <v>448</v>
      </c>
      <c r="C111" s="392"/>
      <c r="D111" s="392">
        <v>0</v>
      </c>
      <c r="E111" s="392">
        <v>0</v>
      </c>
      <c r="F111" s="686" t="s">
        <v>760</v>
      </c>
    </row>
    <row r="112" spans="1:6" ht="12" customHeight="1">
      <c r="A112" s="549" t="s">
        <v>81</v>
      </c>
      <c r="B112" s="400" t="s">
        <v>160</v>
      </c>
      <c r="C112" s="392">
        <f>C120</f>
        <v>0</v>
      </c>
      <c r="D112" s="392">
        <f>D120</f>
        <v>0</v>
      </c>
      <c r="E112" s="392">
        <f>E120</f>
        <v>0</v>
      </c>
      <c r="F112" s="392" t="str">
        <f>F120</f>
        <v>030</v>
      </c>
    </row>
    <row r="113" spans="1:6" ht="12" customHeight="1">
      <c r="A113" s="549" t="s">
        <v>88</v>
      </c>
      <c r="B113" s="399" t="s">
        <v>449</v>
      </c>
      <c r="C113" s="392">
        <v>0</v>
      </c>
      <c r="D113" s="392">
        <v>0</v>
      </c>
      <c r="E113" s="392">
        <v>0</v>
      </c>
      <c r="F113" s="686" t="s">
        <v>762</v>
      </c>
    </row>
    <row r="114" spans="1:6" ht="12" customHeight="1">
      <c r="A114" s="549" t="s">
        <v>90</v>
      </c>
      <c r="B114" s="415" t="s">
        <v>450</v>
      </c>
      <c r="C114" s="392">
        <v>0</v>
      </c>
      <c r="D114" s="392">
        <v>0</v>
      </c>
      <c r="E114" s="392">
        <v>0</v>
      </c>
      <c r="F114" s="686" t="s">
        <v>763</v>
      </c>
    </row>
    <row r="115" spans="1:6" ht="12" customHeight="1">
      <c r="A115" s="549" t="s">
        <v>138</v>
      </c>
      <c r="B115" s="388" t="s">
        <v>437</v>
      </c>
      <c r="C115" s="392">
        <v>0</v>
      </c>
      <c r="D115" s="392">
        <v>0</v>
      </c>
      <c r="E115" s="392">
        <v>0</v>
      </c>
      <c r="F115" s="686" t="s">
        <v>764</v>
      </c>
    </row>
    <row r="116" spans="1:6" ht="12" customHeight="1">
      <c r="A116" s="549" t="s">
        <v>139</v>
      </c>
      <c r="B116" s="388" t="s">
        <v>451</v>
      </c>
      <c r="C116" s="392">
        <v>0</v>
      </c>
      <c r="D116" s="392">
        <v>0</v>
      </c>
      <c r="E116" s="392">
        <v>0</v>
      </c>
      <c r="F116" s="686" t="s">
        <v>765</v>
      </c>
    </row>
    <row r="117" spans="1:6" ht="12" customHeight="1">
      <c r="A117" s="549" t="s">
        <v>140</v>
      </c>
      <c r="B117" s="388" t="s">
        <v>452</v>
      </c>
      <c r="C117" s="392">
        <v>0</v>
      </c>
      <c r="D117" s="392">
        <v>0</v>
      </c>
      <c r="E117" s="392">
        <v>0</v>
      </c>
      <c r="F117" s="686" t="s">
        <v>766</v>
      </c>
    </row>
    <row r="118" spans="1:6" ht="12" customHeight="1">
      <c r="A118" s="549" t="s">
        <v>453</v>
      </c>
      <c r="B118" s="388" t="s">
        <v>440</v>
      </c>
      <c r="C118" s="392">
        <v>0</v>
      </c>
      <c r="D118" s="392">
        <v>0</v>
      </c>
      <c r="E118" s="392">
        <v>0</v>
      </c>
      <c r="F118" s="686" t="s">
        <v>767</v>
      </c>
    </row>
    <row r="119" spans="1:6" ht="12" customHeight="1">
      <c r="A119" s="549" t="s">
        <v>454</v>
      </c>
      <c r="B119" s="388" t="s">
        <v>455</v>
      </c>
      <c r="C119" s="392">
        <v>0</v>
      </c>
      <c r="D119" s="392">
        <v>0</v>
      </c>
      <c r="E119" s="392">
        <v>0</v>
      </c>
      <c r="F119" s="686" t="s">
        <v>768</v>
      </c>
    </row>
    <row r="120" spans="1:6" ht="12" customHeight="1" thickBot="1">
      <c r="A120" s="558" t="s">
        <v>456</v>
      </c>
      <c r="B120" s="388" t="s">
        <v>457</v>
      </c>
      <c r="C120" s="394"/>
      <c r="D120" s="394"/>
      <c r="E120" s="394">
        <v>0</v>
      </c>
      <c r="F120" s="686" t="s">
        <v>769</v>
      </c>
    </row>
    <row r="121" spans="1:6" ht="12" customHeight="1" thickBot="1">
      <c r="A121" s="381" t="s">
        <v>8</v>
      </c>
      <c r="B121" s="384" t="s">
        <v>458</v>
      </c>
      <c r="C121" s="402">
        <f>SUM(C122:C123)</f>
        <v>0</v>
      </c>
      <c r="D121" s="402">
        <f>SUM(D122:D123)</f>
        <v>0</v>
      </c>
      <c r="E121" s="402">
        <f>SUM(E122:E123)</f>
        <v>0</v>
      </c>
      <c r="F121" s="686" t="s">
        <v>770</v>
      </c>
    </row>
    <row r="122" spans="1:6" ht="12" customHeight="1">
      <c r="A122" s="549" t="s">
        <v>60</v>
      </c>
      <c r="B122" s="365" t="s">
        <v>46</v>
      </c>
      <c r="C122" s="531"/>
      <c r="D122" s="531">
        <v>0</v>
      </c>
      <c r="E122" s="531">
        <v>0</v>
      </c>
      <c r="F122" s="686" t="s">
        <v>771</v>
      </c>
    </row>
    <row r="123" spans="1:6" ht="12" customHeight="1" thickBot="1">
      <c r="A123" s="551" t="s">
        <v>61</v>
      </c>
      <c r="B123" s="368" t="s">
        <v>47</v>
      </c>
      <c r="C123" s="532"/>
      <c r="D123" s="532">
        <v>0</v>
      </c>
      <c r="E123" s="532">
        <v>0</v>
      </c>
      <c r="F123" s="686" t="s">
        <v>772</v>
      </c>
    </row>
    <row r="124" spans="1:6" ht="12" customHeight="1" thickBot="1">
      <c r="A124" s="381" t="s">
        <v>9</v>
      </c>
      <c r="B124" s="384" t="s">
        <v>459</v>
      </c>
      <c r="C124" s="402">
        <f>C91+C107+C121</f>
        <v>0</v>
      </c>
      <c r="D124" s="402">
        <f>D91+D107+D121</f>
        <v>0</v>
      </c>
      <c r="E124" s="402">
        <f>E91+E107+E121</f>
        <v>0</v>
      </c>
      <c r="F124" s="686" t="s">
        <v>773</v>
      </c>
    </row>
    <row r="125" spans="1:6" ht="12" customHeight="1" thickBot="1">
      <c r="A125" s="381" t="s">
        <v>10</v>
      </c>
      <c r="B125" s="384" t="s">
        <v>564</v>
      </c>
      <c r="C125" s="402">
        <f>SUM(C126:C128)</f>
        <v>0</v>
      </c>
      <c r="D125" s="402">
        <f>SUM(D126:D128)</f>
        <v>0</v>
      </c>
      <c r="E125" s="402">
        <f>SUM(E126:E128)</f>
        <v>0</v>
      </c>
      <c r="F125" s="686" t="s">
        <v>774</v>
      </c>
    </row>
    <row r="126" spans="1:6" ht="12" customHeight="1">
      <c r="A126" s="549" t="s">
        <v>64</v>
      </c>
      <c r="B126" s="365" t="s">
        <v>461</v>
      </c>
      <c r="C126" s="392">
        <v>0</v>
      </c>
      <c r="D126" s="392">
        <v>0</v>
      </c>
      <c r="E126" s="392">
        <v>0</v>
      </c>
      <c r="F126" s="686" t="s">
        <v>775</v>
      </c>
    </row>
    <row r="127" spans="1:6" ht="12" customHeight="1">
      <c r="A127" s="549" t="s">
        <v>65</v>
      </c>
      <c r="B127" s="365" t="s">
        <v>462</v>
      </c>
      <c r="C127" s="392">
        <v>0</v>
      </c>
      <c r="D127" s="392">
        <v>0</v>
      </c>
      <c r="E127" s="392">
        <v>0</v>
      </c>
      <c r="F127" s="686" t="s">
        <v>776</v>
      </c>
    </row>
    <row r="128" spans="1:6" ht="12" customHeight="1" thickBot="1">
      <c r="A128" s="558" t="s">
        <v>66</v>
      </c>
      <c r="B128" s="363" t="s">
        <v>463</v>
      </c>
      <c r="C128" s="392">
        <v>0</v>
      </c>
      <c r="D128" s="392">
        <v>0</v>
      </c>
      <c r="E128" s="392">
        <v>0</v>
      </c>
      <c r="F128" s="686" t="s">
        <v>777</v>
      </c>
    </row>
    <row r="129" spans="1:6" ht="12" customHeight="1" thickBot="1">
      <c r="A129" s="381" t="s">
        <v>11</v>
      </c>
      <c r="B129" s="384" t="s">
        <v>464</v>
      </c>
      <c r="C129" s="402">
        <f>SUM(C130:C133)</f>
        <v>0</v>
      </c>
      <c r="D129" s="402">
        <f>SUM(D130:D133)</f>
        <v>0</v>
      </c>
      <c r="E129" s="402">
        <f>SUM(E130:E133)</f>
        <v>0</v>
      </c>
      <c r="F129" s="686" t="s">
        <v>778</v>
      </c>
    </row>
    <row r="130" spans="1:6" ht="12" customHeight="1">
      <c r="A130" s="549" t="s">
        <v>67</v>
      </c>
      <c r="B130" s="365" t="s">
        <v>465</v>
      </c>
      <c r="C130" s="392">
        <v>0</v>
      </c>
      <c r="D130" s="392">
        <v>0</v>
      </c>
      <c r="E130" s="392">
        <v>0</v>
      </c>
      <c r="F130" s="686" t="s">
        <v>779</v>
      </c>
    </row>
    <row r="131" spans="1:6" ht="12" customHeight="1">
      <c r="A131" s="549" t="s">
        <v>68</v>
      </c>
      <c r="B131" s="365" t="s">
        <v>466</v>
      </c>
      <c r="C131" s="392">
        <v>0</v>
      </c>
      <c r="D131" s="392">
        <v>0</v>
      </c>
      <c r="E131" s="392">
        <v>0</v>
      </c>
      <c r="F131" s="686" t="s">
        <v>780</v>
      </c>
    </row>
    <row r="132" spans="1:6" ht="12" customHeight="1">
      <c r="A132" s="549" t="s">
        <v>361</v>
      </c>
      <c r="B132" s="365" t="s">
        <v>467</v>
      </c>
      <c r="C132" s="392">
        <v>0</v>
      </c>
      <c r="D132" s="392">
        <v>0</v>
      </c>
      <c r="E132" s="392">
        <v>0</v>
      </c>
      <c r="F132" s="686" t="s">
        <v>781</v>
      </c>
    </row>
    <row r="133" spans="1:6" s="339" customFormat="1" ht="12" customHeight="1" thickBot="1">
      <c r="A133" s="558" t="s">
        <v>363</v>
      </c>
      <c r="B133" s="363" t="s">
        <v>468</v>
      </c>
      <c r="C133" s="392">
        <v>0</v>
      </c>
      <c r="D133" s="392">
        <v>0</v>
      </c>
      <c r="E133" s="392">
        <v>0</v>
      </c>
      <c r="F133" s="686" t="s">
        <v>782</v>
      </c>
    </row>
    <row r="134" spans="1:11" ht="13.5" thickBot="1">
      <c r="A134" s="381" t="s">
        <v>12</v>
      </c>
      <c r="B134" s="384" t="s">
        <v>681</v>
      </c>
      <c r="C134" s="533">
        <f>SUM(C135:C139)</f>
        <v>0</v>
      </c>
      <c r="D134" s="533">
        <f>SUM(D135:D139)</f>
        <v>0</v>
      </c>
      <c r="E134" s="533">
        <f>SUM(E135:E139)</f>
        <v>0</v>
      </c>
      <c r="F134" s="686" t="s">
        <v>783</v>
      </c>
      <c r="K134" s="512"/>
    </row>
    <row r="135" spans="1:6" ht="12.75">
      <c r="A135" s="549" t="s">
        <v>69</v>
      </c>
      <c r="B135" s="365" t="s">
        <v>470</v>
      </c>
      <c r="C135" s="392">
        <v>0</v>
      </c>
      <c r="D135" s="392">
        <v>0</v>
      </c>
      <c r="E135" s="392">
        <v>0</v>
      </c>
      <c r="F135" s="686" t="s">
        <v>784</v>
      </c>
    </row>
    <row r="136" spans="1:6" ht="12" customHeight="1">
      <c r="A136" s="549" t="s">
        <v>70</v>
      </c>
      <c r="B136" s="365" t="s">
        <v>471</v>
      </c>
      <c r="C136" s="392">
        <v>0</v>
      </c>
      <c r="D136" s="392">
        <v>0</v>
      </c>
      <c r="E136" s="392">
        <v>0</v>
      </c>
      <c r="F136" s="686" t="s">
        <v>785</v>
      </c>
    </row>
    <row r="137" spans="1:6" ht="12" customHeight="1">
      <c r="A137" s="549" t="s">
        <v>370</v>
      </c>
      <c r="B137" s="365" t="s">
        <v>680</v>
      </c>
      <c r="C137" s="392"/>
      <c r="D137" s="392">
        <v>0</v>
      </c>
      <c r="E137" s="392">
        <v>0</v>
      </c>
      <c r="F137" s="686" t="s">
        <v>786</v>
      </c>
    </row>
    <row r="138" spans="1:6" s="339" customFormat="1" ht="12" customHeight="1">
      <c r="A138" s="549" t="s">
        <v>372</v>
      </c>
      <c r="B138" s="365" t="s">
        <v>472</v>
      </c>
      <c r="C138" s="392">
        <v>0</v>
      </c>
      <c r="D138" s="392">
        <v>0</v>
      </c>
      <c r="E138" s="392">
        <v>0</v>
      </c>
      <c r="F138" s="686" t="s">
        <v>787</v>
      </c>
    </row>
    <row r="139" spans="1:6" s="339" customFormat="1" ht="12" customHeight="1" thickBot="1">
      <c r="A139" s="558" t="s">
        <v>679</v>
      </c>
      <c r="B139" s="363" t="s">
        <v>473</v>
      </c>
      <c r="C139" s="392">
        <v>0</v>
      </c>
      <c r="D139" s="392">
        <v>0</v>
      </c>
      <c r="E139" s="392">
        <v>0</v>
      </c>
      <c r="F139" s="686" t="s">
        <v>788</v>
      </c>
    </row>
    <row r="140" spans="1:6" s="339" customFormat="1" ht="12" customHeight="1" thickBot="1">
      <c r="A140" s="381" t="s">
        <v>13</v>
      </c>
      <c r="B140" s="384" t="s">
        <v>565</v>
      </c>
      <c r="C140" s="535">
        <f>SUM(C141:C144)</f>
        <v>0</v>
      </c>
      <c r="D140" s="535">
        <f>SUM(D141:D144)</f>
        <v>0</v>
      </c>
      <c r="E140" s="535">
        <f>SUM(E141:E144)</f>
        <v>0</v>
      </c>
      <c r="F140" s="686" t="s">
        <v>789</v>
      </c>
    </row>
    <row r="141" spans="1:6" s="339" customFormat="1" ht="12" customHeight="1">
      <c r="A141" s="549" t="s">
        <v>131</v>
      </c>
      <c r="B141" s="365" t="s">
        <v>475</v>
      </c>
      <c r="C141" s="392">
        <v>0</v>
      </c>
      <c r="D141" s="392">
        <v>0</v>
      </c>
      <c r="E141" s="392">
        <v>0</v>
      </c>
      <c r="F141" s="686" t="s">
        <v>790</v>
      </c>
    </row>
    <row r="142" spans="1:6" s="339" customFormat="1" ht="12" customHeight="1">
      <c r="A142" s="549" t="s">
        <v>132</v>
      </c>
      <c r="B142" s="365" t="s">
        <v>476</v>
      </c>
      <c r="C142" s="392">
        <v>0</v>
      </c>
      <c r="D142" s="392">
        <v>0</v>
      </c>
      <c r="E142" s="392">
        <v>0</v>
      </c>
      <c r="F142" s="686" t="s">
        <v>791</v>
      </c>
    </row>
    <row r="143" spans="1:6" s="339" customFormat="1" ht="12" customHeight="1">
      <c r="A143" s="549" t="s">
        <v>159</v>
      </c>
      <c r="B143" s="365" t="s">
        <v>477</v>
      </c>
      <c r="C143" s="392">
        <v>0</v>
      </c>
      <c r="D143" s="392">
        <v>0</v>
      </c>
      <c r="E143" s="392">
        <v>0</v>
      </c>
      <c r="F143" s="686" t="s">
        <v>792</v>
      </c>
    </row>
    <row r="144" spans="1:6" ht="12.75" customHeight="1" thickBot="1">
      <c r="A144" s="549" t="s">
        <v>378</v>
      </c>
      <c r="B144" s="365" t="s">
        <v>478</v>
      </c>
      <c r="C144" s="392">
        <v>0</v>
      </c>
      <c r="D144" s="392">
        <v>0</v>
      </c>
      <c r="E144" s="392">
        <v>0</v>
      </c>
      <c r="F144" s="686" t="s">
        <v>793</v>
      </c>
    </row>
    <row r="145" spans="1:6" ht="12" customHeight="1" thickBot="1">
      <c r="A145" s="381" t="s">
        <v>14</v>
      </c>
      <c r="B145" s="384" t="s">
        <v>479</v>
      </c>
      <c r="C145" s="548">
        <f>C125+C129+C134+C140</f>
        <v>0</v>
      </c>
      <c r="D145" s="548">
        <f>D125+D129+D134+D140</f>
        <v>0</v>
      </c>
      <c r="E145" s="548">
        <f>E125+E129+E134+E140</f>
        <v>0</v>
      </c>
      <c r="F145" s="686" t="s">
        <v>794</v>
      </c>
    </row>
    <row r="146" spans="1:6" ht="15" customHeight="1" thickBot="1">
      <c r="A146" s="560" t="s">
        <v>15</v>
      </c>
      <c r="B146" s="404" t="s">
        <v>480</v>
      </c>
      <c r="C146" s="548">
        <f>C124+C145</f>
        <v>0</v>
      </c>
      <c r="D146" s="548">
        <f>D124+D145</f>
        <v>0</v>
      </c>
      <c r="E146" s="548">
        <f>E124+E145</f>
        <v>0</v>
      </c>
      <c r="F146" s="686" t="s">
        <v>795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5" t="s">
        <v>684</v>
      </c>
      <c r="B148" s="526"/>
      <c r="C148" s="113"/>
      <c r="D148" s="114"/>
      <c r="E148" s="111"/>
    </row>
    <row r="149" spans="1:5" ht="14.25" customHeight="1" thickBot="1">
      <c r="A149" s="525" t="s">
        <v>149</v>
      </c>
      <c r="B149" s="526"/>
      <c r="C149" s="113"/>
      <c r="D149" s="114"/>
      <c r="E149" s="111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16384" width="9.375" style="32" customWidth="1"/>
  </cols>
  <sheetData>
    <row r="1" spans="1:5" s="516" customFormat="1" ht="16.5" customHeight="1" thickBot="1">
      <c r="A1" s="515"/>
      <c r="B1" s="517"/>
      <c r="C1" s="562"/>
      <c r="D1" s="527"/>
      <c r="E1" s="562" t="str">
        <f>+CONCATENATE("6.4. melléklet a 6 /",LEFT(ÖSSZEFÜGGÉSEK!A4,4)+1,". (V.30.) önkormányzati rendelethez")</f>
        <v>6.4. melléklet a 6 /2018. (V.30.) önkormányzati rendelethez</v>
      </c>
    </row>
    <row r="2" spans="1:5" s="563" customFormat="1" ht="15.75" customHeight="1">
      <c r="A2" s="543" t="s">
        <v>52</v>
      </c>
      <c r="B2" s="803" t="s">
        <v>154</v>
      </c>
      <c r="C2" s="804"/>
      <c r="D2" s="805"/>
      <c r="E2" s="536" t="s">
        <v>40</v>
      </c>
    </row>
    <row r="3" spans="1:5" s="563" customFormat="1" ht="24.75" thickBot="1">
      <c r="A3" s="561" t="s">
        <v>560</v>
      </c>
      <c r="B3" s="800" t="s">
        <v>686</v>
      </c>
      <c r="C3" s="801"/>
      <c r="D3" s="802"/>
      <c r="E3" s="511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881</v>
      </c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5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</row>
    <row r="7" spans="1:5" s="565" customFormat="1" ht="15.75" customHeight="1" thickBot="1">
      <c r="A7" s="797" t="s">
        <v>43</v>
      </c>
      <c r="B7" s="798"/>
      <c r="C7" s="798"/>
      <c r="D7" s="798"/>
      <c r="E7" s="799"/>
    </row>
    <row r="8" spans="1:5" s="565" customFormat="1" ht="12" customHeight="1" thickBot="1">
      <c r="A8" s="381" t="s">
        <v>6</v>
      </c>
      <c r="B8" s="377" t="s">
        <v>311</v>
      </c>
      <c r="C8" s="408">
        <f>SUM(C9:C14)</f>
        <v>0</v>
      </c>
      <c r="D8" s="408">
        <f>SUM(D9:D14)</f>
        <v>0</v>
      </c>
      <c r="E8" s="391">
        <f>SUM(E9:E14)</f>
        <v>0</v>
      </c>
    </row>
    <row r="9" spans="1:5" s="539" customFormat="1" ht="12" customHeight="1">
      <c r="A9" s="549" t="s">
        <v>71</v>
      </c>
      <c r="B9" s="419" t="s">
        <v>312</v>
      </c>
      <c r="C9" s="410"/>
      <c r="D9" s="410"/>
      <c r="E9" s="393"/>
    </row>
    <row r="10" spans="1:5" s="566" customFormat="1" ht="12" customHeight="1">
      <c r="A10" s="550" t="s">
        <v>72</v>
      </c>
      <c r="B10" s="420" t="s">
        <v>313</v>
      </c>
      <c r="C10" s="409"/>
      <c r="D10" s="409"/>
      <c r="E10" s="392"/>
    </row>
    <row r="11" spans="1:5" s="566" customFormat="1" ht="12" customHeight="1">
      <c r="A11" s="550" t="s">
        <v>73</v>
      </c>
      <c r="B11" s="420" t="s">
        <v>314</v>
      </c>
      <c r="C11" s="409"/>
      <c r="D11" s="409"/>
      <c r="E11" s="392"/>
    </row>
    <row r="12" spans="1:5" s="566" customFormat="1" ht="12" customHeight="1">
      <c r="A12" s="550" t="s">
        <v>74</v>
      </c>
      <c r="B12" s="420" t="s">
        <v>315</v>
      </c>
      <c r="C12" s="409"/>
      <c r="D12" s="409"/>
      <c r="E12" s="392"/>
    </row>
    <row r="13" spans="1:5" s="566" customFormat="1" ht="12" customHeight="1">
      <c r="A13" s="550" t="s">
        <v>107</v>
      </c>
      <c r="B13" s="420" t="s">
        <v>316</v>
      </c>
      <c r="C13" s="409"/>
      <c r="D13" s="409"/>
      <c r="E13" s="392"/>
    </row>
    <row r="14" spans="1:5" s="539" customFormat="1" ht="12" customHeight="1" thickBot="1">
      <c r="A14" s="551" t="s">
        <v>75</v>
      </c>
      <c r="B14" s="421" t="s">
        <v>317</v>
      </c>
      <c r="C14" s="411"/>
      <c r="D14" s="411"/>
      <c r="E14" s="394"/>
    </row>
    <row r="15" spans="1:5" s="539" customFormat="1" ht="12" customHeight="1" thickBot="1">
      <c r="A15" s="381" t="s">
        <v>7</v>
      </c>
      <c r="B15" s="398" t="s">
        <v>318</v>
      </c>
      <c r="C15" s="408">
        <f>SUM(C16:C20)</f>
        <v>0</v>
      </c>
      <c r="D15" s="408">
        <f>SUM(D16:D20)</f>
        <v>0</v>
      </c>
      <c r="E15" s="391">
        <f>SUM(E16:E20)</f>
        <v>0</v>
      </c>
    </row>
    <row r="16" spans="1:5" s="539" customFormat="1" ht="12" customHeight="1">
      <c r="A16" s="549" t="s">
        <v>77</v>
      </c>
      <c r="B16" s="419" t="s">
        <v>319</v>
      </c>
      <c r="C16" s="410"/>
      <c r="D16" s="410"/>
      <c r="E16" s="393"/>
    </row>
    <row r="17" spans="1:5" s="539" customFormat="1" ht="12" customHeight="1">
      <c r="A17" s="550" t="s">
        <v>78</v>
      </c>
      <c r="B17" s="420" t="s">
        <v>320</v>
      </c>
      <c r="C17" s="409"/>
      <c r="D17" s="409"/>
      <c r="E17" s="392"/>
    </row>
    <row r="18" spans="1:5" s="539" customFormat="1" ht="12" customHeight="1">
      <c r="A18" s="550" t="s">
        <v>79</v>
      </c>
      <c r="B18" s="420" t="s">
        <v>321</v>
      </c>
      <c r="C18" s="409"/>
      <c r="D18" s="409"/>
      <c r="E18" s="392"/>
    </row>
    <row r="19" spans="1:5" s="539" customFormat="1" ht="12" customHeight="1">
      <c r="A19" s="550" t="s">
        <v>80</v>
      </c>
      <c r="B19" s="420" t="s">
        <v>322</v>
      </c>
      <c r="C19" s="409"/>
      <c r="D19" s="409"/>
      <c r="E19" s="392"/>
    </row>
    <row r="20" spans="1:5" s="539" customFormat="1" ht="12" customHeight="1">
      <c r="A20" s="550" t="s">
        <v>81</v>
      </c>
      <c r="B20" s="420" t="s">
        <v>323</v>
      </c>
      <c r="C20" s="409"/>
      <c r="D20" s="409"/>
      <c r="E20" s="392"/>
    </row>
    <row r="21" spans="1:5" s="566" customFormat="1" ht="12" customHeight="1" thickBot="1">
      <c r="A21" s="551" t="s">
        <v>88</v>
      </c>
      <c r="B21" s="421" t="s">
        <v>324</v>
      </c>
      <c r="C21" s="411"/>
      <c r="D21" s="411"/>
      <c r="E21" s="394"/>
    </row>
    <row r="22" spans="1:5" s="566" customFormat="1" ht="12" customHeight="1" thickBot="1">
      <c r="A22" s="381" t="s">
        <v>8</v>
      </c>
      <c r="B22" s="377" t="s">
        <v>325</v>
      </c>
      <c r="C22" s="408">
        <f>SUM(C23:C27)</f>
        <v>0</v>
      </c>
      <c r="D22" s="408">
        <f>SUM(D23:D27)</f>
        <v>0</v>
      </c>
      <c r="E22" s="391">
        <f>SUM(E23:E27)</f>
        <v>0</v>
      </c>
    </row>
    <row r="23" spans="1:5" s="566" customFormat="1" ht="12" customHeight="1">
      <c r="A23" s="549" t="s">
        <v>60</v>
      </c>
      <c r="B23" s="419" t="s">
        <v>326</v>
      </c>
      <c r="C23" s="410"/>
      <c r="D23" s="410"/>
      <c r="E23" s="393"/>
    </row>
    <row r="24" spans="1:5" s="539" customFormat="1" ht="12" customHeight="1">
      <c r="A24" s="550" t="s">
        <v>61</v>
      </c>
      <c r="B24" s="420" t="s">
        <v>327</v>
      </c>
      <c r="C24" s="409"/>
      <c r="D24" s="409"/>
      <c r="E24" s="392"/>
    </row>
    <row r="25" spans="1:5" s="566" customFormat="1" ht="12" customHeight="1">
      <c r="A25" s="550" t="s">
        <v>62</v>
      </c>
      <c r="B25" s="420" t="s">
        <v>328</v>
      </c>
      <c r="C25" s="409"/>
      <c r="D25" s="409"/>
      <c r="E25" s="392"/>
    </row>
    <row r="26" spans="1:5" s="566" customFormat="1" ht="12" customHeight="1">
      <c r="A26" s="550" t="s">
        <v>63</v>
      </c>
      <c r="B26" s="420" t="s">
        <v>329</v>
      </c>
      <c r="C26" s="409"/>
      <c r="D26" s="409"/>
      <c r="E26" s="392"/>
    </row>
    <row r="27" spans="1:5" s="566" customFormat="1" ht="12" customHeight="1">
      <c r="A27" s="550" t="s">
        <v>121</v>
      </c>
      <c r="B27" s="420" t="s">
        <v>330</v>
      </c>
      <c r="C27" s="409"/>
      <c r="D27" s="409"/>
      <c r="E27" s="392"/>
    </row>
    <row r="28" spans="1:5" s="566" customFormat="1" ht="12" customHeight="1" thickBot="1">
      <c r="A28" s="551" t="s">
        <v>122</v>
      </c>
      <c r="B28" s="421" t="s">
        <v>331</v>
      </c>
      <c r="C28" s="411"/>
      <c r="D28" s="411"/>
      <c r="E28" s="394"/>
    </row>
    <row r="29" spans="1:5" s="566" customFormat="1" ht="12" customHeight="1" thickBot="1">
      <c r="A29" s="381" t="s">
        <v>123</v>
      </c>
      <c r="B29" s="377" t="s">
        <v>332</v>
      </c>
      <c r="C29" s="414">
        <f>+C30+C33+C34+C35</f>
        <v>0</v>
      </c>
      <c r="D29" s="414">
        <f>+D30+D33+D34+D35</f>
        <v>0</v>
      </c>
      <c r="E29" s="426">
        <f>+E30+E33+E34+E35</f>
        <v>0</v>
      </c>
    </row>
    <row r="30" spans="1:5" s="566" customFormat="1" ht="12" customHeight="1">
      <c r="A30" s="549" t="s">
        <v>333</v>
      </c>
      <c r="B30" s="419" t="s">
        <v>334</v>
      </c>
      <c r="C30" s="428">
        <f>+C31+C32</f>
        <v>0</v>
      </c>
      <c r="D30" s="428">
        <f>+D31+D32</f>
        <v>0</v>
      </c>
      <c r="E30" s="427">
        <f>+E31+E32</f>
        <v>0</v>
      </c>
    </row>
    <row r="31" spans="1:5" s="566" customFormat="1" ht="12" customHeight="1">
      <c r="A31" s="550" t="s">
        <v>335</v>
      </c>
      <c r="B31" s="420" t="s">
        <v>336</v>
      </c>
      <c r="C31" s="409"/>
      <c r="D31" s="409"/>
      <c r="E31" s="392"/>
    </row>
    <row r="32" spans="1:5" s="566" customFormat="1" ht="12" customHeight="1">
      <c r="A32" s="550" t="s">
        <v>337</v>
      </c>
      <c r="B32" s="420" t="s">
        <v>338</v>
      </c>
      <c r="C32" s="409"/>
      <c r="D32" s="409"/>
      <c r="E32" s="392"/>
    </row>
    <row r="33" spans="1:5" s="566" customFormat="1" ht="12" customHeight="1">
      <c r="A33" s="550" t="s">
        <v>339</v>
      </c>
      <c r="B33" s="420" t="s">
        <v>340</v>
      </c>
      <c r="C33" s="409"/>
      <c r="D33" s="409"/>
      <c r="E33" s="392"/>
    </row>
    <row r="34" spans="1:5" s="566" customFormat="1" ht="12" customHeight="1">
      <c r="A34" s="550" t="s">
        <v>341</v>
      </c>
      <c r="B34" s="420" t="s">
        <v>342</v>
      </c>
      <c r="C34" s="409"/>
      <c r="D34" s="409"/>
      <c r="E34" s="392"/>
    </row>
    <row r="35" spans="1:5" s="566" customFormat="1" ht="12" customHeight="1" thickBot="1">
      <c r="A35" s="551" t="s">
        <v>343</v>
      </c>
      <c r="B35" s="421" t="s">
        <v>344</v>
      </c>
      <c r="C35" s="411"/>
      <c r="D35" s="411"/>
      <c r="E35" s="394"/>
    </row>
    <row r="36" spans="1:5" s="566" customFormat="1" ht="12" customHeight="1" thickBot="1">
      <c r="A36" s="381" t="s">
        <v>10</v>
      </c>
      <c r="B36" s="377" t="s">
        <v>345</v>
      </c>
      <c r="C36" s="408">
        <f>SUM(C37:C46)</f>
        <v>0</v>
      </c>
      <c r="D36" s="408">
        <f>SUM(D37:D46)</f>
        <v>0</v>
      </c>
      <c r="E36" s="391">
        <f>SUM(E37:E46)</f>
        <v>0</v>
      </c>
    </row>
    <row r="37" spans="1:5" s="566" customFormat="1" ht="12" customHeight="1">
      <c r="A37" s="549" t="s">
        <v>64</v>
      </c>
      <c r="B37" s="419" t="s">
        <v>346</v>
      </c>
      <c r="C37" s="410"/>
      <c r="D37" s="410"/>
      <c r="E37" s="393"/>
    </row>
    <row r="38" spans="1:5" s="566" customFormat="1" ht="12" customHeight="1">
      <c r="A38" s="550" t="s">
        <v>65</v>
      </c>
      <c r="B38" s="420" t="s">
        <v>347</v>
      </c>
      <c r="C38" s="409"/>
      <c r="D38" s="409"/>
      <c r="E38" s="392"/>
    </row>
    <row r="39" spans="1:5" s="566" customFormat="1" ht="12" customHeight="1">
      <c r="A39" s="550" t="s">
        <v>66</v>
      </c>
      <c r="B39" s="420" t="s">
        <v>348</v>
      </c>
      <c r="C39" s="409"/>
      <c r="D39" s="409"/>
      <c r="E39" s="392"/>
    </row>
    <row r="40" spans="1:5" s="566" customFormat="1" ht="12" customHeight="1">
      <c r="A40" s="550" t="s">
        <v>125</v>
      </c>
      <c r="B40" s="420" t="s">
        <v>349</v>
      </c>
      <c r="C40" s="409"/>
      <c r="D40" s="409"/>
      <c r="E40" s="392"/>
    </row>
    <row r="41" spans="1:5" s="566" customFormat="1" ht="12" customHeight="1">
      <c r="A41" s="550" t="s">
        <v>126</v>
      </c>
      <c r="B41" s="420" t="s">
        <v>350</v>
      </c>
      <c r="C41" s="409"/>
      <c r="D41" s="409"/>
      <c r="E41" s="392"/>
    </row>
    <row r="42" spans="1:5" s="566" customFormat="1" ht="12" customHeight="1">
      <c r="A42" s="550" t="s">
        <v>127</v>
      </c>
      <c r="B42" s="420" t="s">
        <v>351</v>
      </c>
      <c r="C42" s="409"/>
      <c r="D42" s="409"/>
      <c r="E42" s="392"/>
    </row>
    <row r="43" spans="1:5" s="566" customFormat="1" ht="12" customHeight="1">
      <c r="A43" s="550" t="s">
        <v>128</v>
      </c>
      <c r="B43" s="420" t="s">
        <v>352</v>
      </c>
      <c r="C43" s="409"/>
      <c r="D43" s="409"/>
      <c r="E43" s="392"/>
    </row>
    <row r="44" spans="1:5" s="566" customFormat="1" ht="12" customHeight="1">
      <c r="A44" s="550" t="s">
        <v>129</v>
      </c>
      <c r="B44" s="420" t="s">
        <v>353</v>
      </c>
      <c r="C44" s="409"/>
      <c r="D44" s="409"/>
      <c r="E44" s="392"/>
    </row>
    <row r="45" spans="1:5" s="566" customFormat="1" ht="12" customHeight="1">
      <c r="A45" s="550" t="s">
        <v>354</v>
      </c>
      <c r="B45" s="420" t="s">
        <v>355</v>
      </c>
      <c r="C45" s="412"/>
      <c r="D45" s="412"/>
      <c r="E45" s="395"/>
    </row>
    <row r="46" spans="1:5" s="539" customFormat="1" ht="12" customHeight="1" thickBot="1">
      <c r="A46" s="551" t="s">
        <v>356</v>
      </c>
      <c r="B46" s="421" t="s">
        <v>357</v>
      </c>
      <c r="C46" s="413"/>
      <c r="D46" s="413"/>
      <c r="E46" s="396"/>
    </row>
    <row r="47" spans="1:5" s="566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0</v>
      </c>
      <c r="E47" s="391">
        <f>SUM(E48:E52)</f>
        <v>0</v>
      </c>
    </row>
    <row r="48" spans="1:5" s="566" customFormat="1" ht="12" customHeight="1">
      <c r="A48" s="549" t="s">
        <v>67</v>
      </c>
      <c r="B48" s="419" t="s">
        <v>359</v>
      </c>
      <c r="C48" s="430"/>
      <c r="D48" s="430"/>
      <c r="E48" s="397"/>
    </row>
    <row r="49" spans="1:5" s="566" customFormat="1" ht="12" customHeight="1">
      <c r="A49" s="550" t="s">
        <v>68</v>
      </c>
      <c r="B49" s="420" t="s">
        <v>360</v>
      </c>
      <c r="C49" s="412"/>
      <c r="D49" s="412"/>
      <c r="E49" s="395"/>
    </row>
    <row r="50" spans="1:5" s="566" customFormat="1" ht="12" customHeight="1">
      <c r="A50" s="550" t="s">
        <v>361</v>
      </c>
      <c r="B50" s="420" t="s">
        <v>362</v>
      </c>
      <c r="C50" s="412"/>
      <c r="D50" s="412"/>
      <c r="E50" s="395"/>
    </row>
    <row r="51" spans="1:5" s="566" customFormat="1" ht="12" customHeight="1">
      <c r="A51" s="550" t="s">
        <v>363</v>
      </c>
      <c r="B51" s="420" t="s">
        <v>364</v>
      </c>
      <c r="C51" s="412"/>
      <c r="D51" s="412"/>
      <c r="E51" s="395"/>
    </row>
    <row r="52" spans="1:5" s="566" customFormat="1" ht="12" customHeight="1" thickBot="1">
      <c r="A52" s="551" t="s">
        <v>365</v>
      </c>
      <c r="B52" s="421" t="s">
        <v>366</v>
      </c>
      <c r="C52" s="413"/>
      <c r="D52" s="413"/>
      <c r="E52" s="396"/>
    </row>
    <row r="53" spans="1:5" s="566" customFormat="1" ht="12" customHeight="1" thickBot="1">
      <c r="A53" s="381" t="s">
        <v>130</v>
      </c>
      <c r="B53" s="377" t="s">
        <v>367</v>
      </c>
      <c r="C53" s="408">
        <f>SUM(C54:C56)</f>
        <v>0</v>
      </c>
      <c r="D53" s="408">
        <f>SUM(D54:D56)</f>
        <v>0</v>
      </c>
      <c r="E53" s="391">
        <f>SUM(E54:E56)</f>
        <v>0</v>
      </c>
    </row>
    <row r="54" spans="1:5" s="539" customFormat="1" ht="12" customHeight="1">
      <c r="A54" s="549" t="s">
        <v>69</v>
      </c>
      <c r="B54" s="419" t="s">
        <v>368</v>
      </c>
      <c r="C54" s="410"/>
      <c r="D54" s="410"/>
      <c r="E54" s="393"/>
    </row>
    <row r="55" spans="1:5" s="539" customFormat="1" ht="12" customHeight="1">
      <c r="A55" s="550" t="s">
        <v>70</v>
      </c>
      <c r="B55" s="420" t="s">
        <v>369</v>
      </c>
      <c r="C55" s="409"/>
      <c r="D55" s="409"/>
      <c r="E55" s="392"/>
    </row>
    <row r="56" spans="1:5" s="539" customFormat="1" ht="12" customHeight="1">
      <c r="A56" s="550" t="s">
        <v>370</v>
      </c>
      <c r="B56" s="420" t="s">
        <v>371</v>
      </c>
      <c r="C56" s="409"/>
      <c r="D56" s="409"/>
      <c r="E56" s="392"/>
    </row>
    <row r="57" spans="1:5" s="539" customFormat="1" ht="12" customHeight="1" thickBot="1">
      <c r="A57" s="551" t="s">
        <v>372</v>
      </c>
      <c r="B57" s="421" t="s">
        <v>373</v>
      </c>
      <c r="C57" s="411"/>
      <c r="D57" s="411"/>
      <c r="E57" s="394"/>
    </row>
    <row r="58" spans="1:5" s="566" customFormat="1" ht="12" customHeight="1" thickBot="1">
      <c r="A58" s="381" t="s">
        <v>13</v>
      </c>
      <c r="B58" s="398" t="s">
        <v>374</v>
      </c>
      <c r="C58" s="408">
        <f>SUM(C59:C61)</f>
        <v>0</v>
      </c>
      <c r="D58" s="408">
        <f>SUM(D59:D61)</f>
        <v>0</v>
      </c>
      <c r="E58" s="391">
        <f>SUM(E59:E61)</f>
        <v>0</v>
      </c>
    </row>
    <row r="59" spans="1:5" s="566" customFormat="1" ht="12" customHeight="1">
      <c r="A59" s="549" t="s">
        <v>131</v>
      </c>
      <c r="B59" s="419" t="s">
        <v>375</v>
      </c>
      <c r="C59" s="412"/>
      <c r="D59" s="412"/>
      <c r="E59" s="395"/>
    </row>
    <row r="60" spans="1:5" s="566" customFormat="1" ht="12" customHeight="1">
      <c r="A60" s="550" t="s">
        <v>132</v>
      </c>
      <c r="B60" s="420" t="s">
        <v>563</v>
      </c>
      <c r="C60" s="412"/>
      <c r="D60" s="412"/>
      <c r="E60" s="395"/>
    </row>
    <row r="61" spans="1:5" s="566" customFormat="1" ht="12" customHeight="1">
      <c r="A61" s="550" t="s">
        <v>159</v>
      </c>
      <c r="B61" s="420" t="s">
        <v>377</v>
      </c>
      <c r="C61" s="412"/>
      <c r="D61" s="412"/>
      <c r="E61" s="395"/>
    </row>
    <row r="62" spans="1:5" s="566" customFormat="1" ht="12" customHeight="1" thickBot="1">
      <c r="A62" s="551" t="s">
        <v>378</v>
      </c>
      <c r="B62" s="421" t="s">
        <v>379</v>
      </c>
      <c r="C62" s="412"/>
      <c r="D62" s="412"/>
      <c r="E62" s="395"/>
    </row>
    <row r="63" spans="1:5" s="566" customFormat="1" ht="12" customHeight="1" thickBot="1">
      <c r="A63" s="381" t="s">
        <v>14</v>
      </c>
      <c r="B63" s="377" t="s">
        <v>380</v>
      </c>
      <c r="C63" s="414">
        <f>+C8+C15+C22+C29+C36+C47+C53+C58</f>
        <v>0</v>
      </c>
      <c r="D63" s="414">
        <f>+D8+D15+D22+D29+D36+D47+D53+D58</f>
        <v>0</v>
      </c>
      <c r="E63" s="426">
        <f>+E8+E15+E22+E29+E36+E47+E53+E58</f>
        <v>0</v>
      </c>
    </row>
    <row r="64" spans="1:5" s="566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391">
        <f>SUM(E65:E67)</f>
        <v>0</v>
      </c>
    </row>
    <row r="65" spans="1:5" s="566" customFormat="1" ht="12" customHeight="1">
      <c r="A65" s="549" t="s">
        <v>383</v>
      </c>
      <c r="B65" s="419" t="s">
        <v>384</v>
      </c>
      <c r="C65" s="412"/>
      <c r="D65" s="412"/>
      <c r="E65" s="395"/>
    </row>
    <row r="66" spans="1:5" s="566" customFormat="1" ht="12" customHeight="1">
      <c r="A66" s="550" t="s">
        <v>385</v>
      </c>
      <c r="B66" s="420" t="s">
        <v>386</v>
      </c>
      <c r="C66" s="412"/>
      <c r="D66" s="412"/>
      <c r="E66" s="395"/>
    </row>
    <row r="67" spans="1:5" s="566" customFormat="1" ht="12" customHeight="1" thickBot="1">
      <c r="A67" s="551" t="s">
        <v>387</v>
      </c>
      <c r="B67" s="545" t="s">
        <v>388</v>
      </c>
      <c r="C67" s="412"/>
      <c r="D67" s="412"/>
      <c r="E67" s="395"/>
    </row>
    <row r="68" spans="1:5" s="566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391">
        <f>SUM(E69:E72)</f>
        <v>0</v>
      </c>
    </row>
    <row r="69" spans="1:5" s="566" customFormat="1" ht="12" customHeight="1">
      <c r="A69" s="549" t="s">
        <v>108</v>
      </c>
      <c r="B69" s="419" t="s">
        <v>391</v>
      </c>
      <c r="C69" s="412"/>
      <c r="D69" s="412"/>
      <c r="E69" s="395"/>
    </row>
    <row r="70" spans="1:5" s="566" customFormat="1" ht="12" customHeight="1">
      <c r="A70" s="550" t="s">
        <v>109</v>
      </c>
      <c r="B70" s="420" t="s">
        <v>392</v>
      </c>
      <c r="C70" s="412"/>
      <c r="D70" s="412"/>
      <c r="E70" s="395"/>
    </row>
    <row r="71" spans="1:5" s="566" customFormat="1" ht="12" customHeight="1">
      <c r="A71" s="550" t="s">
        <v>393</v>
      </c>
      <c r="B71" s="420" t="s">
        <v>394</v>
      </c>
      <c r="C71" s="412"/>
      <c r="D71" s="412"/>
      <c r="E71" s="395"/>
    </row>
    <row r="72" spans="1:5" s="566" customFormat="1" ht="12" customHeight="1" thickBot="1">
      <c r="A72" s="551" t="s">
        <v>395</v>
      </c>
      <c r="B72" s="421" t="s">
        <v>396</v>
      </c>
      <c r="C72" s="412"/>
      <c r="D72" s="412"/>
      <c r="E72" s="395"/>
    </row>
    <row r="73" spans="1:5" s="566" customFormat="1" ht="12" customHeight="1" thickBot="1">
      <c r="A73" s="552" t="s">
        <v>397</v>
      </c>
      <c r="B73" s="398" t="s">
        <v>398</v>
      </c>
      <c r="C73" s="408">
        <f>SUM(C74:C75)</f>
        <v>0</v>
      </c>
      <c r="D73" s="408">
        <f>SUM(D74:D75)</f>
        <v>0</v>
      </c>
      <c r="E73" s="391">
        <f>SUM(E74:E75)</f>
        <v>0</v>
      </c>
    </row>
    <row r="74" spans="1:5" s="566" customFormat="1" ht="12" customHeight="1">
      <c r="A74" s="549" t="s">
        <v>399</v>
      </c>
      <c r="B74" s="419" t="s">
        <v>400</v>
      </c>
      <c r="C74" s="412"/>
      <c r="D74" s="412"/>
      <c r="E74" s="395"/>
    </row>
    <row r="75" spans="1:5" s="566" customFormat="1" ht="12" customHeight="1" thickBot="1">
      <c r="A75" s="551" t="s">
        <v>401</v>
      </c>
      <c r="B75" s="421" t="s">
        <v>402</v>
      </c>
      <c r="C75" s="412"/>
      <c r="D75" s="412"/>
      <c r="E75" s="395"/>
    </row>
    <row r="76" spans="1:5" s="566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0</v>
      </c>
      <c r="E76" s="391">
        <f>SUM(E77:E79)</f>
        <v>0</v>
      </c>
    </row>
    <row r="77" spans="1:5" s="566" customFormat="1" ht="12" customHeight="1">
      <c r="A77" s="549" t="s">
        <v>405</v>
      </c>
      <c r="B77" s="419" t="s">
        <v>406</v>
      </c>
      <c r="C77" s="412"/>
      <c r="D77" s="412"/>
      <c r="E77" s="395"/>
    </row>
    <row r="78" spans="1:5" s="566" customFormat="1" ht="12" customHeight="1">
      <c r="A78" s="550" t="s">
        <v>407</v>
      </c>
      <c r="B78" s="420" t="s">
        <v>408</v>
      </c>
      <c r="C78" s="412"/>
      <c r="D78" s="412"/>
      <c r="E78" s="395"/>
    </row>
    <row r="79" spans="1:5" s="566" customFormat="1" ht="12" customHeight="1" thickBot="1">
      <c r="A79" s="551" t="s">
        <v>409</v>
      </c>
      <c r="B79" s="421" t="s">
        <v>410</v>
      </c>
      <c r="C79" s="412"/>
      <c r="D79" s="412"/>
      <c r="E79" s="395"/>
    </row>
    <row r="80" spans="1:5" s="566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566" customFormat="1" ht="12" customHeight="1">
      <c r="A81" s="553" t="s">
        <v>413</v>
      </c>
      <c r="B81" s="419" t="s">
        <v>414</v>
      </c>
      <c r="C81" s="412"/>
      <c r="D81" s="412"/>
      <c r="E81" s="395"/>
    </row>
    <row r="82" spans="1:5" s="566" customFormat="1" ht="12" customHeight="1">
      <c r="A82" s="554" t="s">
        <v>415</v>
      </c>
      <c r="B82" s="420" t="s">
        <v>416</v>
      </c>
      <c r="C82" s="412"/>
      <c r="D82" s="412"/>
      <c r="E82" s="395"/>
    </row>
    <row r="83" spans="1:5" s="566" customFormat="1" ht="12" customHeight="1">
      <c r="A83" s="554" t="s">
        <v>417</v>
      </c>
      <c r="B83" s="420" t="s">
        <v>418</v>
      </c>
      <c r="C83" s="412"/>
      <c r="D83" s="412"/>
      <c r="E83" s="395"/>
    </row>
    <row r="84" spans="1:5" s="566" customFormat="1" ht="12" customHeight="1" thickBot="1">
      <c r="A84" s="555" t="s">
        <v>419</v>
      </c>
      <c r="B84" s="421" t="s">
        <v>420</v>
      </c>
      <c r="C84" s="412"/>
      <c r="D84" s="412"/>
      <c r="E84" s="395"/>
    </row>
    <row r="85" spans="1:5" s="566" customFormat="1" ht="12" customHeight="1" thickBot="1">
      <c r="A85" s="552" t="s">
        <v>421</v>
      </c>
      <c r="B85" s="398" t="s">
        <v>422</v>
      </c>
      <c r="C85" s="434"/>
      <c r="D85" s="434"/>
      <c r="E85" s="435"/>
    </row>
    <row r="86" spans="1:5" s="566" customFormat="1" ht="12" customHeight="1" thickBot="1">
      <c r="A86" s="552" t="s">
        <v>423</v>
      </c>
      <c r="B86" s="546" t="s">
        <v>424</v>
      </c>
      <c r="C86" s="414">
        <f>+C64+C68+C73+C76+C80+C85</f>
        <v>0</v>
      </c>
      <c r="D86" s="414">
        <f>+D64+D68+D73+D76+D80+D85</f>
        <v>0</v>
      </c>
      <c r="E86" s="426">
        <f>+E64+E68+E73+E76+E80+E85</f>
        <v>0</v>
      </c>
    </row>
    <row r="87" spans="1:5" s="566" customFormat="1" ht="12" customHeight="1" thickBot="1">
      <c r="A87" s="556" t="s">
        <v>425</v>
      </c>
      <c r="B87" s="547" t="s">
        <v>562</v>
      </c>
      <c r="C87" s="414">
        <f>+C63+C86</f>
        <v>0</v>
      </c>
      <c r="D87" s="414">
        <f>+D63+D86</f>
        <v>0</v>
      </c>
      <c r="E87" s="426">
        <f>+E63+E86</f>
        <v>0</v>
      </c>
    </row>
    <row r="88" spans="1:5" s="566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5" customFormat="1" ht="16.5" customHeight="1" thickBot="1">
      <c r="A90" s="797" t="s">
        <v>44</v>
      </c>
      <c r="B90" s="798"/>
      <c r="C90" s="798"/>
      <c r="D90" s="798"/>
      <c r="E90" s="799"/>
    </row>
    <row r="91" spans="1:5" s="339" customFormat="1" ht="12" customHeight="1" thickBot="1">
      <c r="A91" s="544" t="s">
        <v>6</v>
      </c>
      <c r="B91" s="380" t="s">
        <v>433</v>
      </c>
      <c r="C91" s="407">
        <f>SUM(C92:C96)</f>
        <v>0</v>
      </c>
      <c r="D91" s="407">
        <f>SUM(D92:D96)</f>
        <v>0</v>
      </c>
      <c r="E91" s="362">
        <f>SUM(E92:E96)</f>
        <v>0</v>
      </c>
    </row>
    <row r="92" spans="1:5" ht="12" customHeight="1">
      <c r="A92" s="557" t="s">
        <v>71</v>
      </c>
      <c r="B92" s="366" t="s">
        <v>36</v>
      </c>
      <c r="C92" s="98"/>
      <c r="D92" s="98"/>
      <c r="E92" s="361"/>
    </row>
    <row r="93" spans="1:5" ht="12" customHeight="1">
      <c r="A93" s="550" t="s">
        <v>72</v>
      </c>
      <c r="B93" s="364" t="s">
        <v>133</v>
      </c>
      <c r="C93" s="409"/>
      <c r="D93" s="409"/>
      <c r="E93" s="392"/>
    </row>
    <row r="94" spans="1:5" ht="12" customHeight="1">
      <c r="A94" s="550" t="s">
        <v>73</v>
      </c>
      <c r="B94" s="364" t="s">
        <v>100</v>
      </c>
      <c r="C94" s="411"/>
      <c r="D94" s="411"/>
      <c r="E94" s="394"/>
    </row>
    <row r="95" spans="1:5" ht="12" customHeight="1">
      <c r="A95" s="550" t="s">
        <v>74</v>
      </c>
      <c r="B95" s="367" t="s">
        <v>134</v>
      </c>
      <c r="C95" s="411"/>
      <c r="D95" s="411"/>
      <c r="E95" s="394"/>
    </row>
    <row r="96" spans="1:5" ht="12" customHeight="1">
      <c r="A96" s="550" t="s">
        <v>83</v>
      </c>
      <c r="B96" s="375" t="s">
        <v>135</v>
      </c>
      <c r="C96" s="411"/>
      <c r="D96" s="411"/>
      <c r="E96" s="394"/>
    </row>
    <row r="97" spans="1:5" ht="12" customHeight="1">
      <c r="A97" s="550" t="s">
        <v>75</v>
      </c>
      <c r="B97" s="364" t="s">
        <v>434</v>
      </c>
      <c r="C97" s="411"/>
      <c r="D97" s="411"/>
      <c r="E97" s="394"/>
    </row>
    <row r="98" spans="1:5" ht="12" customHeight="1">
      <c r="A98" s="550" t="s">
        <v>76</v>
      </c>
      <c r="B98" s="387" t="s">
        <v>435</v>
      </c>
      <c r="C98" s="411"/>
      <c r="D98" s="411"/>
      <c r="E98" s="394"/>
    </row>
    <row r="99" spans="1:5" ht="12" customHeight="1">
      <c r="A99" s="550" t="s">
        <v>84</v>
      </c>
      <c r="B99" s="388" t="s">
        <v>436</v>
      </c>
      <c r="C99" s="411"/>
      <c r="D99" s="411"/>
      <c r="E99" s="394"/>
    </row>
    <row r="100" spans="1:5" ht="12" customHeight="1">
      <c r="A100" s="550" t="s">
        <v>85</v>
      </c>
      <c r="B100" s="388" t="s">
        <v>437</v>
      </c>
      <c r="C100" s="411"/>
      <c r="D100" s="411"/>
      <c r="E100" s="394"/>
    </row>
    <row r="101" spans="1:5" ht="12" customHeight="1">
      <c r="A101" s="550" t="s">
        <v>86</v>
      </c>
      <c r="B101" s="387" t="s">
        <v>438</v>
      </c>
      <c r="C101" s="411"/>
      <c r="D101" s="411"/>
      <c r="E101" s="394"/>
    </row>
    <row r="102" spans="1:5" ht="12" customHeight="1">
      <c r="A102" s="550" t="s">
        <v>87</v>
      </c>
      <c r="B102" s="387" t="s">
        <v>439</v>
      </c>
      <c r="C102" s="411"/>
      <c r="D102" s="411"/>
      <c r="E102" s="394"/>
    </row>
    <row r="103" spans="1:5" ht="12" customHeight="1">
      <c r="A103" s="550" t="s">
        <v>89</v>
      </c>
      <c r="B103" s="388" t="s">
        <v>440</v>
      </c>
      <c r="C103" s="411"/>
      <c r="D103" s="411"/>
      <c r="E103" s="394"/>
    </row>
    <row r="104" spans="1:5" ht="12" customHeight="1">
      <c r="A104" s="558" t="s">
        <v>136</v>
      </c>
      <c r="B104" s="389" t="s">
        <v>441</v>
      </c>
      <c r="C104" s="411"/>
      <c r="D104" s="411"/>
      <c r="E104" s="394"/>
    </row>
    <row r="105" spans="1:5" ht="12" customHeight="1">
      <c r="A105" s="550" t="s">
        <v>442</v>
      </c>
      <c r="B105" s="389" t="s">
        <v>443</v>
      </c>
      <c r="C105" s="411"/>
      <c r="D105" s="411"/>
      <c r="E105" s="394"/>
    </row>
    <row r="106" spans="1:5" s="339" customFormat="1" ht="12" customHeight="1" thickBot="1">
      <c r="A106" s="559" t="s">
        <v>444</v>
      </c>
      <c r="B106" s="390" t="s">
        <v>445</v>
      </c>
      <c r="C106" s="99"/>
      <c r="D106" s="99"/>
      <c r="E106" s="355"/>
    </row>
    <row r="107" spans="1:5" ht="12" customHeight="1" thickBot="1">
      <c r="A107" s="381" t="s">
        <v>7</v>
      </c>
      <c r="B107" s="379" t="s">
        <v>446</v>
      </c>
      <c r="C107" s="408">
        <f>+C108+C110+C112</f>
        <v>0</v>
      </c>
      <c r="D107" s="408">
        <f>+D108+D110+D112</f>
        <v>0</v>
      </c>
      <c r="E107" s="391">
        <f>+E108+E110+E112</f>
        <v>0</v>
      </c>
    </row>
    <row r="108" spans="1:5" ht="12" customHeight="1">
      <c r="A108" s="549" t="s">
        <v>77</v>
      </c>
      <c r="B108" s="364" t="s">
        <v>157</v>
      </c>
      <c r="C108" s="410"/>
      <c r="D108" s="410"/>
      <c r="E108" s="393"/>
    </row>
    <row r="109" spans="1:5" ht="12" customHeight="1">
      <c r="A109" s="549" t="s">
        <v>78</v>
      </c>
      <c r="B109" s="368" t="s">
        <v>447</v>
      </c>
      <c r="C109" s="410"/>
      <c r="D109" s="410"/>
      <c r="E109" s="393"/>
    </row>
    <row r="110" spans="1:5" ht="12" customHeight="1">
      <c r="A110" s="549" t="s">
        <v>79</v>
      </c>
      <c r="B110" s="368" t="s">
        <v>137</v>
      </c>
      <c r="C110" s="409"/>
      <c r="D110" s="409"/>
      <c r="E110" s="392"/>
    </row>
    <row r="111" spans="1:5" ht="12" customHeight="1">
      <c r="A111" s="549" t="s">
        <v>80</v>
      </c>
      <c r="B111" s="368" t="s">
        <v>448</v>
      </c>
      <c r="C111" s="409"/>
      <c r="D111" s="409"/>
      <c r="E111" s="392"/>
    </row>
    <row r="112" spans="1:5" ht="12" customHeight="1">
      <c r="A112" s="549" t="s">
        <v>81</v>
      </c>
      <c r="B112" s="400" t="s">
        <v>160</v>
      </c>
      <c r="C112" s="409"/>
      <c r="D112" s="409"/>
      <c r="E112" s="392"/>
    </row>
    <row r="113" spans="1:5" ht="12" customHeight="1">
      <c r="A113" s="549" t="s">
        <v>88</v>
      </c>
      <c r="B113" s="399" t="s">
        <v>449</v>
      </c>
      <c r="C113" s="409"/>
      <c r="D113" s="409"/>
      <c r="E113" s="392"/>
    </row>
    <row r="114" spans="1:5" ht="12" customHeight="1">
      <c r="A114" s="549" t="s">
        <v>90</v>
      </c>
      <c r="B114" s="415" t="s">
        <v>450</v>
      </c>
      <c r="C114" s="409"/>
      <c r="D114" s="409"/>
      <c r="E114" s="392"/>
    </row>
    <row r="115" spans="1:5" ht="12" customHeight="1">
      <c r="A115" s="549" t="s">
        <v>138</v>
      </c>
      <c r="B115" s="388" t="s">
        <v>437</v>
      </c>
      <c r="C115" s="409"/>
      <c r="D115" s="409"/>
      <c r="E115" s="392"/>
    </row>
    <row r="116" spans="1:5" ht="12" customHeight="1">
      <c r="A116" s="549" t="s">
        <v>139</v>
      </c>
      <c r="B116" s="388" t="s">
        <v>451</v>
      </c>
      <c r="C116" s="409"/>
      <c r="D116" s="409"/>
      <c r="E116" s="392"/>
    </row>
    <row r="117" spans="1:5" ht="12" customHeight="1">
      <c r="A117" s="549" t="s">
        <v>140</v>
      </c>
      <c r="B117" s="388" t="s">
        <v>452</v>
      </c>
      <c r="C117" s="409"/>
      <c r="D117" s="409"/>
      <c r="E117" s="392"/>
    </row>
    <row r="118" spans="1:5" ht="12" customHeight="1">
      <c r="A118" s="549" t="s">
        <v>453</v>
      </c>
      <c r="B118" s="388" t="s">
        <v>440</v>
      </c>
      <c r="C118" s="409"/>
      <c r="D118" s="409"/>
      <c r="E118" s="392"/>
    </row>
    <row r="119" spans="1:5" ht="12" customHeight="1">
      <c r="A119" s="549" t="s">
        <v>454</v>
      </c>
      <c r="B119" s="388" t="s">
        <v>455</v>
      </c>
      <c r="C119" s="409"/>
      <c r="D119" s="409"/>
      <c r="E119" s="392"/>
    </row>
    <row r="120" spans="1:5" ht="12" customHeight="1" thickBot="1">
      <c r="A120" s="558" t="s">
        <v>456</v>
      </c>
      <c r="B120" s="388" t="s">
        <v>457</v>
      </c>
      <c r="C120" s="411"/>
      <c r="D120" s="411"/>
      <c r="E120" s="394"/>
    </row>
    <row r="121" spans="1:5" ht="12" customHeight="1" thickBot="1">
      <c r="A121" s="381" t="s">
        <v>8</v>
      </c>
      <c r="B121" s="384" t="s">
        <v>458</v>
      </c>
      <c r="C121" s="408">
        <f>+C122+C123</f>
        <v>0</v>
      </c>
      <c r="D121" s="408">
        <f>+D122+D123</f>
        <v>0</v>
      </c>
      <c r="E121" s="391">
        <f>+E122+E123</f>
        <v>0</v>
      </c>
    </row>
    <row r="122" spans="1:5" ht="12" customHeight="1">
      <c r="A122" s="549" t="s">
        <v>60</v>
      </c>
      <c r="B122" s="365" t="s">
        <v>46</v>
      </c>
      <c r="C122" s="410"/>
      <c r="D122" s="410"/>
      <c r="E122" s="393"/>
    </row>
    <row r="123" spans="1:5" ht="12" customHeight="1" thickBot="1">
      <c r="A123" s="551" t="s">
        <v>61</v>
      </c>
      <c r="B123" s="368" t="s">
        <v>47</v>
      </c>
      <c r="C123" s="411"/>
      <c r="D123" s="411"/>
      <c r="E123" s="394"/>
    </row>
    <row r="124" spans="1:5" ht="12" customHeight="1" thickBot="1">
      <c r="A124" s="381" t="s">
        <v>9</v>
      </c>
      <c r="B124" s="384" t="s">
        <v>459</v>
      </c>
      <c r="C124" s="408">
        <f>+C91+C107+C121</f>
        <v>0</v>
      </c>
      <c r="D124" s="408">
        <f>+D91+D107+D121</f>
        <v>0</v>
      </c>
      <c r="E124" s="391">
        <f>+E91+E107+E121</f>
        <v>0</v>
      </c>
    </row>
    <row r="125" spans="1:5" ht="12" customHeight="1" thickBot="1">
      <c r="A125" s="381" t="s">
        <v>10</v>
      </c>
      <c r="B125" s="384" t="s">
        <v>564</v>
      </c>
      <c r="C125" s="408">
        <f>+C126+C127+C128</f>
        <v>0</v>
      </c>
      <c r="D125" s="408">
        <f>+D126+D127+D128</f>
        <v>0</v>
      </c>
      <c r="E125" s="391">
        <f>+E126+E127+E128</f>
        <v>0</v>
      </c>
    </row>
    <row r="126" spans="1:5" ht="12" customHeight="1">
      <c r="A126" s="549" t="s">
        <v>64</v>
      </c>
      <c r="B126" s="365" t="s">
        <v>461</v>
      </c>
      <c r="C126" s="409"/>
      <c r="D126" s="409"/>
      <c r="E126" s="392"/>
    </row>
    <row r="127" spans="1:5" ht="12" customHeight="1">
      <c r="A127" s="549" t="s">
        <v>65</v>
      </c>
      <c r="B127" s="365" t="s">
        <v>462</v>
      </c>
      <c r="C127" s="409"/>
      <c r="D127" s="409"/>
      <c r="E127" s="392"/>
    </row>
    <row r="128" spans="1:5" ht="12" customHeight="1" thickBot="1">
      <c r="A128" s="558" t="s">
        <v>66</v>
      </c>
      <c r="B128" s="363" t="s">
        <v>463</v>
      </c>
      <c r="C128" s="409"/>
      <c r="D128" s="409"/>
      <c r="E128" s="392"/>
    </row>
    <row r="129" spans="1:5" ht="12" customHeight="1" thickBot="1">
      <c r="A129" s="381" t="s">
        <v>11</v>
      </c>
      <c r="B129" s="384" t="s">
        <v>464</v>
      </c>
      <c r="C129" s="408">
        <f>+C130+C131+C132+C133</f>
        <v>0</v>
      </c>
      <c r="D129" s="408">
        <f>+D130+D131+D132+D133</f>
        <v>0</v>
      </c>
      <c r="E129" s="391">
        <f>+E130+E131+E132+E133</f>
        <v>0</v>
      </c>
    </row>
    <row r="130" spans="1:5" ht="12" customHeight="1">
      <c r="A130" s="549" t="s">
        <v>67</v>
      </c>
      <c r="B130" s="365" t="s">
        <v>465</v>
      </c>
      <c r="C130" s="409"/>
      <c r="D130" s="409"/>
      <c r="E130" s="392"/>
    </row>
    <row r="131" spans="1:5" ht="12" customHeight="1">
      <c r="A131" s="549" t="s">
        <v>68</v>
      </c>
      <c r="B131" s="365" t="s">
        <v>466</v>
      </c>
      <c r="C131" s="409"/>
      <c r="D131" s="409"/>
      <c r="E131" s="392"/>
    </row>
    <row r="132" spans="1:5" ht="12" customHeight="1">
      <c r="A132" s="549" t="s">
        <v>361</v>
      </c>
      <c r="B132" s="365" t="s">
        <v>467</v>
      </c>
      <c r="C132" s="409"/>
      <c r="D132" s="409"/>
      <c r="E132" s="392"/>
    </row>
    <row r="133" spans="1:5" s="339" customFormat="1" ht="12" customHeight="1" thickBot="1">
      <c r="A133" s="558" t="s">
        <v>363</v>
      </c>
      <c r="B133" s="363" t="s">
        <v>468</v>
      </c>
      <c r="C133" s="409"/>
      <c r="D133" s="409"/>
      <c r="E133" s="392"/>
    </row>
    <row r="134" spans="1:11" ht="13.5" thickBot="1">
      <c r="A134" s="381" t="s">
        <v>12</v>
      </c>
      <c r="B134" s="384" t="s">
        <v>681</v>
      </c>
      <c r="C134" s="414">
        <f>+C135+C136+C138+C139+C137</f>
        <v>0</v>
      </c>
      <c r="D134" s="414">
        <f>+D135+D136+D138+D139+D137</f>
        <v>0</v>
      </c>
      <c r="E134" s="426">
        <f>+E135+E136+E138+E139+E137</f>
        <v>0</v>
      </c>
      <c r="K134" s="512"/>
    </row>
    <row r="135" spans="1:5" ht="12.75">
      <c r="A135" s="549" t="s">
        <v>69</v>
      </c>
      <c r="B135" s="365" t="s">
        <v>470</v>
      </c>
      <c r="C135" s="409"/>
      <c r="D135" s="409"/>
      <c r="E135" s="392"/>
    </row>
    <row r="136" spans="1:5" ht="12" customHeight="1">
      <c r="A136" s="549" t="s">
        <v>70</v>
      </c>
      <c r="B136" s="365" t="s">
        <v>471</v>
      </c>
      <c r="C136" s="409"/>
      <c r="D136" s="409"/>
      <c r="E136" s="392"/>
    </row>
    <row r="137" spans="1:5" ht="12" customHeight="1">
      <c r="A137" s="549" t="s">
        <v>370</v>
      </c>
      <c r="B137" s="365" t="s">
        <v>680</v>
      </c>
      <c r="C137" s="409"/>
      <c r="D137" s="409"/>
      <c r="E137" s="392"/>
    </row>
    <row r="138" spans="1:5" s="339" customFormat="1" ht="12" customHeight="1">
      <c r="A138" s="549" t="s">
        <v>372</v>
      </c>
      <c r="B138" s="365" t="s">
        <v>472</v>
      </c>
      <c r="C138" s="409"/>
      <c r="D138" s="409"/>
      <c r="E138" s="392"/>
    </row>
    <row r="139" spans="1:5" s="339" customFormat="1" ht="12" customHeight="1" thickBot="1">
      <c r="A139" s="558" t="s">
        <v>679</v>
      </c>
      <c r="B139" s="363" t="s">
        <v>473</v>
      </c>
      <c r="C139" s="409"/>
      <c r="D139" s="409"/>
      <c r="E139" s="392"/>
    </row>
    <row r="140" spans="1:5" s="339" customFormat="1" ht="12" customHeight="1" thickBot="1">
      <c r="A140" s="381" t="s">
        <v>13</v>
      </c>
      <c r="B140" s="384" t="s">
        <v>565</v>
      </c>
      <c r="C140" s="100">
        <f>+C141+C142+C143+C144</f>
        <v>0</v>
      </c>
      <c r="D140" s="100">
        <f>+D141+D142+D143+D144</f>
        <v>0</v>
      </c>
      <c r="E140" s="360">
        <f>+E141+E142+E143+E144</f>
        <v>0</v>
      </c>
    </row>
    <row r="141" spans="1:5" s="339" customFormat="1" ht="12" customHeight="1">
      <c r="A141" s="549" t="s">
        <v>131</v>
      </c>
      <c r="B141" s="365" t="s">
        <v>475</v>
      </c>
      <c r="C141" s="409"/>
      <c r="D141" s="409"/>
      <c r="E141" s="392"/>
    </row>
    <row r="142" spans="1:5" s="339" customFormat="1" ht="12" customHeight="1">
      <c r="A142" s="549" t="s">
        <v>132</v>
      </c>
      <c r="B142" s="365" t="s">
        <v>476</v>
      </c>
      <c r="C142" s="409"/>
      <c r="D142" s="409"/>
      <c r="E142" s="392"/>
    </row>
    <row r="143" spans="1:5" s="339" customFormat="1" ht="12" customHeight="1">
      <c r="A143" s="549" t="s">
        <v>159</v>
      </c>
      <c r="B143" s="365" t="s">
        <v>477</v>
      </c>
      <c r="C143" s="409"/>
      <c r="D143" s="409"/>
      <c r="E143" s="392"/>
    </row>
    <row r="144" spans="1:5" ht="12.75" customHeight="1" thickBot="1">
      <c r="A144" s="549" t="s">
        <v>378</v>
      </c>
      <c r="B144" s="365" t="s">
        <v>478</v>
      </c>
      <c r="C144" s="409"/>
      <c r="D144" s="409"/>
      <c r="E144" s="392"/>
    </row>
    <row r="145" spans="1:5" ht="12" customHeight="1" thickBot="1">
      <c r="A145" s="381" t="s">
        <v>14</v>
      </c>
      <c r="B145" s="384" t="s">
        <v>479</v>
      </c>
      <c r="C145" s="358">
        <f>+C125+C129+C134+C140</f>
        <v>0</v>
      </c>
      <c r="D145" s="358">
        <f>+D125+D129+D134+D140</f>
        <v>0</v>
      </c>
      <c r="E145" s="359">
        <f>+E125+E129+E134+E140</f>
        <v>0</v>
      </c>
    </row>
    <row r="146" spans="1:5" ht="15" customHeight="1" thickBot="1">
      <c r="A146" s="560" t="s">
        <v>15</v>
      </c>
      <c r="B146" s="404" t="s">
        <v>480</v>
      </c>
      <c r="C146" s="358">
        <f>+C124+C145</f>
        <v>0</v>
      </c>
      <c r="D146" s="358">
        <f>+D124+D145</f>
        <v>0</v>
      </c>
      <c r="E146" s="359">
        <f>+E124+E145</f>
        <v>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525" t="s">
        <v>682</v>
      </c>
      <c r="B148" s="526"/>
      <c r="C148" s="113"/>
      <c r="D148" s="114"/>
      <c r="E148" s="111"/>
    </row>
    <row r="149" spans="1:5" ht="14.25" customHeight="1" thickBot="1">
      <c r="A149" s="525" t="s">
        <v>149</v>
      </c>
      <c r="B149" s="526"/>
      <c r="C149" s="113"/>
      <c r="D149" s="114"/>
      <c r="E149" s="111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81" customWidth="1"/>
    <col min="2" max="2" width="59.375" style="32" customWidth="1"/>
    <col min="3" max="5" width="15.875" style="32" customWidth="1"/>
    <col min="6" max="6" width="0" style="678" hidden="1" customWidth="1"/>
    <col min="7" max="16384" width="9.375" style="32" customWidth="1"/>
  </cols>
  <sheetData>
    <row r="1" spans="1:6" s="516" customFormat="1" ht="21" customHeight="1" thickBot="1">
      <c r="A1" s="515"/>
      <c r="B1" s="517"/>
      <c r="C1" s="562"/>
      <c r="D1" s="562"/>
      <c r="E1" s="658" t="str">
        <f>+CONCATENATE("7.1. melléklet a 6 /",LEFT(ÖSSZEFÜGGÉSEK!A4,4)+1,". (V.30.) önkormányzati rendelethez")</f>
        <v>7.1. melléklet a 6 /2018. (V.30.) önkormányzati rendelethez</v>
      </c>
      <c r="F1" s="681"/>
    </row>
    <row r="2" spans="1:6" s="563" customFormat="1" ht="31.5" customHeight="1">
      <c r="A2" s="543" t="s">
        <v>147</v>
      </c>
      <c r="B2" s="803" t="s">
        <v>820</v>
      </c>
      <c r="C2" s="804"/>
      <c r="D2" s="805"/>
      <c r="E2" s="586" t="s">
        <v>48</v>
      </c>
      <c r="F2" s="682"/>
    </row>
    <row r="3" spans="1:6" s="563" customFormat="1" ht="24.75" thickBot="1">
      <c r="A3" s="561" t="s">
        <v>566</v>
      </c>
      <c r="B3" s="800" t="s">
        <v>559</v>
      </c>
      <c r="C3" s="806"/>
      <c r="D3" s="807"/>
      <c r="E3" s="587" t="s">
        <v>40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39" customFormat="1" ht="12" customHeight="1" thickBot="1">
      <c r="A8" s="513" t="s">
        <v>6</v>
      </c>
      <c r="B8" s="577" t="s">
        <v>567</v>
      </c>
      <c r="C8" s="444">
        <f>SUM(C9:C18)</f>
        <v>15360962</v>
      </c>
      <c r="D8" s="444">
        <f>SUM(D9:D18)</f>
        <v>15360962</v>
      </c>
      <c r="E8" s="444">
        <f>SUM(E9:E18)</f>
        <v>13568915</v>
      </c>
      <c r="F8" s="444">
        <f>SUM(F9:F18)</f>
        <v>0</v>
      </c>
    </row>
    <row r="9" spans="1:6" s="539" customFormat="1" ht="12" customHeight="1">
      <c r="A9" s="588" t="s">
        <v>71</v>
      </c>
      <c r="B9" s="366" t="s">
        <v>346</v>
      </c>
      <c r="C9" s="106">
        <v>0</v>
      </c>
      <c r="D9" s="106">
        <v>0</v>
      </c>
      <c r="E9" s="572">
        <v>0</v>
      </c>
      <c r="F9" s="684" t="s">
        <v>741</v>
      </c>
    </row>
    <row r="10" spans="1:6" s="539" customFormat="1" ht="12" customHeight="1">
      <c r="A10" s="589" t="s">
        <v>72</v>
      </c>
      <c r="B10" s="364" t="s">
        <v>347</v>
      </c>
      <c r="C10" s="441"/>
      <c r="D10" s="441">
        <v>4364957</v>
      </c>
      <c r="E10" s="115">
        <v>4312257</v>
      </c>
      <c r="F10" s="684" t="s">
        <v>742</v>
      </c>
    </row>
    <row r="11" spans="1:6" s="539" customFormat="1" ht="12" customHeight="1">
      <c r="A11" s="589" t="s">
        <v>73</v>
      </c>
      <c r="B11" s="364" t="s">
        <v>348</v>
      </c>
      <c r="C11" s="441"/>
      <c r="D11" s="441"/>
      <c r="E11" s="115">
        <v>0</v>
      </c>
      <c r="F11" s="684" t="s">
        <v>743</v>
      </c>
    </row>
    <row r="12" spans="1:6" s="539" customFormat="1" ht="12" customHeight="1">
      <c r="A12" s="589" t="s">
        <v>74</v>
      </c>
      <c r="B12" s="364" t="s">
        <v>349</v>
      </c>
      <c r="C12" s="441"/>
      <c r="D12" s="441">
        <v>0</v>
      </c>
      <c r="E12" s="115"/>
      <c r="F12" s="684" t="s">
        <v>744</v>
      </c>
    </row>
    <row r="13" spans="1:6" s="539" customFormat="1" ht="12" customHeight="1">
      <c r="A13" s="589" t="s">
        <v>107</v>
      </c>
      <c r="B13" s="364" t="s">
        <v>350</v>
      </c>
      <c r="C13" s="441">
        <v>12095246</v>
      </c>
      <c r="D13" s="441">
        <v>8217961</v>
      </c>
      <c r="E13" s="115">
        <v>7693853</v>
      </c>
      <c r="F13" s="684" t="s">
        <v>745</v>
      </c>
    </row>
    <row r="14" spans="1:6" s="539" customFormat="1" ht="12" customHeight="1">
      <c r="A14" s="589" t="s">
        <v>75</v>
      </c>
      <c r="B14" s="364" t="s">
        <v>568</v>
      </c>
      <c r="C14" s="441">
        <v>3265716</v>
      </c>
      <c r="D14" s="441">
        <v>2315669</v>
      </c>
      <c r="E14" s="115">
        <v>1100430</v>
      </c>
      <c r="F14" s="684" t="s">
        <v>746</v>
      </c>
    </row>
    <row r="15" spans="1:6" s="566" customFormat="1" ht="12" customHeight="1">
      <c r="A15" s="589" t="s">
        <v>76</v>
      </c>
      <c r="B15" s="363" t="s">
        <v>569</v>
      </c>
      <c r="C15" s="441"/>
      <c r="D15" s="441">
        <v>390427</v>
      </c>
      <c r="E15" s="115">
        <v>390427</v>
      </c>
      <c r="F15" s="684" t="s">
        <v>747</v>
      </c>
    </row>
    <row r="16" spans="1:6" s="566" customFormat="1" ht="12" customHeight="1">
      <c r="A16" s="589" t="s">
        <v>84</v>
      </c>
      <c r="B16" s="364" t="s">
        <v>353</v>
      </c>
      <c r="C16" s="107"/>
      <c r="D16" s="107">
        <v>13670</v>
      </c>
      <c r="E16" s="571">
        <v>13670</v>
      </c>
      <c r="F16" s="684" t="s">
        <v>748</v>
      </c>
    </row>
    <row r="17" spans="1:6" s="539" customFormat="1" ht="12" customHeight="1">
      <c r="A17" s="589" t="s">
        <v>85</v>
      </c>
      <c r="B17" s="364" t="s">
        <v>355</v>
      </c>
      <c r="C17" s="441"/>
      <c r="D17" s="441">
        <v>0</v>
      </c>
      <c r="E17" s="115"/>
      <c r="F17" s="684" t="s">
        <v>749</v>
      </c>
    </row>
    <row r="18" spans="1:6" s="566" customFormat="1" ht="12" customHeight="1" thickBot="1">
      <c r="A18" s="589" t="s">
        <v>86</v>
      </c>
      <c r="B18" s="363" t="s">
        <v>357</v>
      </c>
      <c r="C18" s="443"/>
      <c r="D18" s="443">
        <v>58278</v>
      </c>
      <c r="E18" s="567">
        <v>58278</v>
      </c>
      <c r="F18" s="684" t="s">
        <v>750</v>
      </c>
    </row>
    <row r="19" spans="1:6" s="566" customFormat="1" ht="12" customHeight="1" thickBot="1">
      <c r="A19" s="513" t="s">
        <v>7</v>
      </c>
      <c r="B19" s="577" t="s">
        <v>570</v>
      </c>
      <c r="C19" s="444">
        <f>SUM(C20:C23)</f>
        <v>0</v>
      </c>
      <c r="D19" s="444">
        <f>SUM(D20:D23)</f>
        <v>0</v>
      </c>
      <c r="E19" s="444">
        <f>SUM(E20:E23)</f>
        <v>0</v>
      </c>
      <c r="F19" s="684" t="s">
        <v>751</v>
      </c>
    </row>
    <row r="20" spans="1:6" s="566" customFormat="1" ht="12" customHeight="1">
      <c r="A20" s="589" t="s">
        <v>77</v>
      </c>
      <c r="B20" s="365" t="s">
        <v>319</v>
      </c>
      <c r="C20" s="441">
        <v>0</v>
      </c>
      <c r="D20" s="441">
        <v>0</v>
      </c>
      <c r="E20" s="115">
        <v>0</v>
      </c>
      <c r="F20" s="684" t="s">
        <v>752</v>
      </c>
    </row>
    <row r="21" spans="1:6" s="566" customFormat="1" ht="12" customHeight="1">
      <c r="A21" s="589" t="s">
        <v>78</v>
      </c>
      <c r="B21" s="364" t="s">
        <v>571</v>
      </c>
      <c r="C21" s="441">
        <v>0</v>
      </c>
      <c r="D21" s="441">
        <v>0</v>
      </c>
      <c r="E21" s="115">
        <v>0</v>
      </c>
      <c r="F21" s="684" t="s">
        <v>753</v>
      </c>
    </row>
    <row r="22" spans="1:6" s="566" customFormat="1" ht="12" customHeight="1">
      <c r="A22" s="589" t="s">
        <v>79</v>
      </c>
      <c r="B22" s="364" t="s">
        <v>572</v>
      </c>
      <c r="C22" s="441"/>
      <c r="D22" s="441">
        <v>0</v>
      </c>
      <c r="E22" s="115">
        <v>0</v>
      </c>
      <c r="F22" s="684" t="s">
        <v>754</v>
      </c>
    </row>
    <row r="23" spans="1:6" s="566" customFormat="1" ht="12" customHeight="1" thickBot="1">
      <c r="A23" s="589" t="s">
        <v>80</v>
      </c>
      <c r="B23" s="364" t="s">
        <v>687</v>
      </c>
      <c r="C23" s="441">
        <v>0</v>
      </c>
      <c r="D23" s="441">
        <v>0</v>
      </c>
      <c r="E23" s="115">
        <v>0</v>
      </c>
      <c r="F23" s="684" t="s">
        <v>755</v>
      </c>
    </row>
    <row r="24" spans="1:6" s="566" customFormat="1" ht="12" customHeight="1" thickBot="1">
      <c r="A24" s="576" t="s">
        <v>8</v>
      </c>
      <c r="B24" s="384" t="s">
        <v>124</v>
      </c>
      <c r="C24" s="41">
        <v>0</v>
      </c>
      <c r="D24" s="41">
        <v>0</v>
      </c>
      <c r="E24" s="582">
        <v>0</v>
      </c>
      <c r="F24" s="684" t="s">
        <v>756</v>
      </c>
    </row>
    <row r="25" spans="1:6" s="566" customFormat="1" ht="12" customHeight="1" thickBot="1">
      <c r="A25" s="576" t="s">
        <v>9</v>
      </c>
      <c r="B25" s="384" t="s">
        <v>573</v>
      </c>
      <c r="C25" s="444">
        <f>SUM(C26:C28)</f>
        <v>0</v>
      </c>
      <c r="D25" s="444">
        <f>SUM(D26:D28)</f>
        <v>0</v>
      </c>
      <c r="E25" s="444">
        <f>SUM(E26:E28)</f>
        <v>0</v>
      </c>
      <c r="F25" s="684" t="s">
        <v>757</v>
      </c>
    </row>
    <row r="26" spans="1:6" s="566" customFormat="1" ht="12" customHeight="1">
      <c r="A26" s="590" t="s">
        <v>333</v>
      </c>
      <c r="B26" s="591" t="s">
        <v>571</v>
      </c>
      <c r="C26" s="103">
        <v>0</v>
      </c>
      <c r="D26" s="103">
        <v>0</v>
      </c>
      <c r="E26" s="570">
        <v>0</v>
      </c>
      <c r="F26" s="684" t="s">
        <v>758</v>
      </c>
    </row>
    <row r="27" spans="1:6" s="566" customFormat="1" ht="12" customHeight="1">
      <c r="A27" s="590" t="s">
        <v>339</v>
      </c>
      <c r="B27" s="592" t="s">
        <v>574</v>
      </c>
      <c r="C27" s="445"/>
      <c r="D27" s="445">
        <v>0</v>
      </c>
      <c r="E27" s="569">
        <v>0</v>
      </c>
      <c r="F27" s="684" t="s">
        <v>759</v>
      </c>
    </row>
    <row r="28" spans="1:6" s="566" customFormat="1" ht="12" customHeight="1" thickBot="1">
      <c r="A28" s="589" t="s">
        <v>341</v>
      </c>
      <c r="B28" s="593" t="s">
        <v>688</v>
      </c>
      <c r="C28" s="573">
        <v>0</v>
      </c>
      <c r="D28" s="573">
        <v>0</v>
      </c>
      <c r="E28" s="568">
        <v>0</v>
      </c>
      <c r="F28" s="684" t="s">
        <v>760</v>
      </c>
    </row>
    <row r="29" spans="1:6" s="566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444">
        <f>SUM(E30:E32)</f>
        <v>0</v>
      </c>
      <c r="F29" s="684" t="s">
        <v>761</v>
      </c>
    </row>
    <row r="30" spans="1:6" s="566" customFormat="1" ht="12" customHeight="1">
      <c r="A30" s="590" t="s">
        <v>64</v>
      </c>
      <c r="B30" s="591" t="s">
        <v>359</v>
      </c>
      <c r="C30" s="103">
        <v>0</v>
      </c>
      <c r="D30" s="103">
        <v>0</v>
      </c>
      <c r="E30" s="570">
        <v>0</v>
      </c>
      <c r="F30" s="684" t="s">
        <v>762</v>
      </c>
    </row>
    <row r="31" spans="1:6" s="566" customFormat="1" ht="12" customHeight="1">
      <c r="A31" s="590" t="s">
        <v>65</v>
      </c>
      <c r="B31" s="592" t="s">
        <v>360</v>
      </c>
      <c r="C31" s="445">
        <v>0</v>
      </c>
      <c r="D31" s="445">
        <v>0</v>
      </c>
      <c r="E31" s="569">
        <v>0</v>
      </c>
      <c r="F31" s="684" t="s">
        <v>763</v>
      </c>
    </row>
    <row r="32" spans="1:6" s="566" customFormat="1" ht="12" customHeight="1" thickBot="1">
      <c r="A32" s="589" t="s">
        <v>66</v>
      </c>
      <c r="B32" s="575" t="s">
        <v>362</v>
      </c>
      <c r="C32" s="573"/>
      <c r="D32" s="573">
        <v>0</v>
      </c>
      <c r="E32" s="568">
        <v>0</v>
      </c>
      <c r="F32" s="684" t="s">
        <v>764</v>
      </c>
    </row>
    <row r="33" spans="1:6" s="566" customFormat="1" ht="12" customHeight="1" thickBot="1">
      <c r="A33" s="576" t="s">
        <v>11</v>
      </c>
      <c r="B33" s="384" t="s">
        <v>487</v>
      </c>
      <c r="C33" s="41">
        <v>0</v>
      </c>
      <c r="D33" s="41">
        <v>0</v>
      </c>
      <c r="E33" s="582">
        <v>0</v>
      </c>
      <c r="F33" s="684" t="s">
        <v>765</v>
      </c>
    </row>
    <row r="34" spans="1:6" s="539" customFormat="1" ht="12" customHeight="1" thickBot="1">
      <c r="A34" s="576" t="s">
        <v>12</v>
      </c>
      <c r="B34" s="384" t="s">
        <v>576</v>
      </c>
      <c r="C34" s="41">
        <v>0</v>
      </c>
      <c r="D34" s="41">
        <v>0</v>
      </c>
      <c r="E34" s="582">
        <v>0</v>
      </c>
      <c r="F34" s="684" t="s">
        <v>766</v>
      </c>
    </row>
    <row r="35" spans="1:6" s="539" customFormat="1" ht="12" customHeight="1" thickBot="1">
      <c r="A35" s="513" t="s">
        <v>13</v>
      </c>
      <c r="B35" s="384" t="s">
        <v>689</v>
      </c>
      <c r="C35" s="444">
        <f>C8+C19+C24+C25+C29+C33+C34</f>
        <v>15360962</v>
      </c>
      <c r="D35" s="444">
        <f>D8+D19+D24+D25+D29+D33+D34</f>
        <v>15360962</v>
      </c>
      <c r="E35" s="444">
        <f>E8+E19+E24+E25+E29+E33+E34</f>
        <v>13568915</v>
      </c>
      <c r="F35" s="684" t="s">
        <v>767</v>
      </c>
    </row>
    <row r="36" spans="1:6" s="539" customFormat="1" ht="12" customHeight="1" thickBot="1">
      <c r="A36" s="578" t="s">
        <v>14</v>
      </c>
      <c r="B36" s="384" t="s">
        <v>578</v>
      </c>
      <c r="C36" s="444">
        <f>SUM(C37:C39)</f>
        <v>73668391</v>
      </c>
      <c r="D36" s="444">
        <f>SUM(D37:D39)</f>
        <v>74038747</v>
      </c>
      <c r="E36" s="444">
        <f>SUM(E37:E39)</f>
        <v>63814151</v>
      </c>
      <c r="F36" s="684" t="s">
        <v>768</v>
      </c>
    </row>
    <row r="37" spans="1:6" s="539" customFormat="1" ht="12" customHeight="1">
      <c r="A37" s="590" t="s">
        <v>579</v>
      </c>
      <c r="B37" s="591" t="s">
        <v>167</v>
      </c>
      <c r="C37" s="103">
        <v>1192099</v>
      </c>
      <c r="D37" s="103">
        <v>977894</v>
      </c>
      <c r="E37" s="570">
        <v>977894</v>
      </c>
      <c r="F37" s="684" t="s">
        <v>769</v>
      </c>
    </row>
    <row r="38" spans="1:6" s="566" customFormat="1" ht="12" customHeight="1">
      <c r="A38" s="590" t="s">
        <v>580</v>
      </c>
      <c r="B38" s="592" t="s">
        <v>2</v>
      </c>
      <c r="C38" s="445"/>
      <c r="D38" s="445"/>
      <c r="E38" s="569"/>
      <c r="F38" s="684" t="s">
        <v>770</v>
      </c>
    </row>
    <row r="39" spans="1:6" s="566" customFormat="1" ht="12" customHeight="1" thickBot="1">
      <c r="A39" s="589" t="s">
        <v>581</v>
      </c>
      <c r="B39" s="575" t="s">
        <v>582</v>
      </c>
      <c r="C39" s="573">
        <v>72476292</v>
      </c>
      <c r="D39" s="573">
        <v>73060853</v>
      </c>
      <c r="E39" s="568">
        <v>62836257</v>
      </c>
      <c r="F39" s="684" t="s">
        <v>771</v>
      </c>
    </row>
    <row r="40" spans="1:6" s="566" customFormat="1" ht="15" customHeight="1" thickBot="1">
      <c r="A40" s="578" t="s">
        <v>15</v>
      </c>
      <c r="B40" s="579" t="s">
        <v>583</v>
      </c>
      <c r="C40" s="109">
        <f>C35+C36</f>
        <v>89029353</v>
      </c>
      <c r="D40" s="109">
        <f>D35+D36</f>
        <v>89399709</v>
      </c>
      <c r="E40" s="109">
        <f>E35+E36</f>
        <v>77383066</v>
      </c>
      <c r="F40" s="684" t="s">
        <v>772</v>
      </c>
    </row>
    <row r="41" spans="1:6" s="566" customFormat="1" ht="15" customHeight="1">
      <c r="A41" s="521"/>
      <c r="B41" s="522"/>
      <c r="C41" s="537"/>
      <c r="D41" s="537"/>
      <c r="E41" s="537"/>
      <c r="F41" s="684"/>
    </row>
    <row r="42" spans="1:6" ht="16.5" thickBot="1">
      <c r="A42" s="523"/>
      <c r="B42" s="524"/>
      <c r="C42" s="538"/>
      <c r="D42" s="538"/>
      <c r="E42" s="538"/>
      <c r="F42" s="684"/>
    </row>
    <row r="43" spans="1:5" s="565" customFormat="1" ht="16.5" customHeight="1" thickBot="1">
      <c r="A43" s="797" t="s">
        <v>44</v>
      </c>
      <c r="B43" s="798"/>
      <c r="C43" s="798"/>
      <c r="D43" s="798"/>
      <c r="E43" s="799"/>
    </row>
    <row r="44" spans="1:6" s="339" customFormat="1" ht="12" customHeight="1" thickBot="1">
      <c r="A44" s="576" t="s">
        <v>6</v>
      </c>
      <c r="B44" s="384" t="s">
        <v>584</v>
      </c>
      <c r="C44" s="444">
        <f>SUM(C45:C49)</f>
        <v>88429353</v>
      </c>
      <c r="D44" s="444">
        <f>SUM(D45:D49)</f>
        <v>88799709</v>
      </c>
      <c r="E44" s="444">
        <f>SUM(E45:E49)</f>
        <v>76801399</v>
      </c>
      <c r="F44" s="684" t="s">
        <v>740</v>
      </c>
    </row>
    <row r="45" spans="1:6" ht="12" customHeight="1">
      <c r="A45" s="589" t="s">
        <v>71</v>
      </c>
      <c r="B45" s="365" t="s">
        <v>36</v>
      </c>
      <c r="C45" s="103">
        <v>37903424</v>
      </c>
      <c r="D45" s="103">
        <v>38250949</v>
      </c>
      <c r="E45" s="471">
        <v>36569343</v>
      </c>
      <c r="F45" s="684" t="s">
        <v>741</v>
      </c>
    </row>
    <row r="46" spans="1:6" ht="12" customHeight="1">
      <c r="A46" s="589" t="s">
        <v>72</v>
      </c>
      <c r="B46" s="364" t="s">
        <v>133</v>
      </c>
      <c r="C46" s="438">
        <v>8753713</v>
      </c>
      <c r="D46" s="438">
        <v>8788297</v>
      </c>
      <c r="E46" s="472">
        <v>8274836</v>
      </c>
      <c r="F46" s="684" t="s">
        <v>742</v>
      </c>
    </row>
    <row r="47" spans="1:6" ht="12" customHeight="1">
      <c r="A47" s="589" t="s">
        <v>73</v>
      </c>
      <c r="B47" s="364" t="s">
        <v>100</v>
      </c>
      <c r="C47" s="438">
        <v>41772216</v>
      </c>
      <c r="D47" s="438">
        <v>41760463</v>
      </c>
      <c r="E47" s="472">
        <v>31957220</v>
      </c>
      <c r="F47" s="684" t="s">
        <v>743</v>
      </c>
    </row>
    <row r="48" spans="1:6" ht="12" customHeight="1">
      <c r="A48" s="589" t="s">
        <v>74</v>
      </c>
      <c r="B48" s="364" t="s">
        <v>134</v>
      </c>
      <c r="C48" s="438"/>
      <c r="D48" s="438"/>
      <c r="E48" s="472"/>
      <c r="F48" s="684" t="s">
        <v>744</v>
      </c>
    </row>
    <row r="49" spans="1:6" ht="12" customHeight="1" thickBot="1">
      <c r="A49" s="589" t="s">
        <v>107</v>
      </c>
      <c r="B49" s="364" t="s">
        <v>135</v>
      </c>
      <c r="C49" s="438"/>
      <c r="D49" s="438"/>
      <c r="E49" s="472"/>
      <c r="F49" s="684" t="s">
        <v>745</v>
      </c>
    </row>
    <row r="50" spans="1:6" ht="12" customHeight="1" thickBot="1">
      <c r="A50" s="576" t="s">
        <v>7</v>
      </c>
      <c r="B50" s="384" t="s">
        <v>585</v>
      </c>
      <c r="C50" s="444">
        <f>SUM(C51:C53)</f>
        <v>600000</v>
      </c>
      <c r="D50" s="444">
        <f>SUM(D51:D53)</f>
        <v>600000</v>
      </c>
      <c r="E50" s="444">
        <f>SUM(E51:E53)</f>
        <v>16900</v>
      </c>
      <c r="F50" s="684" t="s">
        <v>746</v>
      </c>
    </row>
    <row r="51" spans="1:6" s="339" customFormat="1" ht="12" customHeight="1">
      <c r="A51" s="589" t="s">
        <v>77</v>
      </c>
      <c r="B51" s="365" t="s">
        <v>157</v>
      </c>
      <c r="C51" s="103">
        <v>600000</v>
      </c>
      <c r="D51" s="103">
        <v>600000</v>
      </c>
      <c r="E51" s="471">
        <v>16900</v>
      </c>
      <c r="F51" s="684" t="s">
        <v>747</v>
      </c>
    </row>
    <row r="52" spans="1:6" ht="12" customHeight="1">
      <c r="A52" s="589" t="s">
        <v>78</v>
      </c>
      <c r="B52" s="364" t="s">
        <v>137</v>
      </c>
      <c r="C52" s="438"/>
      <c r="D52" s="438">
        <v>0</v>
      </c>
      <c r="E52" s="472">
        <v>0</v>
      </c>
      <c r="F52" s="684" t="s">
        <v>748</v>
      </c>
    </row>
    <row r="53" spans="1:6" ht="12" customHeight="1">
      <c r="A53" s="589" t="s">
        <v>79</v>
      </c>
      <c r="B53" s="364" t="s">
        <v>45</v>
      </c>
      <c r="C53" s="438">
        <v>0</v>
      </c>
      <c r="D53" s="438">
        <v>0</v>
      </c>
      <c r="E53" s="472">
        <v>0</v>
      </c>
      <c r="F53" s="684" t="s">
        <v>749</v>
      </c>
    </row>
    <row r="54" spans="1:6" ht="12" customHeight="1" thickBot="1">
      <c r="A54" s="589" t="s">
        <v>80</v>
      </c>
      <c r="B54" s="364" t="s">
        <v>690</v>
      </c>
      <c r="C54" s="438">
        <v>0</v>
      </c>
      <c r="D54" s="438">
        <v>0</v>
      </c>
      <c r="E54" s="472">
        <v>0</v>
      </c>
      <c r="F54" s="684" t="s">
        <v>750</v>
      </c>
    </row>
    <row r="55" spans="1:6" ht="12" customHeight="1" thickBot="1">
      <c r="A55" s="576" t="s">
        <v>8</v>
      </c>
      <c r="B55" s="580" t="s">
        <v>586</v>
      </c>
      <c r="C55" s="444">
        <f>C44+C50</f>
        <v>89029353</v>
      </c>
      <c r="D55" s="444">
        <f>D44+D50</f>
        <v>89399709</v>
      </c>
      <c r="E55" s="444">
        <f>E44+E50</f>
        <v>76818299</v>
      </c>
      <c r="F55" s="684" t="s">
        <v>751</v>
      </c>
    </row>
    <row r="56" spans="3:6" ht="16.5" thickBot="1">
      <c r="C56" s="585"/>
      <c r="D56" s="585"/>
      <c r="E56" s="585"/>
      <c r="F56" s="684"/>
    </row>
    <row r="57" spans="1:6" ht="15" customHeight="1" thickBot="1">
      <c r="A57" s="525" t="s">
        <v>682</v>
      </c>
      <c r="B57" s="526"/>
      <c r="C57" s="113">
        <v>15</v>
      </c>
      <c r="D57" s="113">
        <v>15</v>
      </c>
      <c r="E57" s="574">
        <v>15</v>
      </c>
      <c r="F57" s="684"/>
    </row>
    <row r="58" spans="1:6" ht="14.25" customHeight="1" thickBot="1">
      <c r="A58" s="525" t="s">
        <v>149</v>
      </c>
      <c r="B58" s="526"/>
      <c r="C58" s="113"/>
      <c r="D58" s="113"/>
      <c r="E58" s="574"/>
      <c r="F58" s="684"/>
    </row>
    <row r="59" ht="15.75">
      <c r="F59" s="684"/>
    </row>
    <row r="60" ht="15.75">
      <c r="F60" s="684"/>
    </row>
    <row r="61" ht="15.75">
      <c r="F61" s="684"/>
    </row>
    <row r="62" ht="15.75">
      <c r="F62" s="684"/>
    </row>
    <row r="63" ht="15.75">
      <c r="F63" s="684"/>
    </row>
    <row r="64" ht="15.75">
      <c r="F64" s="684"/>
    </row>
    <row r="65" ht="15.75">
      <c r="F65" s="684"/>
    </row>
    <row r="66" ht="15.75">
      <c r="F66" s="684"/>
    </row>
    <row r="67" ht="15.75">
      <c r="F67" s="684"/>
    </row>
    <row r="68" ht="15.75">
      <c r="F68" s="684"/>
    </row>
    <row r="69" ht="15.75">
      <c r="F69" s="684"/>
    </row>
    <row r="70" ht="15.75">
      <c r="F70" s="684"/>
    </row>
    <row r="71" ht="15.75">
      <c r="F71" s="684"/>
    </row>
    <row r="72" ht="15.75">
      <c r="F72" s="684"/>
    </row>
    <row r="73" ht="15.75">
      <c r="F73" s="684"/>
    </row>
    <row r="74" ht="15.75">
      <c r="F74" s="684"/>
    </row>
    <row r="75" ht="15.75">
      <c r="F75" s="684"/>
    </row>
    <row r="76" ht="15.75">
      <c r="F76" s="684"/>
    </row>
    <row r="77" ht="15.75">
      <c r="F77" s="684"/>
    </row>
    <row r="78" ht="15.75">
      <c r="F78" s="684"/>
    </row>
    <row r="79" ht="15.75">
      <c r="F79" s="684"/>
    </row>
    <row r="80" ht="15.75">
      <c r="F80" s="684"/>
    </row>
    <row r="81" ht="15.75">
      <c r="F81" s="684"/>
    </row>
    <row r="82" ht="15.75">
      <c r="F82" s="684"/>
    </row>
    <row r="83" ht="15.75">
      <c r="F83" s="684"/>
    </row>
    <row r="84" ht="15.75">
      <c r="F84" s="684"/>
    </row>
    <row r="85" ht="15.75">
      <c r="F85" s="684"/>
    </row>
    <row r="86" ht="15.75">
      <c r="F86" s="684"/>
    </row>
    <row r="87" ht="15.75">
      <c r="F87" s="684"/>
    </row>
    <row r="88" ht="15">
      <c r="F88" s="685"/>
    </row>
    <row r="90" ht="15.75">
      <c r="F90" s="684"/>
    </row>
    <row r="91" ht="12.75">
      <c r="F91" s="686"/>
    </row>
    <row r="92" ht="12.75">
      <c r="F92" s="686"/>
    </row>
    <row r="93" ht="12.75">
      <c r="F93" s="686"/>
    </row>
    <row r="94" ht="12.75">
      <c r="F94" s="686"/>
    </row>
    <row r="95" ht="12.75">
      <c r="F95" s="686"/>
    </row>
    <row r="96" ht="12.75">
      <c r="F96" s="686"/>
    </row>
    <row r="97" ht="12.75">
      <c r="F97" s="686"/>
    </row>
    <row r="98" ht="12.75">
      <c r="F98" s="686"/>
    </row>
    <row r="99" ht="12.75">
      <c r="F99" s="686"/>
    </row>
    <row r="100" ht="12.75">
      <c r="F100" s="686"/>
    </row>
    <row r="101" ht="12.75">
      <c r="F101" s="686"/>
    </row>
    <row r="102" ht="12.75">
      <c r="F102" s="686"/>
    </row>
    <row r="103" ht="12.75">
      <c r="F103" s="686"/>
    </row>
    <row r="104" ht="12.75">
      <c r="F104" s="686"/>
    </row>
    <row r="105" ht="12.75">
      <c r="F105" s="686"/>
    </row>
    <row r="106" ht="12.75">
      <c r="F106" s="686"/>
    </row>
    <row r="107" ht="12.75">
      <c r="F107" s="686"/>
    </row>
    <row r="108" ht="12.75">
      <c r="F108" s="686"/>
    </row>
    <row r="109" ht="12.75">
      <c r="F109" s="686"/>
    </row>
    <row r="110" ht="12.75">
      <c r="F110" s="686"/>
    </row>
    <row r="111" ht="12.75">
      <c r="F111" s="686"/>
    </row>
    <row r="112" ht="12.75">
      <c r="F112" s="686"/>
    </row>
    <row r="113" ht="12.75">
      <c r="F113" s="686"/>
    </row>
    <row r="114" ht="12.75">
      <c r="F114" s="686"/>
    </row>
    <row r="115" ht="12.75">
      <c r="F115" s="686"/>
    </row>
    <row r="116" ht="12.75">
      <c r="F116" s="686"/>
    </row>
    <row r="117" ht="12.75">
      <c r="F117" s="686"/>
    </row>
    <row r="118" ht="12.75">
      <c r="F118" s="686"/>
    </row>
    <row r="119" ht="12.75">
      <c r="F119" s="686"/>
    </row>
    <row r="120" ht="12.75">
      <c r="F120" s="686"/>
    </row>
    <row r="121" ht="12.75">
      <c r="F121" s="686"/>
    </row>
    <row r="122" ht="12.75">
      <c r="F122" s="686"/>
    </row>
    <row r="123" ht="12.75">
      <c r="F123" s="686"/>
    </row>
    <row r="124" ht="12.75">
      <c r="F124" s="686"/>
    </row>
    <row r="125" ht="12.75">
      <c r="F125" s="686"/>
    </row>
    <row r="126" ht="12.75">
      <c r="F126" s="686"/>
    </row>
    <row r="127" ht="12.75">
      <c r="F127" s="686"/>
    </row>
    <row r="128" ht="12.75">
      <c r="F128" s="686"/>
    </row>
    <row r="129" ht="12.75">
      <c r="F129" s="686"/>
    </row>
    <row r="130" ht="12.75">
      <c r="F130" s="686"/>
    </row>
    <row r="131" ht="12.75">
      <c r="F131" s="686"/>
    </row>
    <row r="132" ht="12.75">
      <c r="F132" s="686"/>
    </row>
    <row r="133" ht="12.75">
      <c r="F133" s="686"/>
    </row>
    <row r="134" ht="12.75">
      <c r="F134" s="686"/>
    </row>
    <row r="135" ht="12.75">
      <c r="F135" s="686"/>
    </row>
    <row r="136" ht="12.75">
      <c r="F136" s="686"/>
    </row>
    <row r="137" ht="12.75">
      <c r="F137" s="686"/>
    </row>
    <row r="138" ht="12.75">
      <c r="F138" s="686"/>
    </row>
    <row r="139" ht="12.75">
      <c r="F139" s="686"/>
    </row>
    <row r="140" ht="12.75">
      <c r="F140" s="686"/>
    </row>
    <row r="141" ht="12.75">
      <c r="F141" s="686"/>
    </row>
    <row r="142" ht="12.75">
      <c r="F142" s="686"/>
    </row>
    <row r="143" ht="12.75">
      <c r="F143" s="686"/>
    </row>
    <row r="144" ht="12.75">
      <c r="F144" s="686"/>
    </row>
    <row r="145" ht="12.75">
      <c r="F145" s="686"/>
    </row>
    <row r="146" ht="12.75">
      <c r="F146" s="686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81" customWidth="1"/>
    <col min="2" max="2" width="59.375" style="32" customWidth="1"/>
    <col min="3" max="5" width="15.875" style="32" customWidth="1"/>
    <col min="6" max="6" width="0" style="678" hidden="1" customWidth="1"/>
    <col min="7" max="16384" width="9.375" style="32" customWidth="1"/>
  </cols>
  <sheetData>
    <row r="1" spans="1:6" s="516" customFormat="1" ht="21" customHeight="1" thickBot="1">
      <c r="A1" s="515"/>
      <c r="B1" s="517"/>
      <c r="C1" s="562"/>
      <c r="D1" s="562"/>
      <c r="E1" s="658" t="str">
        <f>+CONCATENATE("7.2. melléklet a 6 /",LEFT(ÖSSZEFÜGGÉSEK!A4,4)+1,". (V.30.) önkormányzati rendelethez")</f>
        <v>7.2. melléklet a 6 /2018. (V.30.) önkormányzati rendelethez</v>
      </c>
      <c r="F1" s="681"/>
    </row>
    <row r="2" spans="1:6" s="563" customFormat="1" ht="34.5" customHeight="1">
      <c r="A2" s="543" t="s">
        <v>147</v>
      </c>
      <c r="B2" s="803" t="s">
        <v>820</v>
      </c>
      <c r="C2" s="804"/>
      <c r="D2" s="805"/>
      <c r="E2" s="586" t="s">
        <v>48</v>
      </c>
      <c r="F2" s="682"/>
    </row>
    <row r="3" spans="1:6" s="563" customFormat="1" ht="24.75" thickBot="1">
      <c r="A3" s="561" t="s">
        <v>566</v>
      </c>
      <c r="B3" s="800" t="s">
        <v>700</v>
      </c>
      <c r="C3" s="806"/>
      <c r="D3" s="807"/>
      <c r="E3" s="587" t="s">
        <v>48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39" customFormat="1" ht="12" customHeight="1" thickBot="1">
      <c r="A8" s="513" t="s">
        <v>6</v>
      </c>
      <c r="B8" s="577" t="s">
        <v>567</v>
      </c>
      <c r="C8" s="444">
        <f>SUM(C9:C18)</f>
        <v>15360962</v>
      </c>
      <c r="D8" s="444">
        <f>SUM(D9:D18)</f>
        <v>15360962</v>
      </c>
      <c r="E8" s="444">
        <f>SUM(E9:E18)</f>
        <v>13568915</v>
      </c>
      <c r="F8" s="444">
        <f>SUM(F9:F18)</f>
        <v>0</v>
      </c>
    </row>
    <row r="9" spans="1:6" s="539" customFormat="1" ht="12" customHeight="1">
      <c r="A9" s="588" t="s">
        <v>71</v>
      </c>
      <c r="B9" s="366" t="s">
        <v>346</v>
      </c>
      <c r="C9" s="106">
        <v>0</v>
      </c>
      <c r="D9" s="106">
        <v>0</v>
      </c>
      <c r="E9" s="572">
        <v>0</v>
      </c>
      <c r="F9" s="684" t="s">
        <v>741</v>
      </c>
    </row>
    <row r="10" spans="1:6" s="539" customFormat="1" ht="12" customHeight="1">
      <c r="A10" s="589" t="s">
        <v>72</v>
      </c>
      <c r="B10" s="364" t="s">
        <v>347</v>
      </c>
      <c r="C10" s="441"/>
      <c r="D10" s="441">
        <v>4364957</v>
      </c>
      <c r="E10" s="115">
        <v>4312257</v>
      </c>
      <c r="F10" s="684" t="s">
        <v>742</v>
      </c>
    </row>
    <row r="11" spans="1:6" s="539" customFormat="1" ht="12" customHeight="1">
      <c r="A11" s="589" t="s">
        <v>73</v>
      </c>
      <c r="B11" s="364" t="s">
        <v>348</v>
      </c>
      <c r="C11" s="441"/>
      <c r="D11" s="441"/>
      <c r="E11" s="115">
        <v>0</v>
      </c>
      <c r="F11" s="684" t="s">
        <v>743</v>
      </c>
    </row>
    <row r="12" spans="1:6" s="539" customFormat="1" ht="12" customHeight="1">
      <c r="A12" s="589" t="s">
        <v>74</v>
      </c>
      <c r="B12" s="364" t="s">
        <v>349</v>
      </c>
      <c r="C12" s="441"/>
      <c r="D12" s="441">
        <v>0</v>
      </c>
      <c r="E12" s="115"/>
      <c r="F12" s="684" t="s">
        <v>744</v>
      </c>
    </row>
    <row r="13" spans="1:6" s="539" customFormat="1" ht="12" customHeight="1">
      <c r="A13" s="589" t="s">
        <v>107</v>
      </c>
      <c r="B13" s="364" t="s">
        <v>350</v>
      </c>
      <c r="C13" s="441">
        <v>12095246</v>
      </c>
      <c r="D13" s="441">
        <v>8217961</v>
      </c>
      <c r="E13" s="115">
        <v>7693853</v>
      </c>
      <c r="F13" s="684" t="s">
        <v>745</v>
      </c>
    </row>
    <row r="14" spans="1:6" s="539" customFormat="1" ht="12" customHeight="1">
      <c r="A14" s="589" t="s">
        <v>75</v>
      </c>
      <c r="B14" s="364" t="s">
        <v>568</v>
      </c>
      <c r="C14" s="441">
        <v>3265716</v>
      </c>
      <c r="D14" s="441">
        <v>2315669</v>
      </c>
      <c r="E14" s="115">
        <v>1100430</v>
      </c>
      <c r="F14" s="684" t="s">
        <v>746</v>
      </c>
    </row>
    <row r="15" spans="1:6" s="566" customFormat="1" ht="12" customHeight="1">
      <c r="A15" s="589" t="s">
        <v>76</v>
      </c>
      <c r="B15" s="363" t="s">
        <v>569</v>
      </c>
      <c r="C15" s="441"/>
      <c r="D15" s="441">
        <v>390427</v>
      </c>
      <c r="E15" s="115">
        <v>390427</v>
      </c>
      <c r="F15" s="684" t="s">
        <v>747</v>
      </c>
    </row>
    <row r="16" spans="1:6" s="566" customFormat="1" ht="12" customHeight="1">
      <c r="A16" s="589" t="s">
        <v>84</v>
      </c>
      <c r="B16" s="364" t="s">
        <v>353</v>
      </c>
      <c r="C16" s="107"/>
      <c r="D16" s="107">
        <v>13670</v>
      </c>
      <c r="E16" s="571">
        <v>13670</v>
      </c>
      <c r="F16" s="684" t="s">
        <v>748</v>
      </c>
    </row>
    <row r="17" spans="1:6" s="539" customFormat="1" ht="12" customHeight="1">
      <c r="A17" s="589" t="s">
        <v>85</v>
      </c>
      <c r="B17" s="364" t="s">
        <v>355</v>
      </c>
      <c r="C17" s="441"/>
      <c r="D17" s="441">
        <v>0</v>
      </c>
      <c r="E17" s="115"/>
      <c r="F17" s="684" t="s">
        <v>749</v>
      </c>
    </row>
    <row r="18" spans="1:6" s="566" customFormat="1" ht="12" customHeight="1" thickBot="1">
      <c r="A18" s="589" t="s">
        <v>86</v>
      </c>
      <c r="B18" s="363" t="s">
        <v>357</v>
      </c>
      <c r="C18" s="443"/>
      <c r="D18" s="443">
        <v>58278</v>
      </c>
      <c r="E18" s="567">
        <v>58278</v>
      </c>
      <c r="F18" s="684" t="s">
        <v>750</v>
      </c>
    </row>
    <row r="19" spans="1:6" s="566" customFormat="1" ht="12" customHeight="1" thickBot="1">
      <c r="A19" s="513" t="s">
        <v>7</v>
      </c>
      <c r="B19" s="577" t="s">
        <v>570</v>
      </c>
      <c r="C19" s="444">
        <f>SUM(C20:C23)</f>
        <v>0</v>
      </c>
      <c r="D19" s="444">
        <f>SUM(D20:D23)</f>
        <v>0</v>
      </c>
      <c r="E19" s="444">
        <f>SUM(E20:E23)</f>
        <v>0</v>
      </c>
      <c r="F19" s="684" t="s">
        <v>751</v>
      </c>
    </row>
    <row r="20" spans="1:6" s="566" customFormat="1" ht="12" customHeight="1">
      <c r="A20" s="589" t="s">
        <v>77</v>
      </c>
      <c r="B20" s="365" t="s">
        <v>319</v>
      </c>
      <c r="C20" s="441">
        <v>0</v>
      </c>
      <c r="D20" s="441">
        <v>0</v>
      </c>
      <c r="E20" s="115">
        <v>0</v>
      </c>
      <c r="F20" s="684" t="s">
        <v>752</v>
      </c>
    </row>
    <row r="21" spans="1:6" s="566" customFormat="1" ht="12" customHeight="1">
      <c r="A21" s="589" t="s">
        <v>78</v>
      </c>
      <c r="B21" s="364" t="s">
        <v>571</v>
      </c>
      <c r="C21" s="441">
        <v>0</v>
      </c>
      <c r="D21" s="441">
        <v>0</v>
      </c>
      <c r="E21" s="115">
        <v>0</v>
      </c>
      <c r="F21" s="684" t="s">
        <v>753</v>
      </c>
    </row>
    <row r="22" spans="1:6" s="566" customFormat="1" ht="12" customHeight="1">
      <c r="A22" s="589" t="s">
        <v>79</v>
      </c>
      <c r="B22" s="364" t="s">
        <v>572</v>
      </c>
      <c r="C22" s="441"/>
      <c r="D22" s="441">
        <v>0</v>
      </c>
      <c r="E22" s="115">
        <v>0</v>
      </c>
      <c r="F22" s="684" t="s">
        <v>754</v>
      </c>
    </row>
    <row r="23" spans="1:6" s="566" customFormat="1" ht="12" customHeight="1" thickBot="1">
      <c r="A23" s="589" t="s">
        <v>80</v>
      </c>
      <c r="B23" s="364" t="s">
        <v>687</v>
      </c>
      <c r="C23" s="441">
        <v>0</v>
      </c>
      <c r="D23" s="441">
        <v>0</v>
      </c>
      <c r="E23" s="115">
        <v>0</v>
      </c>
      <c r="F23" s="684" t="s">
        <v>755</v>
      </c>
    </row>
    <row r="24" spans="1:6" s="566" customFormat="1" ht="12" customHeight="1" thickBot="1">
      <c r="A24" s="576" t="s">
        <v>8</v>
      </c>
      <c r="B24" s="384" t="s">
        <v>124</v>
      </c>
      <c r="C24" s="41">
        <v>0</v>
      </c>
      <c r="D24" s="41">
        <v>0</v>
      </c>
      <c r="E24" s="582">
        <v>0</v>
      </c>
      <c r="F24" s="684" t="s">
        <v>756</v>
      </c>
    </row>
    <row r="25" spans="1:6" s="566" customFormat="1" ht="12" customHeight="1" thickBot="1">
      <c r="A25" s="576" t="s">
        <v>9</v>
      </c>
      <c r="B25" s="384" t="s">
        <v>573</v>
      </c>
      <c r="C25" s="444">
        <f>SUM(C26:C28)</f>
        <v>0</v>
      </c>
      <c r="D25" s="444">
        <f>SUM(D26:D28)</f>
        <v>0</v>
      </c>
      <c r="E25" s="444">
        <f>SUM(E26:E28)</f>
        <v>0</v>
      </c>
      <c r="F25" s="684" t="s">
        <v>757</v>
      </c>
    </row>
    <row r="26" spans="1:6" s="566" customFormat="1" ht="12" customHeight="1">
      <c r="A26" s="590" t="s">
        <v>333</v>
      </c>
      <c r="B26" s="591" t="s">
        <v>571</v>
      </c>
      <c r="C26" s="103">
        <v>0</v>
      </c>
      <c r="D26" s="103">
        <v>0</v>
      </c>
      <c r="E26" s="570">
        <v>0</v>
      </c>
      <c r="F26" s="684" t="s">
        <v>758</v>
      </c>
    </row>
    <row r="27" spans="1:6" s="566" customFormat="1" ht="12" customHeight="1">
      <c r="A27" s="590" t="s">
        <v>339</v>
      </c>
      <c r="B27" s="592" t="s">
        <v>574</v>
      </c>
      <c r="C27" s="445"/>
      <c r="D27" s="445">
        <v>0</v>
      </c>
      <c r="E27" s="569">
        <v>0</v>
      </c>
      <c r="F27" s="684" t="s">
        <v>759</v>
      </c>
    </row>
    <row r="28" spans="1:6" s="566" customFormat="1" ht="12" customHeight="1" thickBot="1">
      <c r="A28" s="589" t="s">
        <v>341</v>
      </c>
      <c r="B28" s="593" t="s">
        <v>688</v>
      </c>
      <c r="C28" s="573">
        <v>0</v>
      </c>
      <c r="D28" s="573">
        <v>0</v>
      </c>
      <c r="E28" s="568">
        <v>0</v>
      </c>
      <c r="F28" s="684" t="s">
        <v>760</v>
      </c>
    </row>
    <row r="29" spans="1:6" s="566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444">
        <f>SUM(E30:E32)</f>
        <v>0</v>
      </c>
      <c r="F29" s="684" t="s">
        <v>761</v>
      </c>
    </row>
    <row r="30" spans="1:6" s="566" customFormat="1" ht="12" customHeight="1">
      <c r="A30" s="590" t="s">
        <v>64</v>
      </c>
      <c r="B30" s="591" t="s">
        <v>359</v>
      </c>
      <c r="C30" s="103">
        <v>0</v>
      </c>
      <c r="D30" s="103">
        <v>0</v>
      </c>
      <c r="E30" s="570">
        <v>0</v>
      </c>
      <c r="F30" s="684" t="s">
        <v>762</v>
      </c>
    </row>
    <row r="31" spans="1:6" s="566" customFormat="1" ht="12" customHeight="1">
      <c r="A31" s="590" t="s">
        <v>65</v>
      </c>
      <c r="B31" s="592" t="s">
        <v>360</v>
      </c>
      <c r="C31" s="445">
        <v>0</v>
      </c>
      <c r="D31" s="445">
        <v>0</v>
      </c>
      <c r="E31" s="569">
        <v>0</v>
      </c>
      <c r="F31" s="684" t="s">
        <v>763</v>
      </c>
    </row>
    <row r="32" spans="1:6" s="566" customFormat="1" ht="12" customHeight="1" thickBot="1">
      <c r="A32" s="589" t="s">
        <v>66</v>
      </c>
      <c r="B32" s="575" t="s">
        <v>362</v>
      </c>
      <c r="C32" s="573"/>
      <c r="D32" s="573">
        <v>0</v>
      </c>
      <c r="E32" s="568">
        <v>0</v>
      </c>
      <c r="F32" s="684" t="s">
        <v>764</v>
      </c>
    </row>
    <row r="33" spans="1:6" s="566" customFormat="1" ht="12" customHeight="1" thickBot="1">
      <c r="A33" s="576" t="s">
        <v>11</v>
      </c>
      <c r="B33" s="384" t="s">
        <v>487</v>
      </c>
      <c r="C33" s="41">
        <v>0</v>
      </c>
      <c r="D33" s="41">
        <v>0</v>
      </c>
      <c r="E33" s="582">
        <v>0</v>
      </c>
      <c r="F33" s="684" t="s">
        <v>765</v>
      </c>
    </row>
    <row r="34" spans="1:6" s="539" customFormat="1" ht="12" customHeight="1" thickBot="1">
      <c r="A34" s="576" t="s">
        <v>12</v>
      </c>
      <c r="B34" s="384" t="s">
        <v>576</v>
      </c>
      <c r="C34" s="41">
        <v>0</v>
      </c>
      <c r="D34" s="41">
        <v>0</v>
      </c>
      <c r="E34" s="582">
        <v>0</v>
      </c>
      <c r="F34" s="684" t="s">
        <v>766</v>
      </c>
    </row>
    <row r="35" spans="1:6" s="539" customFormat="1" ht="12" customHeight="1" thickBot="1">
      <c r="A35" s="513" t="s">
        <v>13</v>
      </c>
      <c r="B35" s="384" t="s">
        <v>689</v>
      </c>
      <c r="C35" s="444">
        <f>C8+C19+C24+C25+C29+C33+C34</f>
        <v>15360962</v>
      </c>
      <c r="D35" s="444">
        <f>D8+D19+D24+D25+D29+D33+D34</f>
        <v>15360962</v>
      </c>
      <c r="E35" s="444">
        <f>E8+E19+E24+E25+E29+E33+E34</f>
        <v>13568915</v>
      </c>
      <c r="F35" s="684" t="s">
        <v>767</v>
      </c>
    </row>
    <row r="36" spans="1:6" s="539" customFormat="1" ht="12" customHeight="1" thickBot="1">
      <c r="A36" s="578" t="s">
        <v>14</v>
      </c>
      <c r="B36" s="384" t="s">
        <v>578</v>
      </c>
      <c r="C36" s="444">
        <f>SUM(C37:C39)</f>
        <v>73668391</v>
      </c>
      <c r="D36" s="444">
        <f>SUM(D37:D39)</f>
        <v>74038747</v>
      </c>
      <c r="E36" s="444">
        <f>SUM(E37:E39)</f>
        <v>63814151</v>
      </c>
      <c r="F36" s="684" t="s">
        <v>768</v>
      </c>
    </row>
    <row r="37" spans="1:6" s="539" customFormat="1" ht="12" customHeight="1">
      <c r="A37" s="590" t="s">
        <v>579</v>
      </c>
      <c r="B37" s="591" t="s">
        <v>167</v>
      </c>
      <c r="C37" s="103">
        <v>1192099</v>
      </c>
      <c r="D37" s="103">
        <v>977894</v>
      </c>
      <c r="E37" s="570">
        <v>977894</v>
      </c>
      <c r="F37" s="684" t="s">
        <v>769</v>
      </c>
    </row>
    <row r="38" spans="1:6" s="566" customFormat="1" ht="12" customHeight="1">
      <c r="A38" s="590" t="s">
        <v>580</v>
      </c>
      <c r="B38" s="592" t="s">
        <v>2</v>
      </c>
      <c r="C38" s="445"/>
      <c r="D38" s="445"/>
      <c r="E38" s="569"/>
      <c r="F38" s="684" t="s">
        <v>770</v>
      </c>
    </row>
    <row r="39" spans="1:6" s="566" customFormat="1" ht="12" customHeight="1" thickBot="1">
      <c r="A39" s="589" t="s">
        <v>581</v>
      </c>
      <c r="B39" s="575" t="s">
        <v>582</v>
      </c>
      <c r="C39" s="573">
        <v>72476292</v>
      </c>
      <c r="D39" s="573">
        <v>73060853</v>
      </c>
      <c r="E39" s="568">
        <v>62836257</v>
      </c>
      <c r="F39" s="684" t="s">
        <v>771</v>
      </c>
    </row>
    <row r="40" spans="1:6" s="566" customFormat="1" ht="15" customHeight="1" thickBot="1">
      <c r="A40" s="578" t="s">
        <v>15</v>
      </c>
      <c r="B40" s="579" t="s">
        <v>583</v>
      </c>
      <c r="C40" s="109">
        <f>C35+C36</f>
        <v>89029353</v>
      </c>
      <c r="D40" s="109">
        <f>D35+D36</f>
        <v>89399709</v>
      </c>
      <c r="E40" s="109">
        <f>E35+E36</f>
        <v>77383066</v>
      </c>
      <c r="F40" s="684" t="s">
        <v>772</v>
      </c>
    </row>
    <row r="41" spans="1:6" s="566" customFormat="1" ht="15" customHeight="1">
      <c r="A41" s="521"/>
      <c r="B41" s="522"/>
      <c r="C41" s="537"/>
      <c r="D41" s="537"/>
      <c r="E41" s="537"/>
      <c r="F41" s="684"/>
    </row>
    <row r="42" spans="1:6" ht="16.5" thickBot="1">
      <c r="A42" s="523"/>
      <c r="B42" s="524"/>
      <c r="C42" s="538"/>
      <c r="D42" s="538"/>
      <c r="E42" s="538"/>
      <c r="F42" s="684"/>
    </row>
    <row r="43" spans="1:5" s="565" customFormat="1" ht="16.5" customHeight="1" thickBot="1">
      <c r="A43" s="797" t="s">
        <v>44</v>
      </c>
      <c r="B43" s="798"/>
      <c r="C43" s="798"/>
      <c r="D43" s="798"/>
      <c r="E43" s="799"/>
    </row>
    <row r="44" spans="1:6" s="339" customFormat="1" ht="12" customHeight="1" thickBot="1">
      <c r="A44" s="576" t="s">
        <v>6</v>
      </c>
      <c r="B44" s="384" t="s">
        <v>584</v>
      </c>
      <c r="C44" s="444">
        <f>SUM(C45:C49)</f>
        <v>88429353</v>
      </c>
      <c r="D44" s="444">
        <f>SUM(D45:D49)</f>
        <v>88799709</v>
      </c>
      <c r="E44" s="444">
        <f>SUM(E45:E49)</f>
        <v>76801399</v>
      </c>
      <c r="F44" s="684" t="s">
        <v>740</v>
      </c>
    </row>
    <row r="45" spans="1:6" ht="12" customHeight="1">
      <c r="A45" s="589" t="s">
        <v>71</v>
      </c>
      <c r="B45" s="365" t="s">
        <v>36</v>
      </c>
      <c r="C45" s="103">
        <v>37903424</v>
      </c>
      <c r="D45" s="103">
        <v>38250949</v>
      </c>
      <c r="E45" s="471">
        <v>36569343</v>
      </c>
      <c r="F45" s="684" t="s">
        <v>741</v>
      </c>
    </row>
    <row r="46" spans="1:6" ht="12" customHeight="1">
      <c r="A46" s="589" t="s">
        <v>72</v>
      </c>
      <c r="B46" s="364" t="s">
        <v>133</v>
      </c>
      <c r="C46" s="438">
        <v>8753713</v>
      </c>
      <c r="D46" s="438">
        <v>8788297</v>
      </c>
      <c r="E46" s="472">
        <v>8274836</v>
      </c>
      <c r="F46" s="684" t="s">
        <v>742</v>
      </c>
    </row>
    <row r="47" spans="1:6" ht="12" customHeight="1">
      <c r="A47" s="589" t="s">
        <v>73</v>
      </c>
      <c r="B47" s="364" t="s">
        <v>100</v>
      </c>
      <c r="C47" s="438">
        <v>41772216</v>
      </c>
      <c r="D47" s="438">
        <v>41760463</v>
      </c>
      <c r="E47" s="472">
        <v>31957220</v>
      </c>
      <c r="F47" s="684" t="s">
        <v>743</v>
      </c>
    </row>
    <row r="48" spans="1:6" ht="12" customHeight="1">
      <c r="A48" s="589" t="s">
        <v>74</v>
      </c>
      <c r="B48" s="364" t="s">
        <v>134</v>
      </c>
      <c r="C48" s="438"/>
      <c r="D48" s="438"/>
      <c r="E48" s="472"/>
      <c r="F48" s="684" t="s">
        <v>744</v>
      </c>
    </row>
    <row r="49" spans="1:6" ht="12" customHeight="1" thickBot="1">
      <c r="A49" s="589" t="s">
        <v>107</v>
      </c>
      <c r="B49" s="364" t="s">
        <v>135</v>
      </c>
      <c r="C49" s="438"/>
      <c r="D49" s="438"/>
      <c r="E49" s="472"/>
      <c r="F49" s="684" t="s">
        <v>745</v>
      </c>
    </row>
    <row r="50" spans="1:6" ht="12" customHeight="1" thickBot="1">
      <c r="A50" s="576" t="s">
        <v>7</v>
      </c>
      <c r="B50" s="384" t="s">
        <v>585</v>
      </c>
      <c r="C50" s="444">
        <f>SUM(C51:C53)</f>
        <v>600000</v>
      </c>
      <c r="D50" s="444">
        <f>SUM(D51:D53)</f>
        <v>600000</v>
      </c>
      <c r="E50" s="444">
        <f>SUM(E51:E53)</f>
        <v>16900</v>
      </c>
      <c r="F50" s="684" t="s">
        <v>746</v>
      </c>
    </row>
    <row r="51" spans="1:6" s="339" customFormat="1" ht="12" customHeight="1">
      <c r="A51" s="589" t="s">
        <v>77</v>
      </c>
      <c r="B51" s="365" t="s">
        <v>157</v>
      </c>
      <c r="C51" s="103">
        <v>600000</v>
      </c>
      <c r="D51" s="103">
        <v>600000</v>
      </c>
      <c r="E51" s="471">
        <v>16900</v>
      </c>
      <c r="F51" s="684" t="s">
        <v>747</v>
      </c>
    </row>
    <row r="52" spans="1:6" ht="12" customHeight="1">
      <c r="A52" s="589" t="s">
        <v>78</v>
      </c>
      <c r="B52" s="364" t="s">
        <v>137</v>
      </c>
      <c r="C52" s="438"/>
      <c r="D52" s="438">
        <v>0</v>
      </c>
      <c r="E52" s="472">
        <v>0</v>
      </c>
      <c r="F52" s="684" t="s">
        <v>748</v>
      </c>
    </row>
    <row r="53" spans="1:6" ht="12" customHeight="1">
      <c r="A53" s="589" t="s">
        <v>79</v>
      </c>
      <c r="B53" s="364" t="s">
        <v>45</v>
      </c>
      <c r="C53" s="438">
        <v>0</v>
      </c>
      <c r="D53" s="438">
        <v>0</v>
      </c>
      <c r="E53" s="472">
        <v>0</v>
      </c>
      <c r="F53" s="684" t="s">
        <v>749</v>
      </c>
    </row>
    <row r="54" spans="1:6" ht="12" customHeight="1" thickBot="1">
      <c r="A54" s="589" t="s">
        <v>80</v>
      </c>
      <c r="B54" s="364" t="s">
        <v>690</v>
      </c>
      <c r="C54" s="438">
        <v>0</v>
      </c>
      <c r="D54" s="438">
        <v>0</v>
      </c>
      <c r="E54" s="472">
        <v>0</v>
      </c>
      <c r="F54" s="684" t="s">
        <v>750</v>
      </c>
    </row>
    <row r="55" spans="1:6" ht="12" customHeight="1" thickBot="1">
      <c r="A55" s="576" t="s">
        <v>8</v>
      </c>
      <c r="B55" s="580" t="s">
        <v>586</v>
      </c>
      <c r="C55" s="444">
        <f>C44+C50</f>
        <v>89029353</v>
      </c>
      <c r="D55" s="444">
        <f>D44+D50</f>
        <v>89399709</v>
      </c>
      <c r="E55" s="444">
        <f>E44+E50</f>
        <v>76818299</v>
      </c>
      <c r="F55" s="684" t="s">
        <v>751</v>
      </c>
    </row>
    <row r="56" spans="3:6" ht="16.5" thickBot="1">
      <c r="C56" s="585"/>
      <c r="D56" s="585"/>
      <c r="E56" s="585"/>
      <c r="F56" s="684"/>
    </row>
    <row r="57" spans="1:6" ht="15" customHeight="1" thickBot="1">
      <c r="A57" s="525" t="s">
        <v>682</v>
      </c>
      <c r="B57" s="526"/>
      <c r="C57" s="113">
        <v>15</v>
      </c>
      <c r="D57" s="113">
        <v>15</v>
      </c>
      <c r="E57" s="574">
        <v>15</v>
      </c>
      <c r="F57" s="684"/>
    </row>
    <row r="58" spans="1:6" ht="14.25" customHeight="1" thickBot="1">
      <c r="A58" s="525" t="s">
        <v>149</v>
      </c>
      <c r="B58" s="526"/>
      <c r="C58" s="113"/>
      <c r="D58" s="113"/>
      <c r="E58" s="574"/>
      <c r="F58" s="684"/>
    </row>
    <row r="59" ht="15.75">
      <c r="F59" s="684"/>
    </row>
    <row r="60" ht="15.75">
      <c r="F60" s="684"/>
    </row>
    <row r="61" ht="15.75">
      <c r="F61" s="684"/>
    </row>
    <row r="62" ht="15.75">
      <c r="F62" s="684"/>
    </row>
    <row r="63" ht="15.75">
      <c r="F63" s="684"/>
    </row>
    <row r="64" ht="15.75">
      <c r="F64" s="684"/>
    </row>
    <row r="65" ht="15.75">
      <c r="F65" s="684"/>
    </row>
    <row r="66" ht="15.75">
      <c r="F66" s="684"/>
    </row>
    <row r="67" ht="15.75">
      <c r="F67" s="684"/>
    </row>
    <row r="68" ht="15.75">
      <c r="F68" s="684"/>
    </row>
    <row r="69" ht="15.75">
      <c r="F69" s="684"/>
    </row>
    <row r="70" ht="15.75">
      <c r="F70" s="684"/>
    </row>
    <row r="71" ht="15.75">
      <c r="F71" s="684"/>
    </row>
    <row r="72" ht="15.75">
      <c r="F72" s="684"/>
    </row>
    <row r="73" ht="15.75">
      <c r="F73" s="684"/>
    </row>
    <row r="74" ht="15.75">
      <c r="F74" s="684"/>
    </row>
    <row r="75" ht="15.75">
      <c r="F75" s="684"/>
    </row>
    <row r="76" ht="15.75">
      <c r="F76" s="684"/>
    </row>
    <row r="77" ht="15.75">
      <c r="F77" s="684"/>
    </row>
    <row r="78" ht="15.75">
      <c r="F78" s="684"/>
    </row>
    <row r="79" ht="15.75">
      <c r="F79" s="684"/>
    </row>
    <row r="80" ht="15.75">
      <c r="F80" s="684"/>
    </row>
    <row r="81" ht="15.75">
      <c r="F81" s="684"/>
    </row>
    <row r="82" ht="15.75">
      <c r="F82" s="684"/>
    </row>
    <row r="83" ht="15.75">
      <c r="F83" s="684"/>
    </row>
    <row r="84" ht="15.75">
      <c r="F84" s="684"/>
    </row>
    <row r="85" ht="15.75">
      <c r="F85" s="684"/>
    </row>
    <row r="86" ht="15.75">
      <c r="F86" s="684"/>
    </row>
    <row r="87" ht="15.75">
      <c r="F87" s="684"/>
    </row>
    <row r="88" ht="15">
      <c r="F88" s="685"/>
    </row>
    <row r="90" ht="15.75">
      <c r="F90" s="684"/>
    </row>
    <row r="91" ht="12.75">
      <c r="F91" s="686"/>
    </row>
    <row r="92" ht="12.75">
      <c r="F92" s="686"/>
    </row>
    <row r="93" ht="12.75">
      <c r="F93" s="686"/>
    </row>
    <row r="94" ht="12.75">
      <c r="F94" s="686"/>
    </row>
    <row r="95" ht="12.75">
      <c r="F95" s="686"/>
    </row>
    <row r="96" ht="12.75">
      <c r="F96" s="686"/>
    </row>
    <row r="97" ht="12.75">
      <c r="F97" s="686"/>
    </row>
    <row r="98" ht="12.75">
      <c r="F98" s="686"/>
    </row>
    <row r="99" ht="12.75">
      <c r="F99" s="686"/>
    </row>
    <row r="100" ht="12.75">
      <c r="F100" s="686"/>
    </row>
    <row r="101" ht="12.75">
      <c r="F101" s="686"/>
    </row>
    <row r="102" ht="12.75">
      <c r="F102" s="686"/>
    </row>
    <row r="103" ht="12.75">
      <c r="F103" s="686"/>
    </row>
    <row r="104" ht="12.75">
      <c r="F104" s="686"/>
    </row>
    <row r="105" ht="12.75">
      <c r="F105" s="686"/>
    </row>
    <row r="106" ht="12.75">
      <c r="F106" s="686"/>
    </row>
    <row r="107" ht="12.75">
      <c r="F107" s="686"/>
    </row>
    <row r="108" ht="12.75">
      <c r="F108" s="686"/>
    </row>
    <row r="109" ht="12.75">
      <c r="F109" s="686"/>
    </row>
    <row r="110" ht="12.75">
      <c r="F110" s="686"/>
    </row>
    <row r="111" ht="12.75">
      <c r="F111" s="686"/>
    </row>
    <row r="112" ht="12.75">
      <c r="F112" s="686"/>
    </row>
    <row r="113" ht="12.75">
      <c r="F113" s="686"/>
    </row>
    <row r="114" ht="12.75">
      <c r="F114" s="686"/>
    </row>
    <row r="115" ht="12.75">
      <c r="F115" s="686"/>
    </row>
    <row r="116" ht="12.75">
      <c r="F116" s="686"/>
    </row>
    <row r="117" ht="12.75">
      <c r="F117" s="686"/>
    </row>
    <row r="118" ht="12.75">
      <c r="F118" s="686"/>
    </row>
    <row r="119" ht="12.75">
      <c r="F119" s="686"/>
    </row>
    <row r="120" ht="12.75">
      <c r="F120" s="686"/>
    </row>
    <row r="121" ht="12.75">
      <c r="F121" s="686"/>
    </row>
    <row r="122" ht="12.75">
      <c r="F122" s="686"/>
    </row>
    <row r="123" ht="12.75">
      <c r="F123" s="686"/>
    </row>
    <row r="124" ht="12.75">
      <c r="F124" s="686"/>
    </row>
    <row r="125" ht="12.75">
      <c r="F125" s="686"/>
    </row>
    <row r="126" ht="12.75">
      <c r="F126" s="686"/>
    </row>
    <row r="127" ht="12.75">
      <c r="F127" s="686"/>
    </row>
    <row r="128" ht="12.75">
      <c r="F128" s="686"/>
    </row>
    <row r="129" ht="12.75">
      <c r="F129" s="686"/>
    </row>
    <row r="130" ht="12.75">
      <c r="F130" s="686"/>
    </row>
    <row r="131" ht="12.75">
      <c r="F131" s="686"/>
    </row>
    <row r="132" ht="12.75">
      <c r="F132" s="686"/>
    </row>
    <row r="133" ht="12.75">
      <c r="F133" s="686"/>
    </row>
    <row r="134" ht="12.75">
      <c r="F134" s="686"/>
    </row>
    <row r="135" ht="12.75">
      <c r="F135" s="686"/>
    </row>
    <row r="136" ht="12.75">
      <c r="F136" s="686"/>
    </row>
    <row r="137" ht="12.75">
      <c r="F137" s="686"/>
    </row>
    <row r="138" ht="12.75">
      <c r="F138" s="686"/>
    </row>
    <row r="139" ht="12.75">
      <c r="F139" s="686"/>
    </row>
    <row r="140" ht="12.75">
      <c r="F140" s="686"/>
    </row>
    <row r="141" ht="12.75">
      <c r="F141" s="686"/>
    </row>
    <row r="142" ht="12.75">
      <c r="F142" s="686"/>
    </row>
    <row r="143" ht="12.75">
      <c r="F143" s="686"/>
    </row>
    <row r="144" ht="12.75">
      <c r="F144" s="686"/>
    </row>
    <row r="145" ht="12.75">
      <c r="F145" s="686"/>
    </row>
    <row r="146" ht="12.75">
      <c r="F146" s="68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81" customWidth="1"/>
    <col min="2" max="2" width="59.375" style="32" customWidth="1"/>
    <col min="3" max="5" width="15.875" style="32" customWidth="1"/>
    <col min="6" max="6" width="0" style="678" hidden="1" customWidth="1"/>
    <col min="7" max="16384" width="9.375" style="32" customWidth="1"/>
  </cols>
  <sheetData>
    <row r="1" spans="1:6" s="516" customFormat="1" ht="21" customHeight="1" thickBot="1">
      <c r="A1" s="515"/>
      <c r="B1" s="517"/>
      <c r="C1" s="562"/>
      <c r="D1" s="562"/>
      <c r="E1" s="658" t="str">
        <f>+CONCATENATE("7.3. melléklet a 6 /",LEFT(ÖSSZEFÜGGÉSEK!A4,4)+1,". (V.30.) önkormányzati rendelethez")</f>
        <v>7.3. melléklet a 6 /2018. (V.30.) önkormányzati rendelethez</v>
      </c>
      <c r="F1" s="681"/>
    </row>
    <row r="2" spans="1:6" s="563" customFormat="1" ht="34.5" customHeight="1">
      <c r="A2" s="543" t="s">
        <v>147</v>
      </c>
      <c r="B2" s="803" t="s">
        <v>820</v>
      </c>
      <c r="C2" s="804"/>
      <c r="D2" s="805"/>
      <c r="E2" s="586" t="s">
        <v>48</v>
      </c>
      <c r="F2" s="682"/>
    </row>
    <row r="3" spans="1:6" s="563" customFormat="1" ht="24.75" thickBot="1">
      <c r="A3" s="561" t="s">
        <v>566</v>
      </c>
      <c r="B3" s="800" t="s">
        <v>691</v>
      </c>
      <c r="C3" s="806"/>
      <c r="D3" s="807"/>
      <c r="E3" s="587" t="s">
        <v>49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39" customFormat="1" ht="12" customHeight="1" thickBot="1">
      <c r="A8" s="513" t="s">
        <v>6</v>
      </c>
      <c r="B8" s="577" t="s">
        <v>567</v>
      </c>
      <c r="C8" s="444">
        <f>SUM(C9:C18)</f>
        <v>0</v>
      </c>
      <c r="D8" s="444">
        <f>SUM(D9:D18)</f>
        <v>0</v>
      </c>
      <c r="E8" s="444">
        <f>SUM(E9:E18)</f>
        <v>0</v>
      </c>
      <c r="F8" s="444">
        <f>SUM(F9:F18)</f>
        <v>0</v>
      </c>
    </row>
    <row r="9" spans="1:6" s="539" customFormat="1" ht="12" customHeight="1">
      <c r="A9" s="588" t="s">
        <v>71</v>
      </c>
      <c r="B9" s="366" t="s">
        <v>346</v>
      </c>
      <c r="C9" s="106">
        <v>0</v>
      </c>
      <c r="D9" s="106">
        <v>0</v>
      </c>
      <c r="E9" s="572">
        <v>0</v>
      </c>
      <c r="F9" s="684" t="s">
        <v>741</v>
      </c>
    </row>
    <row r="10" spans="1:6" s="539" customFormat="1" ht="12" customHeight="1">
      <c r="A10" s="589" t="s">
        <v>72</v>
      </c>
      <c r="B10" s="364" t="s">
        <v>347</v>
      </c>
      <c r="C10" s="441"/>
      <c r="D10" s="441">
        <v>0</v>
      </c>
      <c r="E10" s="115">
        <v>0</v>
      </c>
      <c r="F10" s="684" t="s">
        <v>742</v>
      </c>
    </row>
    <row r="11" spans="1:6" s="539" customFormat="1" ht="12" customHeight="1">
      <c r="A11" s="589" t="s">
        <v>73</v>
      </c>
      <c r="B11" s="364" t="s">
        <v>348</v>
      </c>
      <c r="C11" s="441"/>
      <c r="D11" s="441"/>
      <c r="E11" s="115"/>
      <c r="F11" s="684" t="s">
        <v>743</v>
      </c>
    </row>
    <row r="12" spans="1:6" s="539" customFormat="1" ht="12" customHeight="1">
      <c r="A12" s="589" t="s">
        <v>74</v>
      </c>
      <c r="B12" s="364" t="s">
        <v>349</v>
      </c>
      <c r="C12" s="441"/>
      <c r="D12" s="441">
        <v>0</v>
      </c>
      <c r="E12" s="115"/>
      <c r="F12" s="684" t="s">
        <v>744</v>
      </c>
    </row>
    <row r="13" spans="1:6" s="539" customFormat="1" ht="12" customHeight="1">
      <c r="A13" s="589" t="s">
        <v>107</v>
      </c>
      <c r="B13" s="364" t="s">
        <v>350</v>
      </c>
      <c r="C13" s="441"/>
      <c r="D13" s="441">
        <v>0</v>
      </c>
      <c r="E13" s="115"/>
      <c r="F13" s="684" t="s">
        <v>745</v>
      </c>
    </row>
    <row r="14" spans="1:6" s="539" customFormat="1" ht="12" customHeight="1">
      <c r="A14" s="589" t="s">
        <v>75</v>
      </c>
      <c r="B14" s="364" t="s">
        <v>568</v>
      </c>
      <c r="C14" s="441"/>
      <c r="D14" s="441">
        <v>0</v>
      </c>
      <c r="E14" s="115"/>
      <c r="F14" s="684" t="s">
        <v>746</v>
      </c>
    </row>
    <row r="15" spans="1:6" s="566" customFormat="1" ht="12" customHeight="1">
      <c r="A15" s="589" t="s">
        <v>76</v>
      </c>
      <c r="B15" s="363" t="s">
        <v>569</v>
      </c>
      <c r="C15" s="441"/>
      <c r="D15" s="441">
        <v>0</v>
      </c>
      <c r="E15" s="115"/>
      <c r="F15" s="684" t="s">
        <v>747</v>
      </c>
    </row>
    <row r="16" spans="1:6" s="566" customFormat="1" ht="12" customHeight="1">
      <c r="A16" s="589" t="s">
        <v>84</v>
      </c>
      <c r="B16" s="364" t="s">
        <v>353</v>
      </c>
      <c r="C16" s="107"/>
      <c r="D16" s="107"/>
      <c r="E16" s="571"/>
      <c r="F16" s="684" t="s">
        <v>748</v>
      </c>
    </row>
    <row r="17" spans="1:6" s="539" customFormat="1" ht="12" customHeight="1">
      <c r="A17" s="589" t="s">
        <v>85</v>
      </c>
      <c r="B17" s="364" t="s">
        <v>355</v>
      </c>
      <c r="C17" s="441"/>
      <c r="D17" s="441">
        <v>0</v>
      </c>
      <c r="E17" s="115"/>
      <c r="F17" s="684" t="s">
        <v>749</v>
      </c>
    </row>
    <row r="18" spans="1:6" s="566" customFormat="1" ht="12" customHeight="1" thickBot="1">
      <c r="A18" s="589" t="s">
        <v>86</v>
      </c>
      <c r="B18" s="363" t="s">
        <v>357</v>
      </c>
      <c r="C18" s="443"/>
      <c r="D18" s="443"/>
      <c r="E18" s="567"/>
      <c r="F18" s="684" t="s">
        <v>750</v>
      </c>
    </row>
    <row r="19" spans="1:6" s="566" customFormat="1" ht="12" customHeight="1" thickBot="1">
      <c r="A19" s="513" t="s">
        <v>7</v>
      </c>
      <c r="B19" s="577" t="s">
        <v>570</v>
      </c>
      <c r="C19" s="444">
        <f>SUM(C20:C23)</f>
        <v>0</v>
      </c>
      <c r="D19" s="444">
        <f>SUM(D20:D23)</f>
        <v>0</v>
      </c>
      <c r="E19" s="444">
        <f>SUM(E20:E23)</f>
        <v>0</v>
      </c>
      <c r="F19" s="684" t="s">
        <v>751</v>
      </c>
    </row>
    <row r="20" spans="1:6" s="566" customFormat="1" ht="12" customHeight="1">
      <c r="A20" s="589" t="s">
        <v>77</v>
      </c>
      <c r="B20" s="365" t="s">
        <v>319</v>
      </c>
      <c r="C20" s="441">
        <v>0</v>
      </c>
      <c r="D20" s="441">
        <v>0</v>
      </c>
      <c r="E20" s="115">
        <v>0</v>
      </c>
      <c r="F20" s="684" t="s">
        <v>752</v>
      </c>
    </row>
    <row r="21" spans="1:6" s="566" customFormat="1" ht="12" customHeight="1">
      <c r="A21" s="589" t="s">
        <v>78</v>
      </c>
      <c r="B21" s="364" t="s">
        <v>571</v>
      </c>
      <c r="C21" s="441">
        <v>0</v>
      </c>
      <c r="D21" s="441">
        <v>0</v>
      </c>
      <c r="E21" s="115">
        <v>0</v>
      </c>
      <c r="F21" s="684" t="s">
        <v>753</v>
      </c>
    </row>
    <row r="22" spans="1:6" s="566" customFormat="1" ht="12" customHeight="1">
      <c r="A22" s="589" t="s">
        <v>79</v>
      </c>
      <c r="B22" s="364" t="s">
        <v>572</v>
      </c>
      <c r="C22" s="441"/>
      <c r="D22" s="441"/>
      <c r="E22" s="115"/>
      <c r="F22" s="684" t="s">
        <v>754</v>
      </c>
    </row>
    <row r="23" spans="1:6" s="566" customFormat="1" ht="12" customHeight="1" thickBot="1">
      <c r="A23" s="589" t="s">
        <v>80</v>
      </c>
      <c r="B23" s="364" t="s">
        <v>687</v>
      </c>
      <c r="C23" s="441">
        <v>0</v>
      </c>
      <c r="D23" s="441">
        <v>0</v>
      </c>
      <c r="E23" s="115">
        <v>0</v>
      </c>
      <c r="F23" s="684" t="s">
        <v>755</v>
      </c>
    </row>
    <row r="24" spans="1:6" s="566" customFormat="1" ht="12" customHeight="1" thickBot="1">
      <c r="A24" s="576" t="s">
        <v>8</v>
      </c>
      <c r="B24" s="384" t="s">
        <v>124</v>
      </c>
      <c r="C24" s="41">
        <v>0</v>
      </c>
      <c r="D24" s="41">
        <v>0</v>
      </c>
      <c r="E24" s="582">
        <v>0</v>
      </c>
      <c r="F24" s="684" t="s">
        <v>756</v>
      </c>
    </row>
    <row r="25" spans="1:6" s="566" customFormat="1" ht="12" customHeight="1" thickBot="1">
      <c r="A25" s="576" t="s">
        <v>9</v>
      </c>
      <c r="B25" s="384" t="s">
        <v>573</v>
      </c>
      <c r="C25" s="444">
        <f>SUM(C26:C28)</f>
        <v>0</v>
      </c>
      <c r="D25" s="444">
        <f>SUM(D26:D28)</f>
        <v>0</v>
      </c>
      <c r="E25" s="444">
        <f>SUM(E26:E28)</f>
        <v>0</v>
      </c>
      <c r="F25" s="684" t="s">
        <v>757</v>
      </c>
    </row>
    <row r="26" spans="1:6" s="566" customFormat="1" ht="12" customHeight="1">
      <c r="A26" s="590" t="s">
        <v>333</v>
      </c>
      <c r="B26" s="591" t="s">
        <v>571</v>
      </c>
      <c r="C26" s="103">
        <v>0</v>
      </c>
      <c r="D26" s="103">
        <v>0</v>
      </c>
      <c r="E26" s="570">
        <v>0</v>
      </c>
      <c r="F26" s="684" t="s">
        <v>758</v>
      </c>
    </row>
    <row r="27" spans="1:6" s="566" customFormat="1" ht="12" customHeight="1">
      <c r="A27" s="590" t="s">
        <v>339</v>
      </c>
      <c r="B27" s="592" t="s">
        <v>574</v>
      </c>
      <c r="C27" s="445"/>
      <c r="D27" s="445">
        <v>0</v>
      </c>
      <c r="E27" s="569">
        <v>0</v>
      </c>
      <c r="F27" s="684" t="s">
        <v>759</v>
      </c>
    </row>
    <row r="28" spans="1:6" s="566" customFormat="1" ht="12" customHeight="1" thickBot="1">
      <c r="A28" s="589" t="s">
        <v>341</v>
      </c>
      <c r="B28" s="593" t="s">
        <v>688</v>
      </c>
      <c r="C28" s="573">
        <v>0</v>
      </c>
      <c r="D28" s="573">
        <v>0</v>
      </c>
      <c r="E28" s="568">
        <v>0</v>
      </c>
      <c r="F28" s="684" t="s">
        <v>760</v>
      </c>
    </row>
    <row r="29" spans="1:6" s="566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444">
        <f>SUM(E30:E32)</f>
        <v>0</v>
      </c>
      <c r="F29" s="684" t="s">
        <v>761</v>
      </c>
    </row>
    <row r="30" spans="1:6" s="566" customFormat="1" ht="12" customHeight="1">
      <c r="A30" s="590" t="s">
        <v>64</v>
      </c>
      <c r="B30" s="591" t="s">
        <v>359</v>
      </c>
      <c r="C30" s="103">
        <v>0</v>
      </c>
      <c r="D30" s="103">
        <v>0</v>
      </c>
      <c r="E30" s="570">
        <v>0</v>
      </c>
      <c r="F30" s="684" t="s">
        <v>762</v>
      </c>
    </row>
    <row r="31" spans="1:6" s="566" customFormat="1" ht="12" customHeight="1">
      <c r="A31" s="590" t="s">
        <v>65</v>
      </c>
      <c r="B31" s="592" t="s">
        <v>360</v>
      </c>
      <c r="C31" s="445">
        <v>0</v>
      </c>
      <c r="D31" s="445">
        <v>0</v>
      </c>
      <c r="E31" s="569">
        <v>0</v>
      </c>
      <c r="F31" s="684" t="s">
        <v>763</v>
      </c>
    </row>
    <row r="32" spans="1:6" s="566" customFormat="1" ht="12" customHeight="1" thickBot="1">
      <c r="A32" s="589" t="s">
        <v>66</v>
      </c>
      <c r="B32" s="575" t="s">
        <v>362</v>
      </c>
      <c r="C32" s="573"/>
      <c r="D32" s="573">
        <v>0</v>
      </c>
      <c r="E32" s="568">
        <v>0</v>
      </c>
      <c r="F32" s="684" t="s">
        <v>764</v>
      </c>
    </row>
    <row r="33" spans="1:6" s="566" customFormat="1" ht="12" customHeight="1" thickBot="1">
      <c r="A33" s="576" t="s">
        <v>11</v>
      </c>
      <c r="B33" s="384" t="s">
        <v>487</v>
      </c>
      <c r="C33" s="41">
        <v>0</v>
      </c>
      <c r="D33" s="41">
        <v>0</v>
      </c>
      <c r="E33" s="582">
        <v>0</v>
      </c>
      <c r="F33" s="684" t="s">
        <v>765</v>
      </c>
    </row>
    <row r="34" spans="1:6" s="539" customFormat="1" ht="12" customHeight="1" thickBot="1">
      <c r="A34" s="576" t="s">
        <v>12</v>
      </c>
      <c r="B34" s="384" t="s">
        <v>576</v>
      </c>
      <c r="C34" s="41">
        <v>0</v>
      </c>
      <c r="D34" s="41">
        <v>0</v>
      </c>
      <c r="E34" s="582">
        <v>0</v>
      </c>
      <c r="F34" s="684" t="s">
        <v>766</v>
      </c>
    </row>
    <row r="35" spans="1:6" s="539" customFormat="1" ht="12" customHeight="1" thickBot="1">
      <c r="A35" s="513" t="s">
        <v>13</v>
      </c>
      <c r="B35" s="384" t="s">
        <v>689</v>
      </c>
      <c r="C35" s="444">
        <f>C8+C19+C24+C25+C29+C33+C34</f>
        <v>0</v>
      </c>
      <c r="D35" s="444">
        <f>D8+D19+D24+D25+D29+D33+D34</f>
        <v>0</v>
      </c>
      <c r="E35" s="444">
        <f>E8+E19+E24+E25+E29+E33+E34</f>
        <v>0</v>
      </c>
      <c r="F35" s="684" t="s">
        <v>767</v>
      </c>
    </row>
    <row r="36" spans="1:6" s="539" customFormat="1" ht="12" customHeight="1" thickBot="1">
      <c r="A36" s="578" t="s">
        <v>14</v>
      </c>
      <c r="B36" s="384" t="s">
        <v>578</v>
      </c>
      <c r="C36" s="444">
        <f>SUM(C37:C39)</f>
        <v>0</v>
      </c>
      <c r="D36" s="444">
        <f>SUM(D37:D39)</f>
        <v>0</v>
      </c>
      <c r="E36" s="444">
        <f>SUM(E37:E39)</f>
        <v>0</v>
      </c>
      <c r="F36" s="684" t="s">
        <v>768</v>
      </c>
    </row>
    <row r="37" spans="1:6" s="539" customFormat="1" ht="12" customHeight="1">
      <c r="A37" s="590" t="s">
        <v>579</v>
      </c>
      <c r="B37" s="591" t="s">
        <v>167</v>
      </c>
      <c r="C37" s="103"/>
      <c r="D37" s="103"/>
      <c r="E37" s="570"/>
      <c r="F37" s="684" t="s">
        <v>769</v>
      </c>
    </row>
    <row r="38" spans="1:6" s="566" customFormat="1" ht="12" customHeight="1">
      <c r="A38" s="590" t="s">
        <v>580</v>
      </c>
      <c r="B38" s="592" t="s">
        <v>2</v>
      </c>
      <c r="C38" s="445">
        <v>0</v>
      </c>
      <c r="D38" s="445">
        <v>0</v>
      </c>
      <c r="E38" s="569">
        <v>0</v>
      </c>
      <c r="F38" s="684" t="s">
        <v>770</v>
      </c>
    </row>
    <row r="39" spans="1:6" s="566" customFormat="1" ht="12" customHeight="1" thickBot="1">
      <c r="A39" s="589" t="s">
        <v>581</v>
      </c>
      <c r="B39" s="575" t="s">
        <v>582</v>
      </c>
      <c r="C39" s="573">
        <v>0</v>
      </c>
      <c r="D39" s="573"/>
      <c r="E39" s="568"/>
      <c r="F39" s="684" t="s">
        <v>771</v>
      </c>
    </row>
    <row r="40" spans="1:6" s="566" customFormat="1" ht="15" customHeight="1" thickBot="1">
      <c r="A40" s="578" t="s">
        <v>15</v>
      </c>
      <c r="B40" s="579" t="s">
        <v>583</v>
      </c>
      <c r="C40" s="109">
        <f>C35+C36</f>
        <v>0</v>
      </c>
      <c r="D40" s="109">
        <f>D35+D36</f>
        <v>0</v>
      </c>
      <c r="E40" s="109">
        <f>E35+E36</f>
        <v>0</v>
      </c>
      <c r="F40" s="684" t="s">
        <v>772</v>
      </c>
    </row>
    <row r="41" spans="1:6" s="566" customFormat="1" ht="15" customHeight="1">
      <c r="A41" s="521"/>
      <c r="B41" s="522"/>
      <c r="C41" s="537"/>
      <c r="D41" s="537"/>
      <c r="E41" s="537"/>
      <c r="F41" s="684"/>
    </row>
    <row r="42" spans="1:6" ht="16.5" thickBot="1">
      <c r="A42" s="523"/>
      <c r="B42" s="524"/>
      <c r="C42" s="538"/>
      <c r="D42" s="538"/>
      <c r="E42" s="538"/>
      <c r="F42" s="684"/>
    </row>
    <row r="43" spans="1:5" s="565" customFormat="1" ht="16.5" customHeight="1" thickBot="1">
      <c r="A43" s="797" t="s">
        <v>44</v>
      </c>
      <c r="B43" s="798"/>
      <c r="C43" s="798"/>
      <c r="D43" s="798"/>
      <c r="E43" s="799"/>
    </row>
    <row r="44" spans="1:6" s="339" customFormat="1" ht="12" customHeight="1" thickBot="1">
      <c r="A44" s="576" t="s">
        <v>6</v>
      </c>
      <c r="B44" s="384" t="s">
        <v>584</v>
      </c>
      <c r="C44" s="444">
        <f>SUM(C45:C49)</f>
        <v>0</v>
      </c>
      <c r="D44" s="444">
        <f>SUM(D45:D49)</f>
        <v>0</v>
      </c>
      <c r="E44" s="444">
        <f>SUM(E45:E49)</f>
        <v>0</v>
      </c>
      <c r="F44" s="684" t="s">
        <v>740</v>
      </c>
    </row>
    <row r="45" spans="1:6" ht="12" customHeight="1">
      <c r="A45" s="589" t="s">
        <v>71</v>
      </c>
      <c r="B45" s="365" t="s">
        <v>36</v>
      </c>
      <c r="C45" s="103"/>
      <c r="D45" s="103"/>
      <c r="E45" s="471"/>
      <c r="F45" s="684" t="s">
        <v>741</v>
      </c>
    </row>
    <row r="46" spans="1:6" ht="12" customHeight="1">
      <c r="A46" s="589" t="s">
        <v>72</v>
      </c>
      <c r="B46" s="364" t="s">
        <v>133</v>
      </c>
      <c r="C46" s="438"/>
      <c r="D46" s="438"/>
      <c r="E46" s="472"/>
      <c r="F46" s="684" t="s">
        <v>742</v>
      </c>
    </row>
    <row r="47" spans="1:6" ht="12" customHeight="1">
      <c r="A47" s="589" t="s">
        <v>73</v>
      </c>
      <c r="B47" s="364" t="s">
        <v>100</v>
      </c>
      <c r="C47" s="438"/>
      <c r="D47" s="438"/>
      <c r="E47" s="472"/>
      <c r="F47" s="684" t="s">
        <v>743</v>
      </c>
    </row>
    <row r="48" spans="1:6" ht="12" customHeight="1">
      <c r="A48" s="589" t="s">
        <v>74</v>
      </c>
      <c r="B48" s="364" t="s">
        <v>134</v>
      </c>
      <c r="C48" s="438"/>
      <c r="D48" s="438">
        <v>0</v>
      </c>
      <c r="E48" s="472"/>
      <c r="F48" s="684" t="s">
        <v>744</v>
      </c>
    </row>
    <row r="49" spans="1:6" ht="12" customHeight="1" thickBot="1">
      <c r="A49" s="589" t="s">
        <v>107</v>
      </c>
      <c r="B49" s="364" t="s">
        <v>135</v>
      </c>
      <c r="C49" s="438"/>
      <c r="D49" s="438">
        <v>0</v>
      </c>
      <c r="E49" s="472">
        <v>0</v>
      </c>
      <c r="F49" s="684" t="s">
        <v>745</v>
      </c>
    </row>
    <row r="50" spans="1:6" ht="12" customHeight="1" thickBot="1">
      <c r="A50" s="576" t="s">
        <v>7</v>
      </c>
      <c r="B50" s="384" t="s">
        <v>585</v>
      </c>
      <c r="C50" s="444">
        <f>SUM(C51:C53)</f>
        <v>0</v>
      </c>
      <c r="D50" s="444">
        <f>SUM(D51:D53)</f>
        <v>0</v>
      </c>
      <c r="E50" s="444">
        <f>SUM(E51:E53)</f>
        <v>0</v>
      </c>
      <c r="F50" s="684" t="s">
        <v>746</v>
      </c>
    </row>
    <row r="51" spans="1:6" s="339" customFormat="1" ht="12" customHeight="1">
      <c r="A51" s="589" t="s">
        <v>77</v>
      </c>
      <c r="B51" s="365" t="s">
        <v>157</v>
      </c>
      <c r="C51" s="103">
        <v>0</v>
      </c>
      <c r="D51" s="103"/>
      <c r="E51" s="471"/>
      <c r="F51" s="684" t="s">
        <v>747</v>
      </c>
    </row>
    <row r="52" spans="1:6" ht="12" customHeight="1">
      <c r="A52" s="589" t="s">
        <v>78</v>
      </c>
      <c r="B52" s="364" t="s">
        <v>137</v>
      </c>
      <c r="C52" s="438"/>
      <c r="D52" s="438">
        <v>0</v>
      </c>
      <c r="E52" s="472">
        <v>0</v>
      </c>
      <c r="F52" s="684" t="s">
        <v>748</v>
      </c>
    </row>
    <row r="53" spans="1:6" ht="12" customHeight="1">
      <c r="A53" s="589" t="s">
        <v>79</v>
      </c>
      <c r="B53" s="364" t="s">
        <v>45</v>
      </c>
      <c r="C53" s="438">
        <v>0</v>
      </c>
      <c r="D53" s="438">
        <v>0</v>
      </c>
      <c r="E53" s="472">
        <v>0</v>
      </c>
      <c r="F53" s="684" t="s">
        <v>749</v>
      </c>
    </row>
    <row r="54" spans="1:6" ht="12" customHeight="1" thickBot="1">
      <c r="A54" s="589" t="s">
        <v>80</v>
      </c>
      <c r="B54" s="364" t="s">
        <v>690</v>
      </c>
      <c r="C54" s="438">
        <v>0</v>
      </c>
      <c r="D54" s="438">
        <v>0</v>
      </c>
      <c r="E54" s="472">
        <v>0</v>
      </c>
      <c r="F54" s="684" t="s">
        <v>750</v>
      </c>
    </row>
    <row r="55" spans="1:6" ht="12" customHeight="1" thickBot="1">
      <c r="A55" s="576" t="s">
        <v>8</v>
      </c>
      <c r="B55" s="580" t="s">
        <v>586</v>
      </c>
      <c r="C55" s="444">
        <f>C44+C50</f>
        <v>0</v>
      </c>
      <c r="D55" s="444">
        <f>D44+D50</f>
        <v>0</v>
      </c>
      <c r="E55" s="444">
        <f>E44+E50</f>
        <v>0</v>
      </c>
      <c r="F55" s="684" t="s">
        <v>751</v>
      </c>
    </row>
    <row r="56" spans="3:6" ht="16.5" thickBot="1">
      <c r="C56" s="585"/>
      <c r="D56" s="585"/>
      <c r="E56" s="585"/>
      <c r="F56" s="684"/>
    </row>
    <row r="57" spans="1:6" ht="15" customHeight="1" thickBot="1">
      <c r="A57" s="525" t="s">
        <v>682</v>
      </c>
      <c r="B57" s="526"/>
      <c r="C57" s="113"/>
      <c r="D57" s="113"/>
      <c r="E57" s="574"/>
      <c r="F57" s="684"/>
    </row>
    <row r="58" spans="1:6" ht="14.25" customHeight="1" thickBot="1">
      <c r="A58" s="525" t="s">
        <v>149</v>
      </c>
      <c r="B58" s="526"/>
      <c r="C58" s="113"/>
      <c r="D58" s="113"/>
      <c r="E58" s="574"/>
      <c r="F58" s="684"/>
    </row>
    <row r="59" ht="15.75">
      <c r="F59" s="684"/>
    </row>
    <row r="60" ht="15.75">
      <c r="F60" s="684"/>
    </row>
    <row r="61" ht="15.75">
      <c r="F61" s="684"/>
    </row>
    <row r="62" ht="15.75">
      <c r="F62" s="684"/>
    </row>
    <row r="63" ht="15.75">
      <c r="F63" s="684"/>
    </row>
    <row r="64" ht="15.75">
      <c r="F64" s="684"/>
    </row>
    <row r="65" ht="15.75">
      <c r="F65" s="684"/>
    </row>
    <row r="66" ht="15.75">
      <c r="F66" s="684"/>
    </row>
    <row r="67" ht="15.75">
      <c r="F67" s="684"/>
    </row>
    <row r="68" ht="15.75">
      <c r="F68" s="684"/>
    </row>
    <row r="69" ht="15.75">
      <c r="F69" s="684"/>
    </row>
    <row r="70" ht="15.75">
      <c r="F70" s="684"/>
    </row>
    <row r="71" ht="15.75">
      <c r="F71" s="684"/>
    </row>
    <row r="72" ht="15.75">
      <c r="F72" s="684"/>
    </row>
    <row r="73" ht="15.75">
      <c r="F73" s="684"/>
    </row>
    <row r="74" ht="15.75">
      <c r="F74" s="684"/>
    </row>
    <row r="75" ht="15.75">
      <c r="F75" s="684"/>
    </row>
    <row r="76" ht="15.75">
      <c r="F76" s="684"/>
    </row>
    <row r="77" ht="15.75">
      <c r="F77" s="684"/>
    </row>
    <row r="78" ht="15.75">
      <c r="F78" s="684"/>
    </row>
    <row r="79" ht="15.75">
      <c r="F79" s="684"/>
    </row>
    <row r="80" ht="15.75">
      <c r="F80" s="684"/>
    </row>
    <row r="81" ht="15.75">
      <c r="F81" s="684"/>
    </row>
    <row r="82" ht="15.75">
      <c r="F82" s="684"/>
    </row>
    <row r="83" ht="15.75">
      <c r="F83" s="684"/>
    </row>
    <row r="84" ht="15.75">
      <c r="F84" s="684"/>
    </row>
    <row r="85" ht="15.75">
      <c r="F85" s="684"/>
    </row>
    <row r="86" ht="15.75">
      <c r="F86" s="684"/>
    </row>
    <row r="87" ht="15.75">
      <c r="F87" s="684"/>
    </row>
    <row r="88" ht="15">
      <c r="F88" s="685"/>
    </row>
    <row r="90" ht="15.75">
      <c r="F90" s="684"/>
    </row>
    <row r="91" ht="12.75">
      <c r="F91" s="686"/>
    </row>
    <row r="92" ht="12.75">
      <c r="F92" s="686"/>
    </row>
    <row r="93" ht="12.75">
      <c r="F93" s="686"/>
    </row>
    <row r="94" ht="12.75">
      <c r="F94" s="686"/>
    </row>
    <row r="95" ht="12.75">
      <c r="F95" s="686"/>
    </row>
    <row r="96" ht="12.75">
      <c r="F96" s="686"/>
    </row>
    <row r="97" ht="12.75">
      <c r="F97" s="686"/>
    </row>
    <row r="98" ht="12.75">
      <c r="F98" s="686"/>
    </row>
    <row r="99" ht="12.75">
      <c r="F99" s="686"/>
    </row>
    <row r="100" ht="12.75">
      <c r="F100" s="686"/>
    </row>
    <row r="101" ht="12.75">
      <c r="F101" s="686"/>
    </row>
    <row r="102" ht="12.75">
      <c r="F102" s="686"/>
    </row>
    <row r="103" ht="12.75">
      <c r="F103" s="686"/>
    </row>
    <row r="104" ht="12.75">
      <c r="F104" s="686"/>
    </row>
    <row r="105" ht="12.75">
      <c r="F105" s="686"/>
    </row>
    <row r="106" ht="12.75">
      <c r="F106" s="686"/>
    </row>
    <row r="107" ht="12.75">
      <c r="F107" s="686"/>
    </row>
    <row r="108" ht="12.75">
      <c r="F108" s="686"/>
    </row>
    <row r="109" ht="12.75">
      <c r="F109" s="686"/>
    </row>
    <row r="110" ht="12.75">
      <c r="F110" s="686"/>
    </row>
    <row r="111" ht="12.75">
      <c r="F111" s="686"/>
    </row>
    <row r="112" ht="12.75">
      <c r="F112" s="686"/>
    </row>
    <row r="113" ht="12.75">
      <c r="F113" s="686"/>
    </row>
    <row r="114" ht="12.75">
      <c r="F114" s="686"/>
    </row>
    <row r="115" ht="12.75">
      <c r="F115" s="686"/>
    </row>
    <row r="116" ht="12.75">
      <c r="F116" s="686"/>
    </row>
    <row r="117" ht="12.75">
      <c r="F117" s="686"/>
    </row>
    <row r="118" ht="12.75">
      <c r="F118" s="686"/>
    </row>
    <row r="119" ht="12.75">
      <c r="F119" s="686"/>
    </row>
    <row r="120" ht="12.75">
      <c r="F120" s="686"/>
    </row>
    <row r="121" ht="12.75">
      <c r="F121" s="686"/>
    </row>
    <row r="122" ht="12.75">
      <c r="F122" s="686"/>
    </row>
    <row r="123" ht="12.75">
      <c r="F123" s="686"/>
    </row>
    <row r="124" ht="12.75">
      <c r="F124" s="686"/>
    </row>
    <row r="125" ht="12.75">
      <c r="F125" s="686"/>
    </row>
    <row r="126" ht="12.75">
      <c r="F126" s="686"/>
    </row>
    <row r="127" ht="12.75">
      <c r="F127" s="686"/>
    </row>
    <row r="128" ht="12.75">
      <c r="F128" s="686"/>
    </row>
    <row r="129" ht="12.75">
      <c r="F129" s="686"/>
    </row>
    <row r="130" ht="12.75">
      <c r="F130" s="686"/>
    </row>
    <row r="131" ht="12.75">
      <c r="F131" s="686"/>
    </row>
    <row r="132" ht="12.75">
      <c r="F132" s="686"/>
    </row>
    <row r="133" ht="12.75">
      <c r="F133" s="686"/>
    </row>
    <row r="134" ht="12.75">
      <c r="F134" s="686"/>
    </row>
    <row r="135" ht="12.75">
      <c r="F135" s="686"/>
    </row>
    <row r="136" ht="12.75">
      <c r="F136" s="686"/>
    </row>
    <row r="137" ht="12.75">
      <c r="F137" s="686"/>
    </row>
    <row r="138" ht="12.75">
      <c r="F138" s="686"/>
    </row>
    <row r="139" ht="12.75">
      <c r="F139" s="686"/>
    </row>
    <row r="140" ht="12.75">
      <c r="F140" s="686"/>
    </row>
    <row r="141" ht="12.75">
      <c r="F141" s="686"/>
    </row>
    <row r="142" ht="12.75">
      <c r="F142" s="686"/>
    </row>
    <row r="143" ht="12.75">
      <c r="F143" s="686"/>
    </row>
    <row r="144" ht="12.75">
      <c r="F144" s="686"/>
    </row>
    <row r="145" ht="12.75">
      <c r="F145" s="686"/>
    </row>
    <row r="146" ht="12.75">
      <c r="F146" s="68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581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516" customFormat="1" ht="21" customHeight="1" thickBot="1">
      <c r="A1" s="515"/>
      <c r="B1" s="517"/>
      <c r="C1" s="562"/>
      <c r="D1" s="562"/>
      <c r="E1" s="658" t="str">
        <f>+CONCATENATE("7.4. melléklet a 6 /",LEFT(ÖSSZEFÜGGÉSEK!A4,4)+1,". (V.30.) önkormányzati rendelethez")</f>
        <v>7.4. melléklet a 6 /2018. (V.30.) önkormányzati rendelethez</v>
      </c>
    </row>
    <row r="2" spans="1:5" s="563" customFormat="1" ht="30.75" customHeight="1">
      <c r="A2" s="543" t="s">
        <v>147</v>
      </c>
      <c r="B2" s="803" t="s">
        <v>820</v>
      </c>
      <c r="C2" s="804"/>
      <c r="D2" s="805"/>
      <c r="E2" s="586" t="s">
        <v>48</v>
      </c>
    </row>
    <row r="3" spans="1:5" s="563" customFormat="1" ht="24.75" thickBot="1">
      <c r="A3" s="561" t="s">
        <v>566</v>
      </c>
      <c r="B3" s="800" t="s">
        <v>686</v>
      </c>
      <c r="C3" s="806"/>
      <c r="D3" s="807"/>
      <c r="E3" s="587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881</v>
      </c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5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</row>
    <row r="7" spans="1:5" s="565" customFormat="1" ht="15.75" customHeight="1" thickBot="1">
      <c r="A7" s="797" t="s">
        <v>43</v>
      </c>
      <c r="B7" s="798"/>
      <c r="C7" s="798"/>
      <c r="D7" s="798"/>
      <c r="E7" s="799"/>
    </row>
    <row r="8" spans="1:5" s="539" customFormat="1" ht="12" customHeight="1" thickBot="1">
      <c r="A8" s="513" t="s">
        <v>6</v>
      </c>
      <c r="B8" s="577" t="s">
        <v>567</v>
      </c>
      <c r="C8" s="444">
        <f>SUM(C9:C18)</f>
        <v>0</v>
      </c>
      <c r="D8" s="444">
        <f>SUM(D9:D18)</f>
        <v>0</v>
      </c>
      <c r="E8" s="583">
        <f>SUM(E9:E18)</f>
        <v>0</v>
      </c>
    </row>
    <row r="9" spans="1:5" s="539" customFormat="1" ht="12" customHeight="1">
      <c r="A9" s="588" t="s">
        <v>71</v>
      </c>
      <c r="B9" s="366" t="s">
        <v>346</v>
      </c>
      <c r="C9" s="106"/>
      <c r="D9" s="106"/>
      <c r="E9" s="572"/>
    </row>
    <row r="10" spans="1:5" s="539" customFormat="1" ht="12" customHeight="1">
      <c r="A10" s="589" t="s">
        <v>72</v>
      </c>
      <c r="B10" s="364" t="s">
        <v>347</v>
      </c>
      <c r="C10" s="441"/>
      <c r="D10" s="441"/>
      <c r="E10" s="115"/>
    </row>
    <row r="11" spans="1:5" s="539" customFormat="1" ht="12" customHeight="1">
      <c r="A11" s="589" t="s">
        <v>73</v>
      </c>
      <c r="B11" s="364" t="s">
        <v>348</v>
      </c>
      <c r="C11" s="441"/>
      <c r="D11" s="441"/>
      <c r="E11" s="115"/>
    </row>
    <row r="12" spans="1:5" s="539" customFormat="1" ht="12" customHeight="1">
      <c r="A12" s="589" t="s">
        <v>74</v>
      </c>
      <c r="B12" s="364" t="s">
        <v>349</v>
      </c>
      <c r="C12" s="441"/>
      <c r="D12" s="441"/>
      <c r="E12" s="115"/>
    </row>
    <row r="13" spans="1:5" s="539" customFormat="1" ht="12" customHeight="1">
      <c r="A13" s="589" t="s">
        <v>107</v>
      </c>
      <c r="B13" s="364" t="s">
        <v>350</v>
      </c>
      <c r="C13" s="441"/>
      <c r="D13" s="441"/>
      <c r="E13" s="115"/>
    </row>
    <row r="14" spans="1:5" s="539" customFormat="1" ht="12" customHeight="1">
      <c r="A14" s="589" t="s">
        <v>75</v>
      </c>
      <c r="B14" s="364" t="s">
        <v>568</v>
      </c>
      <c r="C14" s="441"/>
      <c r="D14" s="441"/>
      <c r="E14" s="115"/>
    </row>
    <row r="15" spans="1:5" s="566" customFormat="1" ht="12" customHeight="1">
      <c r="A15" s="589" t="s">
        <v>76</v>
      </c>
      <c r="B15" s="363" t="s">
        <v>569</v>
      </c>
      <c r="C15" s="441"/>
      <c r="D15" s="441"/>
      <c r="E15" s="115"/>
    </row>
    <row r="16" spans="1:5" s="566" customFormat="1" ht="12" customHeight="1">
      <c r="A16" s="589" t="s">
        <v>84</v>
      </c>
      <c r="B16" s="364" t="s">
        <v>353</v>
      </c>
      <c r="C16" s="107"/>
      <c r="D16" s="107"/>
      <c r="E16" s="571"/>
    </row>
    <row r="17" spans="1:5" s="539" customFormat="1" ht="12" customHeight="1">
      <c r="A17" s="589" t="s">
        <v>85</v>
      </c>
      <c r="B17" s="364" t="s">
        <v>355</v>
      </c>
      <c r="C17" s="441"/>
      <c r="D17" s="441"/>
      <c r="E17" s="115"/>
    </row>
    <row r="18" spans="1:5" s="566" customFormat="1" ht="12" customHeight="1" thickBot="1">
      <c r="A18" s="589" t="s">
        <v>86</v>
      </c>
      <c r="B18" s="363" t="s">
        <v>357</v>
      </c>
      <c r="C18" s="443"/>
      <c r="D18" s="443"/>
      <c r="E18" s="567"/>
    </row>
    <row r="19" spans="1:5" s="566" customFormat="1" ht="12" customHeight="1" thickBot="1">
      <c r="A19" s="513" t="s">
        <v>7</v>
      </c>
      <c r="B19" s="577" t="s">
        <v>570</v>
      </c>
      <c r="C19" s="444">
        <f>SUM(C20:C22)</f>
        <v>0</v>
      </c>
      <c r="D19" s="444">
        <f>SUM(D20:D22)</f>
        <v>0</v>
      </c>
      <c r="E19" s="583">
        <f>SUM(E20:E22)</f>
        <v>0</v>
      </c>
    </row>
    <row r="20" spans="1:5" s="566" customFormat="1" ht="12" customHeight="1">
      <c r="A20" s="589" t="s">
        <v>77</v>
      </c>
      <c r="B20" s="365" t="s">
        <v>319</v>
      </c>
      <c r="C20" s="441"/>
      <c r="D20" s="441"/>
      <c r="E20" s="115"/>
    </row>
    <row r="21" spans="1:5" s="566" customFormat="1" ht="12" customHeight="1">
      <c r="A21" s="589" t="s">
        <v>78</v>
      </c>
      <c r="B21" s="364" t="s">
        <v>571</v>
      </c>
      <c r="C21" s="441"/>
      <c r="D21" s="441"/>
      <c r="E21" s="115"/>
    </row>
    <row r="22" spans="1:5" s="566" customFormat="1" ht="12" customHeight="1">
      <c r="A22" s="589" t="s">
        <v>79</v>
      </c>
      <c r="B22" s="364" t="s">
        <v>572</v>
      </c>
      <c r="C22" s="441"/>
      <c r="D22" s="441"/>
      <c r="E22" s="115"/>
    </row>
    <row r="23" spans="1:5" s="566" customFormat="1" ht="12" customHeight="1" thickBot="1">
      <c r="A23" s="589" t="s">
        <v>80</v>
      </c>
      <c r="B23" s="364" t="s">
        <v>687</v>
      </c>
      <c r="C23" s="441"/>
      <c r="D23" s="441"/>
      <c r="E23" s="115"/>
    </row>
    <row r="24" spans="1:5" s="566" customFormat="1" ht="12" customHeight="1" thickBot="1">
      <c r="A24" s="576" t="s">
        <v>8</v>
      </c>
      <c r="B24" s="384" t="s">
        <v>124</v>
      </c>
      <c r="C24" s="41"/>
      <c r="D24" s="41"/>
      <c r="E24" s="582"/>
    </row>
    <row r="25" spans="1:5" s="566" customFormat="1" ht="12" customHeight="1" thickBot="1">
      <c r="A25" s="576" t="s">
        <v>9</v>
      </c>
      <c r="B25" s="384" t="s">
        <v>573</v>
      </c>
      <c r="C25" s="444">
        <f>SUM(C26:C27)</f>
        <v>0</v>
      </c>
      <c r="D25" s="444">
        <f>SUM(D26:D27)</f>
        <v>0</v>
      </c>
      <c r="E25" s="583">
        <f>SUM(E26:E27)</f>
        <v>0</v>
      </c>
    </row>
    <row r="26" spans="1:5" s="566" customFormat="1" ht="12" customHeight="1">
      <c r="A26" s="590" t="s">
        <v>333</v>
      </c>
      <c r="B26" s="591" t="s">
        <v>571</v>
      </c>
      <c r="C26" s="103"/>
      <c r="D26" s="103"/>
      <c r="E26" s="570"/>
    </row>
    <row r="27" spans="1:5" s="566" customFormat="1" ht="12" customHeight="1">
      <c r="A27" s="590" t="s">
        <v>339</v>
      </c>
      <c r="B27" s="592" t="s">
        <v>574</v>
      </c>
      <c r="C27" s="445"/>
      <c r="D27" s="445"/>
      <c r="E27" s="569"/>
    </row>
    <row r="28" spans="1:5" s="566" customFormat="1" ht="12" customHeight="1" thickBot="1">
      <c r="A28" s="589" t="s">
        <v>341</v>
      </c>
      <c r="B28" s="593" t="s">
        <v>688</v>
      </c>
      <c r="C28" s="573"/>
      <c r="D28" s="573"/>
      <c r="E28" s="568"/>
    </row>
    <row r="29" spans="1:5" s="566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583">
        <f>SUM(E30:E32)</f>
        <v>0</v>
      </c>
    </row>
    <row r="30" spans="1:5" s="566" customFormat="1" ht="12" customHeight="1">
      <c r="A30" s="590" t="s">
        <v>64</v>
      </c>
      <c r="B30" s="591" t="s">
        <v>359</v>
      </c>
      <c r="C30" s="103"/>
      <c r="D30" s="103"/>
      <c r="E30" s="570"/>
    </row>
    <row r="31" spans="1:5" s="566" customFormat="1" ht="12" customHeight="1">
      <c r="A31" s="590" t="s">
        <v>65</v>
      </c>
      <c r="B31" s="592" t="s">
        <v>360</v>
      </c>
      <c r="C31" s="445"/>
      <c r="D31" s="445"/>
      <c r="E31" s="569"/>
    </row>
    <row r="32" spans="1:5" s="566" customFormat="1" ht="12" customHeight="1" thickBot="1">
      <c r="A32" s="589" t="s">
        <v>66</v>
      </c>
      <c r="B32" s="575" t="s">
        <v>362</v>
      </c>
      <c r="C32" s="573"/>
      <c r="D32" s="573"/>
      <c r="E32" s="568"/>
    </row>
    <row r="33" spans="1:5" s="566" customFormat="1" ht="12" customHeight="1" thickBot="1">
      <c r="A33" s="576" t="s">
        <v>11</v>
      </c>
      <c r="B33" s="384" t="s">
        <v>487</v>
      </c>
      <c r="C33" s="41"/>
      <c r="D33" s="41"/>
      <c r="E33" s="582"/>
    </row>
    <row r="34" spans="1:5" s="539" customFormat="1" ht="12" customHeight="1" thickBot="1">
      <c r="A34" s="576" t="s">
        <v>12</v>
      </c>
      <c r="B34" s="384" t="s">
        <v>576</v>
      </c>
      <c r="C34" s="41"/>
      <c r="D34" s="41"/>
      <c r="E34" s="582"/>
    </row>
    <row r="35" spans="1:5" s="539" customFormat="1" ht="12" customHeight="1" thickBot="1">
      <c r="A35" s="513" t="s">
        <v>13</v>
      </c>
      <c r="B35" s="384" t="s">
        <v>689</v>
      </c>
      <c r="C35" s="444">
        <f>+C8+C19+C24+C25+C29+C33+C34</f>
        <v>0</v>
      </c>
      <c r="D35" s="444">
        <f>+D8+D19+D24+D25+D29+D33+D34</f>
        <v>0</v>
      </c>
      <c r="E35" s="583">
        <f>+E8+E19+E24+E25+E29+E33+E34</f>
        <v>0</v>
      </c>
    </row>
    <row r="36" spans="1:5" s="539" customFormat="1" ht="12" customHeight="1" thickBot="1">
      <c r="A36" s="578" t="s">
        <v>14</v>
      </c>
      <c r="B36" s="384" t="s">
        <v>578</v>
      </c>
      <c r="C36" s="444">
        <f>+C37+C38+C39</f>
        <v>0</v>
      </c>
      <c r="D36" s="444">
        <f>+D37+D38+D39</f>
        <v>0</v>
      </c>
      <c r="E36" s="583">
        <f>+E37+E38+E39</f>
        <v>0</v>
      </c>
    </row>
    <row r="37" spans="1:5" s="539" customFormat="1" ht="12" customHeight="1">
      <c r="A37" s="590" t="s">
        <v>579</v>
      </c>
      <c r="B37" s="591" t="s">
        <v>167</v>
      </c>
      <c r="C37" s="103"/>
      <c r="D37" s="103"/>
      <c r="E37" s="570"/>
    </row>
    <row r="38" spans="1:5" s="566" customFormat="1" ht="12" customHeight="1">
      <c r="A38" s="590" t="s">
        <v>580</v>
      </c>
      <c r="B38" s="592" t="s">
        <v>2</v>
      </c>
      <c r="C38" s="445"/>
      <c r="D38" s="445"/>
      <c r="E38" s="569"/>
    </row>
    <row r="39" spans="1:5" s="566" customFormat="1" ht="12" customHeight="1" thickBot="1">
      <c r="A39" s="589" t="s">
        <v>581</v>
      </c>
      <c r="B39" s="575" t="s">
        <v>582</v>
      </c>
      <c r="C39" s="573"/>
      <c r="D39" s="573"/>
      <c r="E39" s="568"/>
    </row>
    <row r="40" spans="1:5" s="566" customFormat="1" ht="15" customHeight="1" thickBot="1">
      <c r="A40" s="578" t="s">
        <v>15</v>
      </c>
      <c r="B40" s="579" t="s">
        <v>583</v>
      </c>
      <c r="C40" s="109">
        <f>+C35+C36</f>
        <v>0</v>
      </c>
      <c r="D40" s="109">
        <f>+D35+D36</f>
        <v>0</v>
      </c>
      <c r="E40" s="584">
        <f>+E35+E36</f>
        <v>0</v>
      </c>
    </row>
    <row r="41" spans="1:5" s="566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5" customFormat="1" ht="16.5" customHeight="1" thickBot="1">
      <c r="A43" s="797" t="s">
        <v>44</v>
      </c>
      <c r="B43" s="798"/>
      <c r="C43" s="798"/>
      <c r="D43" s="798"/>
      <c r="E43" s="799"/>
    </row>
    <row r="44" spans="1:5" s="339" customFormat="1" ht="12" customHeight="1" thickBot="1">
      <c r="A44" s="576" t="s">
        <v>6</v>
      </c>
      <c r="B44" s="384" t="s">
        <v>584</v>
      </c>
      <c r="C44" s="444">
        <f>SUM(C45:C49)</f>
        <v>0</v>
      </c>
      <c r="D44" s="444">
        <f>SUM(D45:D49)</f>
        <v>0</v>
      </c>
      <c r="E44" s="476">
        <f>SUM(E45:E49)</f>
        <v>0</v>
      </c>
    </row>
    <row r="45" spans="1:5" ht="12" customHeight="1">
      <c r="A45" s="589" t="s">
        <v>71</v>
      </c>
      <c r="B45" s="365" t="s">
        <v>36</v>
      </c>
      <c r="C45" s="103"/>
      <c r="D45" s="103"/>
      <c r="E45" s="471"/>
    </row>
    <row r="46" spans="1:5" ht="12" customHeight="1">
      <c r="A46" s="589" t="s">
        <v>72</v>
      </c>
      <c r="B46" s="364" t="s">
        <v>133</v>
      </c>
      <c r="C46" s="438"/>
      <c r="D46" s="438"/>
      <c r="E46" s="472"/>
    </row>
    <row r="47" spans="1:5" ht="12" customHeight="1">
      <c r="A47" s="589" t="s">
        <v>73</v>
      </c>
      <c r="B47" s="364" t="s">
        <v>100</v>
      </c>
      <c r="C47" s="438"/>
      <c r="D47" s="438"/>
      <c r="E47" s="472"/>
    </row>
    <row r="48" spans="1:5" ht="12" customHeight="1">
      <c r="A48" s="589" t="s">
        <v>74</v>
      </c>
      <c r="B48" s="364" t="s">
        <v>134</v>
      </c>
      <c r="C48" s="438"/>
      <c r="D48" s="438"/>
      <c r="E48" s="472"/>
    </row>
    <row r="49" spans="1:5" ht="12" customHeight="1" thickBot="1">
      <c r="A49" s="589" t="s">
        <v>107</v>
      </c>
      <c r="B49" s="364" t="s">
        <v>135</v>
      </c>
      <c r="C49" s="438"/>
      <c r="D49" s="438"/>
      <c r="E49" s="472"/>
    </row>
    <row r="50" spans="1:5" ht="12" customHeight="1" thickBot="1">
      <c r="A50" s="576" t="s">
        <v>7</v>
      </c>
      <c r="B50" s="384" t="s">
        <v>585</v>
      </c>
      <c r="C50" s="444">
        <f>SUM(C51:C53)</f>
        <v>0</v>
      </c>
      <c r="D50" s="444">
        <f>SUM(D51:D53)</f>
        <v>0</v>
      </c>
      <c r="E50" s="476">
        <f>SUM(E51:E53)</f>
        <v>0</v>
      </c>
    </row>
    <row r="51" spans="1:5" s="339" customFormat="1" ht="12" customHeight="1">
      <c r="A51" s="589" t="s">
        <v>77</v>
      </c>
      <c r="B51" s="365" t="s">
        <v>157</v>
      </c>
      <c r="C51" s="103"/>
      <c r="D51" s="103"/>
      <c r="E51" s="471"/>
    </row>
    <row r="52" spans="1:5" ht="12" customHeight="1">
      <c r="A52" s="589" t="s">
        <v>78</v>
      </c>
      <c r="B52" s="364" t="s">
        <v>137</v>
      </c>
      <c r="C52" s="438"/>
      <c r="D52" s="438"/>
      <c r="E52" s="472"/>
    </row>
    <row r="53" spans="1:5" ht="12" customHeight="1">
      <c r="A53" s="589" t="s">
        <v>79</v>
      </c>
      <c r="B53" s="364" t="s">
        <v>45</v>
      </c>
      <c r="C53" s="438"/>
      <c r="D53" s="438"/>
      <c r="E53" s="472"/>
    </row>
    <row r="54" spans="1:5" ht="12" customHeight="1" thickBot="1">
      <c r="A54" s="589" t="s">
        <v>80</v>
      </c>
      <c r="B54" s="364" t="s">
        <v>690</v>
      </c>
      <c r="C54" s="438"/>
      <c r="D54" s="438"/>
      <c r="E54" s="472"/>
    </row>
    <row r="55" spans="1:5" ht="12" customHeight="1" thickBot="1">
      <c r="A55" s="576" t="s">
        <v>8</v>
      </c>
      <c r="B55" s="580" t="s">
        <v>586</v>
      </c>
      <c r="C55" s="444">
        <f>+C44+C50</f>
        <v>0</v>
      </c>
      <c r="D55" s="444">
        <f>+D44+D50</f>
        <v>0</v>
      </c>
      <c r="E55" s="476">
        <f>+E44+E50</f>
        <v>0</v>
      </c>
    </row>
    <row r="56" spans="3:5" ht="13.5" thickBot="1">
      <c r="C56" s="585"/>
      <c r="D56" s="585"/>
      <c r="E56" s="585"/>
    </row>
    <row r="57" spans="1:5" ht="15" customHeight="1" thickBot="1">
      <c r="A57" s="525" t="s">
        <v>682</v>
      </c>
      <c r="B57" s="526"/>
      <c r="C57" s="113"/>
      <c r="D57" s="113"/>
      <c r="E57" s="574"/>
    </row>
    <row r="58" spans="1:5" ht="14.25" customHeight="1" thickBot="1">
      <c r="A58" s="525" t="s">
        <v>149</v>
      </c>
      <c r="B58" s="526"/>
      <c r="C58" s="113"/>
      <c r="D58" s="113"/>
      <c r="E58" s="574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tabSelected="1" view="pageBreakPreview" zoomScaleNormal="130" zoomScaleSheetLayoutView="100" zoomScalePageLayoutView="0" workbookViewId="0" topLeftCell="A1">
      <selection activeCell="K122" sqref="K122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6" width="9.375" style="416" hidden="1" customWidth="1"/>
    <col min="7" max="16384" width="9.375" style="416" customWidth="1"/>
  </cols>
  <sheetData>
    <row r="1" spans="1:5" ht="15.75" customHeight="1">
      <c r="A1" s="756" t="s">
        <v>3</v>
      </c>
      <c r="B1" s="756"/>
      <c r="C1" s="756"/>
      <c r="D1" s="756"/>
      <c r="E1" s="756"/>
    </row>
    <row r="2" spans="1:5" ht="15.75" customHeight="1" thickBot="1">
      <c r="A2" s="45" t="s">
        <v>111</v>
      </c>
      <c r="B2" s="45"/>
      <c r="C2" s="403"/>
      <c r="D2" s="403"/>
      <c r="E2" s="403" t="s">
        <v>879</v>
      </c>
    </row>
    <row r="3" spans="1:6" ht="15.75" customHeight="1">
      <c r="A3" s="762" t="s">
        <v>59</v>
      </c>
      <c r="B3" s="759" t="s">
        <v>5</v>
      </c>
      <c r="C3" s="757" t="str">
        <f>+CONCATENATE(LEFT(ÖSSZEFÜGGÉSEK!A4,4),". évi")</f>
        <v>2017. évi</v>
      </c>
      <c r="D3" s="757"/>
      <c r="E3" s="758"/>
      <c r="F3" s="674"/>
    </row>
    <row r="4" spans="1:6" ht="37.5" customHeight="1" thickBot="1">
      <c r="A4" s="763"/>
      <c r="B4" s="760"/>
      <c r="C4" s="47" t="s">
        <v>180</v>
      </c>
      <c r="D4" s="47" t="s">
        <v>185</v>
      </c>
      <c r="E4" s="48" t="s">
        <v>186</v>
      </c>
      <c r="F4" s="674"/>
    </row>
    <row r="5" spans="1:6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29" t="s">
        <v>431</v>
      </c>
      <c r="F5" s="675"/>
    </row>
    <row r="6" spans="1:6" s="418" customFormat="1" ht="12" customHeight="1" thickBot="1">
      <c r="A6" s="376" t="s">
        <v>6</v>
      </c>
      <c r="B6" s="377" t="s">
        <v>311</v>
      </c>
      <c r="C6" s="408">
        <f>SUM(C7:C12)</f>
        <v>132835967</v>
      </c>
      <c r="D6" s="408">
        <f>SUM(D7:D12)</f>
        <v>139978789</v>
      </c>
      <c r="E6" s="408">
        <f>SUM(E7:E12)</f>
        <v>139978789</v>
      </c>
      <c r="F6" s="676" t="s">
        <v>740</v>
      </c>
    </row>
    <row r="7" spans="1:6" s="418" customFormat="1" ht="12" customHeight="1">
      <c r="A7" s="371" t="s">
        <v>71</v>
      </c>
      <c r="B7" s="419" t="s">
        <v>312</v>
      </c>
      <c r="C7" s="98">
        <v>55233976</v>
      </c>
      <c r="D7" s="731">
        <v>56233976</v>
      </c>
      <c r="E7" s="731">
        <v>56233976</v>
      </c>
      <c r="F7" s="676" t="s">
        <v>741</v>
      </c>
    </row>
    <row r="8" spans="1:6" s="418" customFormat="1" ht="12" customHeight="1">
      <c r="A8" s="370" t="s">
        <v>72</v>
      </c>
      <c r="B8" s="420" t="s">
        <v>313</v>
      </c>
      <c r="C8" s="409">
        <v>35878653</v>
      </c>
      <c r="D8" s="732">
        <v>37727086</v>
      </c>
      <c r="E8" s="732">
        <v>37727086</v>
      </c>
      <c r="F8" s="676" t="s">
        <v>742</v>
      </c>
    </row>
    <row r="9" spans="1:6" s="418" customFormat="1" ht="12" customHeight="1">
      <c r="A9" s="370" t="s">
        <v>73</v>
      </c>
      <c r="B9" s="420" t="s">
        <v>314</v>
      </c>
      <c r="C9" s="409">
        <v>39121858</v>
      </c>
      <c r="D9" s="732">
        <v>37999568</v>
      </c>
      <c r="E9" s="732">
        <v>37999568</v>
      </c>
      <c r="F9" s="676" t="s">
        <v>743</v>
      </c>
    </row>
    <row r="10" spans="1:6" s="418" customFormat="1" ht="12" customHeight="1">
      <c r="A10" s="370" t="s">
        <v>74</v>
      </c>
      <c r="B10" s="420" t="s">
        <v>315</v>
      </c>
      <c r="C10" s="409">
        <v>2601480</v>
      </c>
      <c r="D10" s="732">
        <v>3307020</v>
      </c>
      <c r="E10" s="732">
        <v>3307020</v>
      </c>
      <c r="F10" s="676" t="s">
        <v>744</v>
      </c>
    </row>
    <row r="11" spans="1:6" s="418" customFormat="1" ht="12" customHeight="1">
      <c r="A11" s="370" t="s">
        <v>107</v>
      </c>
      <c r="B11" s="420" t="s">
        <v>875</v>
      </c>
      <c r="C11" s="734"/>
      <c r="D11" s="732">
        <v>3268793</v>
      </c>
      <c r="E11" s="732">
        <v>3268793</v>
      </c>
      <c r="F11" s="676" t="s">
        <v>745</v>
      </c>
    </row>
    <row r="12" spans="1:6" s="418" customFormat="1" ht="12" customHeight="1" thickBot="1">
      <c r="A12" s="372" t="s">
        <v>75</v>
      </c>
      <c r="B12" s="421" t="s">
        <v>876</v>
      </c>
      <c r="C12" s="735"/>
      <c r="D12" s="733">
        <v>1442346</v>
      </c>
      <c r="E12" s="733">
        <v>1442346</v>
      </c>
      <c r="F12" s="676" t="s">
        <v>746</v>
      </c>
    </row>
    <row r="13" spans="1:6" s="418" customFormat="1" ht="21.75" customHeight="1" thickBot="1">
      <c r="A13" s="376" t="s">
        <v>7</v>
      </c>
      <c r="B13" s="398" t="s">
        <v>318</v>
      </c>
      <c r="C13" s="408">
        <f>SUM(C14:C19)</f>
        <v>15213374</v>
      </c>
      <c r="D13" s="408">
        <f>SUM(D14:D19)</f>
        <v>29877537</v>
      </c>
      <c r="E13" s="408">
        <f>SUM(E14:E19)</f>
        <v>29762620</v>
      </c>
      <c r="F13" s="676" t="s">
        <v>747</v>
      </c>
    </row>
    <row r="14" spans="1:6" s="418" customFormat="1" ht="12" customHeight="1">
      <c r="A14" s="371" t="s">
        <v>77</v>
      </c>
      <c r="B14" s="419" t="s">
        <v>319</v>
      </c>
      <c r="C14" s="410">
        <v>0</v>
      </c>
      <c r="D14" s="410">
        <v>0</v>
      </c>
      <c r="E14" s="393">
        <v>0</v>
      </c>
      <c r="F14" s="676" t="s">
        <v>748</v>
      </c>
    </row>
    <row r="15" spans="1:6" s="418" customFormat="1" ht="12" customHeight="1">
      <c r="A15" s="370" t="s">
        <v>78</v>
      </c>
      <c r="B15" s="420" t="s">
        <v>320</v>
      </c>
      <c r="C15" s="409">
        <v>0</v>
      </c>
      <c r="D15" s="409">
        <v>0</v>
      </c>
      <c r="E15" s="392">
        <v>0</v>
      </c>
      <c r="F15" s="676" t="s">
        <v>749</v>
      </c>
    </row>
    <row r="16" spans="1:6" s="418" customFormat="1" ht="12" customHeight="1">
      <c r="A16" s="370" t="s">
        <v>79</v>
      </c>
      <c r="B16" s="420" t="s">
        <v>321</v>
      </c>
      <c r="C16" s="409">
        <v>0</v>
      </c>
      <c r="D16" s="409">
        <v>0</v>
      </c>
      <c r="E16" s="392">
        <v>0</v>
      </c>
      <c r="F16" s="676" t="s">
        <v>750</v>
      </c>
    </row>
    <row r="17" spans="1:6" s="418" customFormat="1" ht="12" customHeight="1">
      <c r="A17" s="370" t="s">
        <v>80</v>
      </c>
      <c r="B17" s="420" t="s">
        <v>322</v>
      </c>
      <c r="C17" s="409">
        <v>0</v>
      </c>
      <c r="D17" s="409">
        <v>0</v>
      </c>
      <c r="E17" s="392">
        <v>0</v>
      </c>
      <c r="F17" s="676" t="s">
        <v>751</v>
      </c>
    </row>
    <row r="18" spans="1:6" s="418" customFormat="1" ht="12" customHeight="1">
      <c r="A18" s="370" t="s">
        <v>81</v>
      </c>
      <c r="B18" s="420" t="s">
        <v>323</v>
      </c>
      <c r="C18" s="409">
        <v>15213374</v>
      </c>
      <c r="D18" s="409">
        <v>29877537</v>
      </c>
      <c r="E18" s="392">
        <v>29762620</v>
      </c>
      <c r="F18" s="676" t="s">
        <v>752</v>
      </c>
    </row>
    <row r="19" spans="1:6" s="418" customFormat="1" ht="12" customHeight="1" thickBot="1">
      <c r="A19" s="372" t="s">
        <v>88</v>
      </c>
      <c r="B19" s="421" t="s">
        <v>324</v>
      </c>
      <c r="C19" s="411">
        <v>0</v>
      </c>
      <c r="D19" s="411">
        <v>0</v>
      </c>
      <c r="E19" s="394">
        <v>0</v>
      </c>
      <c r="F19" s="676" t="s">
        <v>753</v>
      </c>
    </row>
    <row r="20" spans="1:6" s="418" customFormat="1" ht="21.75" customHeight="1" thickBot="1">
      <c r="A20" s="376" t="s">
        <v>8</v>
      </c>
      <c r="B20" s="377" t="s">
        <v>325</v>
      </c>
      <c r="C20" s="408">
        <f>SUM(C21:C26)</f>
        <v>9800000</v>
      </c>
      <c r="D20" s="408">
        <f>SUM(D21:D26)</f>
        <v>38171706</v>
      </c>
      <c r="E20" s="408">
        <f>SUM(E21:E26)</f>
        <v>38171706</v>
      </c>
      <c r="F20" s="676" t="s">
        <v>754</v>
      </c>
    </row>
    <row r="21" spans="1:6" s="418" customFormat="1" ht="12" customHeight="1">
      <c r="A21" s="371" t="s">
        <v>60</v>
      </c>
      <c r="B21" s="419" t="s">
        <v>326</v>
      </c>
      <c r="C21" s="410"/>
      <c r="D21" s="410"/>
      <c r="E21" s="393"/>
      <c r="F21" s="676" t="s">
        <v>755</v>
      </c>
    </row>
    <row r="22" spans="1:6" s="418" customFormat="1" ht="12" customHeight="1">
      <c r="A22" s="370" t="s">
        <v>61</v>
      </c>
      <c r="B22" s="420" t="s">
        <v>327</v>
      </c>
      <c r="C22" s="409">
        <v>0</v>
      </c>
      <c r="D22" s="409">
        <v>0</v>
      </c>
      <c r="E22" s="392">
        <v>0</v>
      </c>
      <c r="F22" s="676" t="s">
        <v>756</v>
      </c>
    </row>
    <row r="23" spans="1:6" s="418" customFormat="1" ht="12" customHeight="1">
      <c r="A23" s="370" t="s">
        <v>62</v>
      </c>
      <c r="B23" s="420" t="s">
        <v>328</v>
      </c>
      <c r="C23" s="409">
        <v>0</v>
      </c>
      <c r="D23" s="409">
        <v>0</v>
      </c>
      <c r="E23" s="392">
        <v>0</v>
      </c>
      <c r="F23" s="676" t="s">
        <v>757</v>
      </c>
    </row>
    <row r="24" spans="1:6" s="418" customFormat="1" ht="12" customHeight="1">
      <c r="A24" s="370" t="s">
        <v>63</v>
      </c>
      <c r="B24" s="420" t="s">
        <v>329</v>
      </c>
      <c r="C24" s="409">
        <v>0</v>
      </c>
      <c r="D24" s="409">
        <v>0</v>
      </c>
      <c r="E24" s="392">
        <v>0</v>
      </c>
      <c r="F24" s="676" t="s">
        <v>758</v>
      </c>
    </row>
    <row r="25" spans="1:6" s="418" customFormat="1" ht="12" customHeight="1">
      <c r="A25" s="370" t="s">
        <v>121</v>
      </c>
      <c r="B25" s="420" t="s">
        <v>330</v>
      </c>
      <c r="C25" s="409">
        <v>9800000</v>
      </c>
      <c r="D25" s="409">
        <v>38171706</v>
      </c>
      <c r="E25" s="392">
        <v>38171706</v>
      </c>
      <c r="F25" s="676" t="s">
        <v>759</v>
      </c>
    </row>
    <row r="26" spans="1:6" s="418" customFormat="1" ht="12" customHeight="1" thickBot="1">
      <c r="A26" s="372" t="s">
        <v>122</v>
      </c>
      <c r="B26" s="400" t="s">
        <v>331</v>
      </c>
      <c r="C26" s="411">
        <v>0</v>
      </c>
      <c r="D26" s="411">
        <v>0</v>
      </c>
      <c r="E26" s="394">
        <v>0</v>
      </c>
      <c r="F26" s="676" t="s">
        <v>760</v>
      </c>
    </row>
    <row r="27" spans="1:6" s="418" customFormat="1" ht="12" customHeight="1" thickBot="1">
      <c r="A27" s="376" t="s">
        <v>123</v>
      </c>
      <c r="B27" s="377" t="s">
        <v>332</v>
      </c>
      <c r="C27" s="414">
        <f>C28+C31+C32+C33</f>
        <v>60950000</v>
      </c>
      <c r="D27" s="414">
        <f>D28+D31+D32+D33</f>
        <v>83093414</v>
      </c>
      <c r="E27" s="414">
        <f>E28+E31+E32+E33</f>
        <v>79539692</v>
      </c>
      <c r="F27" s="676" t="s">
        <v>761</v>
      </c>
    </row>
    <row r="28" spans="1:6" s="418" customFormat="1" ht="12" customHeight="1">
      <c r="A28" s="371" t="s">
        <v>333</v>
      </c>
      <c r="B28" s="419" t="s">
        <v>334</v>
      </c>
      <c r="C28" s="727">
        <f>C29+C30</f>
        <v>50000000</v>
      </c>
      <c r="D28" s="428">
        <f>D29+D30</f>
        <v>71866088</v>
      </c>
      <c r="E28" s="428">
        <f>E29+E30</f>
        <v>69106149</v>
      </c>
      <c r="F28" s="676" t="s">
        <v>762</v>
      </c>
    </row>
    <row r="29" spans="1:6" s="418" customFormat="1" ht="12" customHeight="1">
      <c r="A29" s="370" t="s">
        <v>335</v>
      </c>
      <c r="B29" s="420" t="s">
        <v>336</v>
      </c>
      <c r="C29" s="530">
        <v>10000000</v>
      </c>
      <c r="D29" s="409">
        <v>11702235</v>
      </c>
      <c r="E29" s="392">
        <v>10700263</v>
      </c>
      <c r="F29" s="676" t="s">
        <v>763</v>
      </c>
    </row>
    <row r="30" spans="1:6" s="418" customFormat="1" ht="12" customHeight="1">
      <c r="A30" s="370" t="s">
        <v>337</v>
      </c>
      <c r="B30" s="420" t="s">
        <v>338</v>
      </c>
      <c r="C30" s="530">
        <v>40000000</v>
      </c>
      <c r="D30" s="409">
        <v>60163853</v>
      </c>
      <c r="E30" s="392">
        <v>58405886</v>
      </c>
      <c r="F30" s="676" t="s">
        <v>764</v>
      </c>
    </row>
    <row r="31" spans="1:6" s="418" customFormat="1" ht="12" customHeight="1">
      <c r="A31" s="370" t="s">
        <v>339</v>
      </c>
      <c r="B31" s="420" t="s">
        <v>340</v>
      </c>
      <c r="C31" s="530">
        <v>4000000</v>
      </c>
      <c r="D31" s="409">
        <v>4406655</v>
      </c>
      <c r="E31" s="392">
        <v>4361845</v>
      </c>
      <c r="F31" s="676" t="s">
        <v>765</v>
      </c>
    </row>
    <row r="32" spans="1:6" s="418" customFormat="1" ht="12" customHeight="1">
      <c r="A32" s="370" t="s">
        <v>341</v>
      </c>
      <c r="B32" s="420" t="s">
        <v>342</v>
      </c>
      <c r="C32" s="530">
        <v>4150000</v>
      </c>
      <c r="D32" s="409">
        <v>2797800</v>
      </c>
      <c r="E32" s="392">
        <v>2797800</v>
      </c>
      <c r="F32" s="676" t="s">
        <v>766</v>
      </c>
    </row>
    <row r="33" spans="1:6" s="418" customFormat="1" ht="12" customHeight="1" thickBot="1">
      <c r="A33" s="372" t="s">
        <v>343</v>
      </c>
      <c r="B33" s="400" t="s">
        <v>344</v>
      </c>
      <c r="C33" s="532">
        <v>2800000</v>
      </c>
      <c r="D33" s="411">
        <v>4022871</v>
      </c>
      <c r="E33" s="394">
        <v>3273898</v>
      </c>
      <c r="F33" s="676" t="s">
        <v>767</v>
      </c>
    </row>
    <row r="34" spans="1:6" s="418" customFormat="1" ht="12" customHeight="1" thickBot="1">
      <c r="A34" s="376" t="s">
        <v>10</v>
      </c>
      <c r="B34" s="377" t="s">
        <v>345</v>
      </c>
      <c r="C34" s="408">
        <f>SUM(C35:C44)</f>
        <v>33880863</v>
      </c>
      <c r="D34" s="408">
        <f>SUM(D35:D44)</f>
        <v>39767391</v>
      </c>
      <c r="E34" s="408">
        <f>SUM(E35:E44)</f>
        <v>36854431</v>
      </c>
      <c r="F34" s="676" t="s">
        <v>768</v>
      </c>
    </row>
    <row r="35" spans="1:6" s="418" customFormat="1" ht="12" customHeight="1">
      <c r="A35" s="371" t="s">
        <v>64</v>
      </c>
      <c r="B35" s="419" t="s">
        <v>346</v>
      </c>
      <c r="C35" s="410">
        <v>0</v>
      </c>
      <c r="D35" s="410">
        <v>0</v>
      </c>
      <c r="E35" s="393">
        <v>0</v>
      </c>
      <c r="F35" s="676" t="s">
        <v>769</v>
      </c>
    </row>
    <row r="36" spans="1:6" s="418" customFormat="1" ht="12" customHeight="1">
      <c r="A36" s="370" t="s">
        <v>65</v>
      </c>
      <c r="B36" s="420" t="s">
        <v>347</v>
      </c>
      <c r="C36" s="530">
        <v>11799735</v>
      </c>
      <c r="D36" s="409">
        <f>5229610+4364957</f>
        <v>9594567</v>
      </c>
      <c r="E36" s="392">
        <f>5024890+4312257</f>
        <v>9337147</v>
      </c>
      <c r="F36" s="676" t="s">
        <v>770</v>
      </c>
    </row>
    <row r="37" spans="1:6" s="418" customFormat="1" ht="12" customHeight="1">
      <c r="A37" s="370" t="s">
        <v>66</v>
      </c>
      <c r="B37" s="420" t="s">
        <v>348</v>
      </c>
      <c r="C37" s="530">
        <v>1500000</v>
      </c>
      <c r="D37" s="409">
        <v>4474665</v>
      </c>
      <c r="E37" s="392">
        <v>4081962</v>
      </c>
      <c r="F37" s="676" t="s">
        <v>771</v>
      </c>
    </row>
    <row r="38" spans="1:6" s="418" customFormat="1" ht="12" customHeight="1">
      <c r="A38" s="370" t="s">
        <v>125</v>
      </c>
      <c r="B38" s="420" t="s">
        <v>349</v>
      </c>
      <c r="C38" s="530">
        <v>1586056</v>
      </c>
      <c r="D38" s="409">
        <v>5044245</v>
      </c>
      <c r="E38" s="392">
        <v>4955313</v>
      </c>
      <c r="F38" s="676" t="s">
        <v>772</v>
      </c>
    </row>
    <row r="39" spans="1:6" s="418" customFormat="1" ht="12" customHeight="1">
      <c r="A39" s="370" t="s">
        <v>126</v>
      </c>
      <c r="B39" s="420" t="s">
        <v>350</v>
      </c>
      <c r="C39" s="530">
        <v>12095246</v>
      </c>
      <c r="D39" s="409">
        <f>1289427+8217961</f>
        <v>9507388</v>
      </c>
      <c r="E39" s="392">
        <f>1209385+7693853</f>
        <v>8903238</v>
      </c>
      <c r="F39" s="676" t="s">
        <v>773</v>
      </c>
    </row>
    <row r="40" spans="1:6" s="418" customFormat="1" ht="12" customHeight="1">
      <c r="A40" s="370" t="s">
        <v>127</v>
      </c>
      <c r="B40" s="420" t="s">
        <v>351</v>
      </c>
      <c r="C40" s="530">
        <f>1834110+3265716</f>
        <v>5099826</v>
      </c>
      <c r="D40" s="409">
        <f>2656381+2315669</f>
        <v>4972050</v>
      </c>
      <c r="E40" s="392">
        <f>2441466+1100430</f>
        <v>3541896</v>
      </c>
      <c r="F40" s="676" t="s">
        <v>774</v>
      </c>
    </row>
    <row r="41" spans="1:6" s="418" customFormat="1" ht="12" customHeight="1">
      <c r="A41" s="370" t="s">
        <v>128</v>
      </c>
      <c r="B41" s="420" t="s">
        <v>352</v>
      </c>
      <c r="C41" s="530"/>
      <c r="D41" s="409">
        <f>280715+390427</f>
        <v>671142</v>
      </c>
      <c r="E41" s="392">
        <f>280715+390427</f>
        <v>671142</v>
      </c>
      <c r="F41" s="676" t="s">
        <v>775</v>
      </c>
    </row>
    <row r="42" spans="1:6" s="418" customFormat="1" ht="12" customHeight="1">
      <c r="A42" s="370" t="s">
        <v>129</v>
      </c>
      <c r="B42" s="420" t="s">
        <v>353</v>
      </c>
      <c r="C42" s="530">
        <v>600000</v>
      </c>
      <c r="D42" s="409">
        <f>1015716+9119+13670</f>
        <v>1038505</v>
      </c>
      <c r="E42" s="392">
        <f>1015716+9119+13670</f>
        <v>1038505</v>
      </c>
      <c r="F42" s="676" t="s">
        <v>776</v>
      </c>
    </row>
    <row r="43" spans="1:6" s="418" customFormat="1" ht="12" customHeight="1">
      <c r="A43" s="370" t="s">
        <v>354</v>
      </c>
      <c r="B43" s="420" t="s">
        <v>355</v>
      </c>
      <c r="C43" s="728"/>
      <c r="D43" s="412"/>
      <c r="E43" s="395"/>
      <c r="F43" s="676" t="s">
        <v>777</v>
      </c>
    </row>
    <row r="44" spans="1:6" s="418" customFormat="1" ht="12" customHeight="1" thickBot="1">
      <c r="A44" s="372" t="s">
        <v>356</v>
      </c>
      <c r="B44" s="421" t="s">
        <v>357</v>
      </c>
      <c r="C44" s="729">
        <v>1200000</v>
      </c>
      <c r="D44" s="413">
        <f>3793048+613503+58278</f>
        <v>4464829</v>
      </c>
      <c r="E44" s="396">
        <f>3653447+613503+58278</f>
        <v>4325228</v>
      </c>
      <c r="F44" s="676" t="s">
        <v>778</v>
      </c>
    </row>
    <row r="45" spans="1:6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804331</v>
      </c>
      <c r="E45" s="408">
        <f>SUM(E46:E50)</f>
        <v>804331</v>
      </c>
      <c r="F45" s="676" t="s">
        <v>779</v>
      </c>
    </row>
    <row r="46" spans="1:6" s="418" customFormat="1" ht="12" customHeight="1">
      <c r="A46" s="371" t="s">
        <v>67</v>
      </c>
      <c r="B46" s="419" t="s">
        <v>359</v>
      </c>
      <c r="C46" s="430">
        <v>0</v>
      </c>
      <c r="D46" s="430">
        <v>0</v>
      </c>
      <c r="E46" s="397">
        <v>0</v>
      </c>
      <c r="F46" s="676" t="s">
        <v>780</v>
      </c>
    </row>
    <row r="47" spans="1:6" s="418" customFormat="1" ht="12" customHeight="1">
      <c r="A47" s="370" t="s">
        <v>68</v>
      </c>
      <c r="B47" s="420" t="s">
        <v>360</v>
      </c>
      <c r="C47" s="412">
        <v>0</v>
      </c>
      <c r="D47" s="412">
        <v>450000</v>
      </c>
      <c r="E47" s="395">
        <v>450000</v>
      </c>
      <c r="F47" s="676" t="s">
        <v>781</v>
      </c>
    </row>
    <row r="48" spans="1:6" s="418" customFormat="1" ht="12" customHeight="1">
      <c r="A48" s="370" t="s">
        <v>361</v>
      </c>
      <c r="B48" s="420" t="s">
        <v>362</v>
      </c>
      <c r="C48" s="412"/>
      <c r="D48" s="412">
        <v>354331</v>
      </c>
      <c r="E48" s="395">
        <v>354331</v>
      </c>
      <c r="F48" s="676" t="s">
        <v>782</v>
      </c>
    </row>
    <row r="49" spans="1:6" s="418" customFormat="1" ht="12" customHeight="1">
      <c r="A49" s="370" t="s">
        <v>363</v>
      </c>
      <c r="B49" s="420" t="s">
        <v>364</v>
      </c>
      <c r="C49" s="412">
        <v>0</v>
      </c>
      <c r="D49" s="412">
        <v>0</v>
      </c>
      <c r="E49" s="395">
        <v>0</v>
      </c>
      <c r="F49" s="676" t="s">
        <v>783</v>
      </c>
    </row>
    <row r="50" spans="1:6" s="418" customFormat="1" ht="12" customHeight="1" thickBot="1">
      <c r="A50" s="372" t="s">
        <v>365</v>
      </c>
      <c r="B50" s="421" t="s">
        <v>366</v>
      </c>
      <c r="C50" s="413">
        <v>0</v>
      </c>
      <c r="D50" s="413">
        <v>0</v>
      </c>
      <c r="E50" s="396">
        <v>0</v>
      </c>
      <c r="F50" s="676" t="s">
        <v>784</v>
      </c>
    </row>
    <row r="51" spans="1:6" s="418" customFormat="1" ht="17.25" customHeight="1" thickBot="1">
      <c r="A51" s="376" t="s">
        <v>130</v>
      </c>
      <c r="B51" s="377" t="s">
        <v>367</v>
      </c>
      <c r="C51" s="408">
        <f>SUM(C52:C55)</f>
        <v>0</v>
      </c>
      <c r="D51" s="408">
        <f>SUM(D52:D55)</f>
        <v>0</v>
      </c>
      <c r="E51" s="408">
        <f>SUM(E52:E55)</f>
        <v>0</v>
      </c>
      <c r="F51" s="676" t="s">
        <v>785</v>
      </c>
    </row>
    <row r="52" spans="1:6" s="418" customFormat="1" ht="12" customHeight="1">
      <c r="A52" s="371" t="s">
        <v>69</v>
      </c>
      <c r="B52" s="419" t="s">
        <v>368</v>
      </c>
      <c r="C52" s="410">
        <v>0</v>
      </c>
      <c r="D52" s="410">
        <v>0</v>
      </c>
      <c r="E52" s="393">
        <v>0</v>
      </c>
      <c r="F52" s="676" t="s">
        <v>786</v>
      </c>
    </row>
    <row r="53" spans="1:6" s="418" customFormat="1" ht="12" customHeight="1">
      <c r="A53" s="370" t="s">
        <v>70</v>
      </c>
      <c r="B53" s="420" t="s">
        <v>369</v>
      </c>
      <c r="C53" s="409">
        <v>0</v>
      </c>
      <c r="D53" s="409"/>
      <c r="E53" s="392"/>
      <c r="F53" s="676" t="s">
        <v>787</v>
      </c>
    </row>
    <row r="54" spans="1:6" s="418" customFormat="1" ht="12" customHeight="1">
      <c r="A54" s="370" t="s">
        <v>370</v>
      </c>
      <c r="B54" s="420" t="s">
        <v>371</v>
      </c>
      <c r="C54" s="409"/>
      <c r="D54" s="409"/>
      <c r="E54" s="392"/>
      <c r="F54" s="676" t="s">
        <v>788</v>
      </c>
    </row>
    <row r="55" spans="1:6" s="418" customFormat="1" ht="12" customHeight="1" thickBot="1">
      <c r="A55" s="372" t="s">
        <v>372</v>
      </c>
      <c r="B55" s="421" t="s">
        <v>373</v>
      </c>
      <c r="C55" s="411">
        <v>0</v>
      </c>
      <c r="D55" s="411">
        <v>0</v>
      </c>
      <c r="E55" s="394">
        <v>0</v>
      </c>
      <c r="F55" s="676" t="s">
        <v>789</v>
      </c>
    </row>
    <row r="56" spans="1:6" s="418" customFormat="1" ht="12" customHeight="1" thickBot="1">
      <c r="A56" s="376" t="s">
        <v>13</v>
      </c>
      <c r="B56" s="398" t="s">
        <v>374</v>
      </c>
      <c r="C56" s="408">
        <f>SUM(C57:C60)</f>
        <v>0</v>
      </c>
      <c r="D56" s="408">
        <f>SUM(D57:D60)</f>
        <v>0</v>
      </c>
      <c r="E56" s="408">
        <f>SUM(E57:E60)</f>
        <v>0</v>
      </c>
      <c r="F56" s="408">
        <f>SUM(F57:F59)</f>
        <v>0</v>
      </c>
    </row>
    <row r="57" spans="1:6" s="418" customFormat="1" ht="12" customHeight="1">
      <c r="A57" s="371" t="s">
        <v>131</v>
      </c>
      <c r="B57" s="419" t="s">
        <v>375</v>
      </c>
      <c r="C57" s="412">
        <v>0</v>
      </c>
      <c r="D57" s="412">
        <v>0</v>
      </c>
      <c r="E57" s="395">
        <v>0</v>
      </c>
      <c r="F57" s="676" t="s">
        <v>791</v>
      </c>
    </row>
    <row r="58" spans="1:6" s="418" customFormat="1" ht="21" customHeight="1">
      <c r="A58" s="370" t="s">
        <v>132</v>
      </c>
      <c r="B58" s="730" t="s">
        <v>376</v>
      </c>
      <c r="C58" s="412"/>
      <c r="D58" s="412">
        <v>0</v>
      </c>
      <c r="E58" s="395">
        <v>0</v>
      </c>
      <c r="F58" s="676" t="s">
        <v>792</v>
      </c>
    </row>
    <row r="59" spans="1:6" s="418" customFormat="1" ht="12" customHeight="1">
      <c r="A59" s="370" t="s">
        <v>159</v>
      </c>
      <c r="B59" s="420" t="s">
        <v>377</v>
      </c>
      <c r="C59" s="412">
        <v>0</v>
      </c>
      <c r="D59" s="412"/>
      <c r="E59" s="395">
        <v>0</v>
      </c>
      <c r="F59" s="676" t="s">
        <v>793</v>
      </c>
    </row>
    <row r="60" spans="1:6" s="418" customFormat="1" ht="12" customHeight="1" thickBot="1">
      <c r="A60" s="372" t="s">
        <v>378</v>
      </c>
      <c r="B60" s="421" t="s">
        <v>379</v>
      </c>
      <c r="C60" s="412">
        <v>0</v>
      </c>
      <c r="D60" s="412">
        <v>0</v>
      </c>
      <c r="E60" s="395">
        <v>0</v>
      </c>
      <c r="F60" s="676" t="s">
        <v>794</v>
      </c>
    </row>
    <row r="61" spans="1:6" s="418" customFormat="1" ht="12" customHeight="1" thickBot="1">
      <c r="A61" s="376" t="s">
        <v>14</v>
      </c>
      <c r="B61" s="377" t="s">
        <v>380</v>
      </c>
      <c r="C61" s="414">
        <f>C6+C13+C20+C27+C34+C45+C51+C56</f>
        <v>252680204</v>
      </c>
      <c r="D61" s="414">
        <f>D6+D13+D20+D27+D34+D45+D51+D56</f>
        <v>331693168</v>
      </c>
      <c r="E61" s="414">
        <f>E6+E13+E20+E27+E34+E45+E51+E56</f>
        <v>325111569</v>
      </c>
      <c r="F61" s="676" t="s">
        <v>795</v>
      </c>
    </row>
    <row r="62" spans="1:6" s="418" customFormat="1" ht="12" customHeight="1" thickBot="1">
      <c r="A62" s="431" t="s">
        <v>381</v>
      </c>
      <c r="B62" s="398" t="s">
        <v>382</v>
      </c>
      <c r="C62" s="408">
        <f>SUM(C63:C65)</f>
        <v>0</v>
      </c>
      <c r="D62" s="408">
        <f>SUM(D63:D65)</f>
        <v>0</v>
      </c>
      <c r="E62" s="408">
        <f>SUM(E63:E65)</f>
        <v>0</v>
      </c>
      <c r="F62" s="676" t="s">
        <v>796</v>
      </c>
    </row>
    <row r="63" spans="1:6" s="418" customFormat="1" ht="12" customHeight="1">
      <c r="A63" s="371" t="s">
        <v>383</v>
      </c>
      <c r="B63" s="419" t="s">
        <v>384</v>
      </c>
      <c r="C63" s="412">
        <v>0</v>
      </c>
      <c r="D63" s="412">
        <v>0</v>
      </c>
      <c r="E63" s="395">
        <v>0</v>
      </c>
      <c r="F63" s="676" t="s">
        <v>797</v>
      </c>
    </row>
    <row r="64" spans="1:6" s="418" customFormat="1" ht="12" customHeight="1">
      <c r="A64" s="370" t="s">
        <v>385</v>
      </c>
      <c r="B64" s="420" t="s">
        <v>386</v>
      </c>
      <c r="C64" s="412">
        <v>0</v>
      </c>
      <c r="D64" s="412">
        <v>0</v>
      </c>
      <c r="E64" s="395">
        <v>0</v>
      </c>
      <c r="F64" s="676" t="s">
        <v>798</v>
      </c>
    </row>
    <row r="65" spans="1:6" s="418" customFormat="1" ht="12" customHeight="1" thickBot="1">
      <c r="A65" s="372" t="s">
        <v>387</v>
      </c>
      <c r="B65" s="356" t="s">
        <v>432</v>
      </c>
      <c r="C65" s="412">
        <v>0</v>
      </c>
      <c r="D65" s="412">
        <v>0</v>
      </c>
      <c r="E65" s="395">
        <v>0</v>
      </c>
      <c r="F65" s="676" t="s">
        <v>799</v>
      </c>
    </row>
    <row r="66" spans="1:6" s="418" customFormat="1" ht="12" customHeight="1" thickBot="1">
      <c r="A66" s="431" t="s">
        <v>389</v>
      </c>
      <c r="B66" s="398" t="s">
        <v>390</v>
      </c>
      <c r="C66" s="408">
        <f>SUM(C67:C70)</f>
        <v>0</v>
      </c>
      <c r="D66" s="408">
        <f>SUM(D67:D70)</f>
        <v>0</v>
      </c>
      <c r="E66" s="408">
        <f>SUM(E67:E70)</f>
        <v>0</v>
      </c>
      <c r="F66" s="676" t="s">
        <v>800</v>
      </c>
    </row>
    <row r="67" spans="1:6" s="418" customFormat="1" ht="13.5" customHeight="1">
      <c r="A67" s="371" t="s">
        <v>108</v>
      </c>
      <c r="B67" s="419" t="s">
        <v>391</v>
      </c>
      <c r="C67" s="412">
        <v>0</v>
      </c>
      <c r="D67" s="412">
        <v>0</v>
      </c>
      <c r="E67" s="395">
        <v>0</v>
      </c>
      <c r="F67" s="676" t="s">
        <v>801</v>
      </c>
    </row>
    <row r="68" spans="1:6" s="418" customFormat="1" ht="12" customHeight="1">
      <c r="A68" s="370" t="s">
        <v>109</v>
      </c>
      <c r="B68" s="420" t="s">
        <v>392</v>
      </c>
      <c r="C68" s="412">
        <v>0</v>
      </c>
      <c r="D68" s="412">
        <v>0</v>
      </c>
      <c r="E68" s="395">
        <v>0</v>
      </c>
      <c r="F68" s="676" t="s">
        <v>802</v>
      </c>
    </row>
    <row r="69" spans="1:6" s="418" customFormat="1" ht="12" customHeight="1">
      <c r="A69" s="370" t="s">
        <v>393</v>
      </c>
      <c r="B69" s="420" t="s">
        <v>394</v>
      </c>
      <c r="C69" s="412">
        <v>0</v>
      </c>
      <c r="D69" s="412">
        <v>0</v>
      </c>
      <c r="E69" s="395">
        <v>0</v>
      </c>
      <c r="F69" s="676" t="s">
        <v>803</v>
      </c>
    </row>
    <row r="70" spans="1:6" s="418" customFormat="1" ht="12" customHeight="1" thickBot="1">
      <c r="A70" s="372" t="s">
        <v>395</v>
      </c>
      <c r="B70" s="421" t="s">
        <v>396</v>
      </c>
      <c r="C70" s="412">
        <v>0</v>
      </c>
      <c r="D70" s="412">
        <v>0</v>
      </c>
      <c r="E70" s="395">
        <v>0</v>
      </c>
      <c r="F70" s="676" t="s">
        <v>804</v>
      </c>
    </row>
    <row r="71" spans="1:6" s="418" customFormat="1" ht="12" customHeight="1" thickBot="1">
      <c r="A71" s="431" t="s">
        <v>397</v>
      </c>
      <c r="B71" s="398" t="s">
        <v>398</v>
      </c>
      <c r="C71" s="408">
        <f>SUM(C72:C73)</f>
        <v>181735560</v>
      </c>
      <c r="D71" s="408">
        <f>SUM(D72:D73)</f>
        <v>181479530</v>
      </c>
      <c r="E71" s="408">
        <f>SUM(E72:E73)</f>
        <v>181479530</v>
      </c>
      <c r="F71" s="676" t="s">
        <v>805</v>
      </c>
    </row>
    <row r="72" spans="1:6" s="418" customFormat="1" ht="12" customHeight="1">
      <c r="A72" s="371" t="s">
        <v>399</v>
      </c>
      <c r="B72" s="419" t="s">
        <v>400</v>
      </c>
      <c r="C72" s="412">
        <f>180056979+486482+1192099</f>
        <v>181735560</v>
      </c>
      <c r="D72" s="412">
        <f>179906404+977894+595232</f>
        <v>181479530</v>
      </c>
      <c r="E72" s="395">
        <f>179906404+977894+595232</f>
        <v>181479530</v>
      </c>
      <c r="F72" s="676" t="s">
        <v>806</v>
      </c>
    </row>
    <row r="73" spans="1:6" s="418" customFormat="1" ht="12" customHeight="1" thickBot="1">
      <c r="A73" s="372" t="s">
        <v>401</v>
      </c>
      <c r="B73" s="421" t="s">
        <v>402</v>
      </c>
      <c r="C73" s="412">
        <v>0</v>
      </c>
      <c r="D73" s="412">
        <v>0</v>
      </c>
      <c r="E73" s="395">
        <v>0</v>
      </c>
      <c r="F73" s="676" t="s">
        <v>807</v>
      </c>
    </row>
    <row r="74" spans="1:6" s="418" customFormat="1" ht="12" customHeight="1" thickBot="1">
      <c r="A74" s="431" t="s">
        <v>403</v>
      </c>
      <c r="B74" s="398" t="s">
        <v>404</v>
      </c>
      <c r="C74" s="408">
        <f>SUM(C75:C77)</f>
        <v>0</v>
      </c>
      <c r="D74" s="408">
        <f>SUM(D75:D77)</f>
        <v>5119012</v>
      </c>
      <c r="E74" s="408">
        <f>SUM(E75:E77)</f>
        <v>5119012</v>
      </c>
      <c r="F74" s="676" t="s">
        <v>808</v>
      </c>
    </row>
    <row r="75" spans="1:6" s="418" customFormat="1" ht="12" customHeight="1">
      <c r="A75" s="371" t="s">
        <v>405</v>
      </c>
      <c r="B75" s="419" t="s">
        <v>406</v>
      </c>
      <c r="C75" s="412"/>
      <c r="D75" s="412">
        <v>5119012</v>
      </c>
      <c r="E75" s="395">
        <v>5119012</v>
      </c>
      <c r="F75" s="676" t="s">
        <v>809</v>
      </c>
    </row>
    <row r="76" spans="1:6" s="418" customFormat="1" ht="12" customHeight="1">
      <c r="A76" s="370" t="s">
        <v>407</v>
      </c>
      <c r="B76" s="420" t="s">
        <v>408</v>
      </c>
      <c r="C76" s="412">
        <v>0</v>
      </c>
      <c r="D76" s="412">
        <v>0</v>
      </c>
      <c r="E76" s="395">
        <v>0</v>
      </c>
      <c r="F76" s="676" t="s">
        <v>810</v>
      </c>
    </row>
    <row r="77" spans="1:6" s="418" customFormat="1" ht="12" customHeight="1" thickBot="1">
      <c r="A77" s="372" t="s">
        <v>409</v>
      </c>
      <c r="B77" s="400" t="s">
        <v>410</v>
      </c>
      <c r="C77" s="412">
        <v>0</v>
      </c>
      <c r="D77" s="412">
        <v>0</v>
      </c>
      <c r="E77" s="395">
        <v>0</v>
      </c>
      <c r="F77" s="676" t="s">
        <v>811</v>
      </c>
    </row>
    <row r="78" spans="1:6" s="418" customFormat="1" ht="12" customHeight="1" thickBot="1">
      <c r="A78" s="431" t="s">
        <v>411</v>
      </c>
      <c r="B78" s="398" t="s">
        <v>412</v>
      </c>
      <c r="C78" s="408">
        <f>SUM(C79:C82)</f>
        <v>0</v>
      </c>
      <c r="D78" s="408">
        <f>SUM(D79:D82)</f>
        <v>0</v>
      </c>
      <c r="E78" s="408">
        <f>SUM(E79:E82)</f>
        <v>0</v>
      </c>
      <c r="F78" s="676" t="s">
        <v>812</v>
      </c>
    </row>
    <row r="79" spans="1:6" s="418" customFormat="1" ht="12" customHeight="1">
      <c r="A79" s="422" t="s">
        <v>413</v>
      </c>
      <c r="B79" s="419" t="s">
        <v>414</v>
      </c>
      <c r="C79" s="412">
        <v>0</v>
      </c>
      <c r="D79" s="412">
        <v>0</v>
      </c>
      <c r="E79" s="395">
        <v>0</v>
      </c>
      <c r="F79" s="676" t="s">
        <v>813</v>
      </c>
    </row>
    <row r="80" spans="1:6" s="418" customFormat="1" ht="12" customHeight="1">
      <c r="A80" s="423" t="s">
        <v>415</v>
      </c>
      <c r="B80" s="420" t="s">
        <v>416</v>
      </c>
      <c r="C80" s="412">
        <v>0</v>
      </c>
      <c r="D80" s="412">
        <v>0</v>
      </c>
      <c r="E80" s="395">
        <v>0</v>
      </c>
      <c r="F80" s="676" t="s">
        <v>814</v>
      </c>
    </row>
    <row r="81" spans="1:6" s="418" customFormat="1" ht="12" customHeight="1">
      <c r="A81" s="423" t="s">
        <v>417</v>
      </c>
      <c r="B81" s="420" t="s">
        <v>418</v>
      </c>
      <c r="C81" s="412">
        <v>0</v>
      </c>
      <c r="D81" s="412">
        <v>0</v>
      </c>
      <c r="E81" s="395">
        <v>0</v>
      </c>
      <c r="F81" s="676" t="s">
        <v>815</v>
      </c>
    </row>
    <row r="82" spans="1:6" s="418" customFormat="1" ht="12" customHeight="1" thickBot="1">
      <c r="A82" s="432" t="s">
        <v>419</v>
      </c>
      <c r="B82" s="400" t="s">
        <v>420</v>
      </c>
      <c r="C82" s="412">
        <v>0</v>
      </c>
      <c r="D82" s="412">
        <v>0</v>
      </c>
      <c r="E82" s="395">
        <v>0</v>
      </c>
      <c r="F82" s="676" t="s">
        <v>816</v>
      </c>
    </row>
    <row r="83" spans="1:6" s="418" customFormat="1" ht="12" customHeight="1" thickBot="1">
      <c r="A83" s="431" t="s">
        <v>421</v>
      </c>
      <c r="B83" s="398" t="s">
        <v>422</v>
      </c>
      <c r="C83" s="434">
        <v>0</v>
      </c>
      <c r="D83" s="434">
        <v>0</v>
      </c>
      <c r="E83" s="435">
        <v>0</v>
      </c>
      <c r="F83" s="676" t="s">
        <v>817</v>
      </c>
    </row>
    <row r="84" spans="1:6" s="418" customFormat="1" ht="12" customHeight="1" thickBot="1">
      <c r="A84" s="431" t="s">
        <v>423</v>
      </c>
      <c r="B84" s="354" t="s">
        <v>424</v>
      </c>
      <c r="C84" s="414">
        <f>C62+C66+C71+C74+C78+C83</f>
        <v>181735560</v>
      </c>
      <c r="D84" s="414">
        <f>D62+D66+D71+D74+D78+D83</f>
        <v>186598542</v>
      </c>
      <c r="E84" s="414">
        <f>E62+E66+E71+E74+E78+E83</f>
        <v>186598542</v>
      </c>
      <c r="F84" s="676" t="s">
        <v>818</v>
      </c>
    </row>
    <row r="85" spans="1:6" s="418" customFormat="1" ht="18" customHeight="1" thickBot="1">
      <c r="A85" s="433" t="s">
        <v>425</v>
      </c>
      <c r="B85" s="357" t="s">
        <v>426</v>
      </c>
      <c r="C85" s="414">
        <f>C61+C84</f>
        <v>434415764</v>
      </c>
      <c r="D85" s="414">
        <f>D61+D84</f>
        <v>518291710</v>
      </c>
      <c r="E85" s="414">
        <f>E61+E84</f>
        <v>511710111</v>
      </c>
      <c r="F85" s="676" t="s">
        <v>819</v>
      </c>
    </row>
    <row r="86" spans="1:6" s="418" customFormat="1" ht="12" customHeight="1">
      <c r="A86" s="352"/>
      <c r="B86" s="352"/>
      <c r="C86" s="353"/>
      <c r="D86" s="353"/>
      <c r="E86" s="353"/>
      <c r="F86" s="676"/>
    </row>
    <row r="87" spans="1:6" ht="16.5" customHeight="1">
      <c r="A87" s="756" t="s">
        <v>35</v>
      </c>
      <c r="B87" s="756"/>
      <c r="C87" s="756"/>
      <c r="D87" s="756"/>
      <c r="E87" s="756"/>
      <c r="F87" s="674"/>
    </row>
    <row r="88" spans="1:6" s="424" customFormat="1" ht="16.5" customHeight="1" thickBot="1">
      <c r="A88" s="46" t="s">
        <v>112</v>
      </c>
      <c r="B88" s="46"/>
      <c r="C88" s="385"/>
      <c r="D88" s="385"/>
      <c r="E88" s="385" t="s">
        <v>879</v>
      </c>
      <c r="F88" s="677"/>
    </row>
    <row r="89" spans="1:6" s="424" customFormat="1" ht="16.5" customHeight="1">
      <c r="A89" s="762" t="s">
        <v>59</v>
      </c>
      <c r="B89" s="759" t="s">
        <v>179</v>
      </c>
      <c r="C89" s="757" t="str">
        <f>+C3</f>
        <v>2017. évi</v>
      </c>
      <c r="D89" s="757"/>
      <c r="E89" s="758"/>
      <c r="F89" s="677"/>
    </row>
    <row r="90" spans="1:6" ht="37.5" customHeight="1" thickBot="1">
      <c r="A90" s="763"/>
      <c r="B90" s="760"/>
      <c r="C90" s="47" t="s">
        <v>180</v>
      </c>
      <c r="D90" s="47" t="s">
        <v>185</v>
      </c>
      <c r="E90" s="48" t="s">
        <v>186</v>
      </c>
      <c r="F90" s="674"/>
    </row>
    <row r="91" spans="1:6" s="417" customFormat="1" ht="12" customHeight="1" thickBot="1">
      <c r="A91" s="381" t="s">
        <v>427</v>
      </c>
      <c r="B91" s="382" t="s">
        <v>428</v>
      </c>
      <c r="C91" s="382" t="s">
        <v>429</v>
      </c>
      <c r="D91" s="382" t="s">
        <v>430</v>
      </c>
      <c r="E91" s="383" t="s">
        <v>431</v>
      </c>
      <c r="F91" s="675"/>
    </row>
    <row r="92" spans="1:6" ht="12" customHeight="1" thickBot="1">
      <c r="A92" s="378" t="s">
        <v>6</v>
      </c>
      <c r="B92" s="380" t="s">
        <v>433</v>
      </c>
      <c r="C92" s="407">
        <f>SUM(C93:C97)</f>
        <v>262676980</v>
      </c>
      <c r="D92" s="407">
        <f>SUM(D93:D97)</f>
        <v>289699894</v>
      </c>
      <c r="E92" s="407">
        <f>SUM(E93:E97)</f>
        <v>253165078</v>
      </c>
      <c r="F92" s="674" t="s">
        <v>740</v>
      </c>
    </row>
    <row r="93" spans="1:6" ht="12" customHeight="1">
      <c r="A93" s="373" t="s">
        <v>71</v>
      </c>
      <c r="B93" s="366" t="s">
        <v>36</v>
      </c>
      <c r="C93" s="529">
        <f>40379956+37903424+28462900</f>
        <v>106746280</v>
      </c>
      <c r="D93" s="98">
        <f>50602237+30052900+38250949</f>
        <v>118906086</v>
      </c>
      <c r="E93" s="361">
        <f>47862153+36569343+27584493</f>
        <v>112015989</v>
      </c>
      <c r="F93" s="674" t="s">
        <v>741</v>
      </c>
    </row>
    <row r="94" spans="1:6" ht="12" customHeight="1">
      <c r="A94" s="370" t="s">
        <v>72</v>
      </c>
      <c r="B94" s="364" t="s">
        <v>133</v>
      </c>
      <c r="C94" s="530">
        <f>8803230+7896383+8753713</f>
        <v>25453326</v>
      </c>
      <c r="D94" s="409">
        <f>11034997+8018649+8788297</f>
        <v>27841943</v>
      </c>
      <c r="E94" s="392">
        <f>11034997+6324349+8274836</f>
        <v>25634182</v>
      </c>
      <c r="F94" s="674" t="s">
        <v>742</v>
      </c>
    </row>
    <row r="95" spans="1:6" ht="12" customHeight="1">
      <c r="A95" s="370" t="s">
        <v>73</v>
      </c>
      <c r="B95" s="364" t="s">
        <v>100</v>
      </c>
      <c r="C95" s="532">
        <f>73487658+5757500+41772216</f>
        <v>121017374</v>
      </c>
      <c r="D95" s="411">
        <f>77795774+6625039+41760463</f>
        <v>126181276</v>
      </c>
      <c r="E95" s="394">
        <f>63311200+4142248+31957220</f>
        <v>99410668</v>
      </c>
      <c r="F95" s="674" t="s">
        <v>743</v>
      </c>
    </row>
    <row r="96" spans="1:6" ht="12" customHeight="1">
      <c r="A96" s="370" t="s">
        <v>74</v>
      </c>
      <c r="B96" s="367" t="s">
        <v>134</v>
      </c>
      <c r="C96" s="532">
        <v>5460000</v>
      </c>
      <c r="D96" s="411">
        <v>7425420</v>
      </c>
      <c r="E96" s="394">
        <v>6784270</v>
      </c>
      <c r="F96" s="674" t="s">
        <v>744</v>
      </c>
    </row>
    <row r="97" spans="1:6" ht="12" customHeight="1">
      <c r="A97" s="370" t="s">
        <v>83</v>
      </c>
      <c r="B97" s="375" t="s">
        <v>135</v>
      </c>
      <c r="C97" s="532">
        <f>C98+C107</f>
        <v>4000000</v>
      </c>
      <c r="D97" s="532">
        <f>D98+D107</f>
        <v>9345169</v>
      </c>
      <c r="E97" s="532">
        <f>E98+E107</f>
        <v>9319969</v>
      </c>
      <c r="F97" s="674" t="s">
        <v>745</v>
      </c>
    </row>
    <row r="98" spans="1:6" ht="12" customHeight="1">
      <c r="A98" s="370" t="s">
        <v>75</v>
      </c>
      <c r="B98" s="364" t="s">
        <v>434</v>
      </c>
      <c r="C98" s="532"/>
      <c r="D98" s="411">
        <v>5145169</v>
      </c>
      <c r="E98" s="394">
        <v>5145169</v>
      </c>
      <c r="F98" s="674" t="s">
        <v>746</v>
      </c>
    </row>
    <row r="99" spans="1:6" ht="12" customHeight="1">
      <c r="A99" s="370" t="s">
        <v>76</v>
      </c>
      <c r="B99" s="387" t="s">
        <v>435</v>
      </c>
      <c r="C99" s="532"/>
      <c r="D99" s="411">
        <v>0</v>
      </c>
      <c r="E99" s="394">
        <v>0</v>
      </c>
      <c r="F99" s="674" t="s">
        <v>747</v>
      </c>
    </row>
    <row r="100" spans="1:6" ht="12" customHeight="1">
      <c r="A100" s="370" t="s">
        <v>84</v>
      </c>
      <c r="B100" s="388" t="s">
        <v>436</v>
      </c>
      <c r="C100" s="532"/>
      <c r="D100" s="411">
        <v>0</v>
      </c>
      <c r="E100" s="394">
        <v>0</v>
      </c>
      <c r="F100" s="674" t="s">
        <v>748</v>
      </c>
    </row>
    <row r="101" spans="1:6" ht="17.25" customHeight="1">
      <c r="A101" s="370" t="s">
        <v>85</v>
      </c>
      <c r="B101" s="388" t="s">
        <v>437</v>
      </c>
      <c r="C101" s="532"/>
      <c r="D101" s="411">
        <v>0</v>
      </c>
      <c r="E101" s="394">
        <v>0</v>
      </c>
      <c r="F101" s="674" t="s">
        <v>749</v>
      </c>
    </row>
    <row r="102" spans="1:6" ht="12" customHeight="1">
      <c r="A102" s="370" t="s">
        <v>86</v>
      </c>
      <c r="B102" s="387" t="s">
        <v>438</v>
      </c>
      <c r="C102" s="532"/>
      <c r="D102" s="411">
        <v>0</v>
      </c>
      <c r="E102" s="394">
        <v>0</v>
      </c>
      <c r="F102" s="674" t="s">
        <v>750</v>
      </c>
    </row>
    <row r="103" spans="1:6" ht="12" customHeight="1">
      <c r="A103" s="370" t="s">
        <v>87</v>
      </c>
      <c r="B103" s="387" t="s">
        <v>439</v>
      </c>
      <c r="C103" s="532"/>
      <c r="D103" s="411">
        <v>0</v>
      </c>
      <c r="E103" s="394">
        <v>0</v>
      </c>
      <c r="F103" s="674" t="s">
        <v>751</v>
      </c>
    </row>
    <row r="104" spans="1:6" ht="19.5" customHeight="1">
      <c r="A104" s="370" t="s">
        <v>89</v>
      </c>
      <c r="B104" s="388" t="s">
        <v>440</v>
      </c>
      <c r="C104" s="532"/>
      <c r="D104" s="411">
        <v>0</v>
      </c>
      <c r="E104" s="394">
        <v>0</v>
      </c>
      <c r="F104" s="674" t="s">
        <v>752</v>
      </c>
    </row>
    <row r="105" spans="1:6" ht="12" customHeight="1">
      <c r="A105" s="369" t="s">
        <v>136</v>
      </c>
      <c r="B105" s="389" t="s">
        <v>441</v>
      </c>
      <c r="C105" s="532"/>
      <c r="D105" s="411">
        <v>0</v>
      </c>
      <c r="E105" s="394">
        <v>0</v>
      </c>
      <c r="F105" s="674" t="s">
        <v>753</v>
      </c>
    </row>
    <row r="106" spans="1:6" ht="12" customHeight="1">
      <c r="A106" s="370" t="s">
        <v>442</v>
      </c>
      <c r="B106" s="389" t="s">
        <v>443</v>
      </c>
      <c r="C106" s="532"/>
      <c r="D106" s="411">
        <v>0</v>
      </c>
      <c r="E106" s="394">
        <v>0</v>
      </c>
      <c r="F106" s="674" t="s">
        <v>754</v>
      </c>
    </row>
    <row r="107" spans="1:6" ht="12" customHeight="1" thickBot="1">
      <c r="A107" s="374" t="s">
        <v>444</v>
      </c>
      <c r="B107" s="390" t="s">
        <v>445</v>
      </c>
      <c r="C107" s="534">
        <v>4000000</v>
      </c>
      <c r="D107" s="99">
        <v>4200000</v>
      </c>
      <c r="E107" s="355">
        <v>4174800</v>
      </c>
      <c r="F107" s="674" t="s">
        <v>755</v>
      </c>
    </row>
    <row r="108" spans="1:6" ht="12" customHeight="1" thickBot="1">
      <c r="A108" s="376" t="s">
        <v>7</v>
      </c>
      <c r="B108" s="379" t="s">
        <v>446</v>
      </c>
      <c r="C108" s="408">
        <f>C109+C111+C113</f>
        <v>90175501</v>
      </c>
      <c r="D108" s="408">
        <f>D109+D111+D113</f>
        <v>123151788</v>
      </c>
      <c r="E108" s="408">
        <f>E109+E111+E113</f>
        <v>115743267</v>
      </c>
      <c r="F108" s="674" t="s">
        <v>756</v>
      </c>
    </row>
    <row r="109" spans="1:6" ht="12" customHeight="1">
      <c r="A109" s="371" t="s">
        <v>77</v>
      </c>
      <c r="B109" s="364" t="s">
        <v>157</v>
      </c>
      <c r="C109" s="531">
        <f>16101978+300000+600000</f>
        <v>17001978</v>
      </c>
      <c r="D109" s="410">
        <f>24875294+300000+600000</f>
        <v>25775294</v>
      </c>
      <c r="E109" s="393">
        <f>20871185+178303+16900</f>
        <v>21066388</v>
      </c>
      <c r="F109" s="674" t="s">
        <v>757</v>
      </c>
    </row>
    <row r="110" spans="1:6" ht="12" customHeight="1">
      <c r="A110" s="371" t="s">
        <v>78</v>
      </c>
      <c r="B110" s="368" t="s">
        <v>447</v>
      </c>
      <c r="C110" s="531"/>
      <c r="D110" s="410">
        <v>0</v>
      </c>
      <c r="E110" s="393">
        <v>0</v>
      </c>
      <c r="F110" s="674" t="s">
        <v>758</v>
      </c>
    </row>
    <row r="111" spans="1:6" ht="15.75">
      <c r="A111" s="371" t="s">
        <v>79</v>
      </c>
      <c r="B111" s="368" t="s">
        <v>137</v>
      </c>
      <c r="C111" s="530">
        <v>71673523</v>
      </c>
      <c r="D111" s="409">
        <v>95876494</v>
      </c>
      <c r="E111" s="392">
        <v>93876879</v>
      </c>
      <c r="F111" s="674" t="s">
        <v>759</v>
      </c>
    </row>
    <row r="112" spans="1:6" ht="12" customHeight="1">
      <c r="A112" s="371" t="s">
        <v>80</v>
      </c>
      <c r="B112" s="368" t="s">
        <v>448</v>
      </c>
      <c r="C112" s="392"/>
      <c r="D112" s="409">
        <v>0</v>
      </c>
      <c r="E112" s="392">
        <v>0</v>
      </c>
      <c r="F112" s="674" t="s">
        <v>760</v>
      </c>
    </row>
    <row r="113" spans="1:6" ht="12" customHeight="1">
      <c r="A113" s="371" t="s">
        <v>81</v>
      </c>
      <c r="B113" s="400" t="s">
        <v>160</v>
      </c>
      <c r="C113" s="392">
        <v>1500000</v>
      </c>
      <c r="D113" s="409">
        <v>1500000</v>
      </c>
      <c r="E113" s="409">
        <f>SUM(E114:E121)</f>
        <v>800000</v>
      </c>
      <c r="F113" s="409">
        <f>SUM(F114:F121)</f>
        <v>0</v>
      </c>
    </row>
    <row r="114" spans="1:6" ht="21.75" customHeight="1">
      <c r="A114" s="371" t="s">
        <v>88</v>
      </c>
      <c r="B114" s="399" t="s">
        <v>449</v>
      </c>
      <c r="C114" s="392"/>
      <c r="D114" s="409">
        <v>0</v>
      </c>
      <c r="E114" s="392">
        <v>0</v>
      </c>
      <c r="F114" s="674" t="s">
        <v>762</v>
      </c>
    </row>
    <row r="115" spans="1:6" ht="24" customHeight="1">
      <c r="A115" s="371" t="s">
        <v>90</v>
      </c>
      <c r="B115" s="415" t="s">
        <v>450</v>
      </c>
      <c r="C115" s="392"/>
      <c r="D115" s="409">
        <v>0</v>
      </c>
      <c r="E115" s="392">
        <v>0</v>
      </c>
      <c r="F115" s="674" t="s">
        <v>763</v>
      </c>
    </row>
    <row r="116" spans="1:6" ht="12" customHeight="1">
      <c r="A116" s="371" t="s">
        <v>138</v>
      </c>
      <c r="B116" s="388" t="s">
        <v>437</v>
      </c>
      <c r="C116" s="392"/>
      <c r="D116" s="409">
        <v>0</v>
      </c>
      <c r="E116" s="392">
        <v>0</v>
      </c>
      <c r="F116" s="674" t="s">
        <v>764</v>
      </c>
    </row>
    <row r="117" spans="1:6" ht="12" customHeight="1">
      <c r="A117" s="371" t="s">
        <v>139</v>
      </c>
      <c r="B117" s="388" t="s">
        <v>451</v>
      </c>
      <c r="C117" s="392"/>
      <c r="D117" s="409">
        <v>0</v>
      </c>
      <c r="E117" s="392">
        <v>0</v>
      </c>
      <c r="F117" s="674" t="s">
        <v>765</v>
      </c>
    </row>
    <row r="118" spans="1:6" ht="12" customHeight="1">
      <c r="A118" s="371" t="s">
        <v>140</v>
      </c>
      <c r="B118" s="388" t="s">
        <v>452</v>
      </c>
      <c r="C118" s="392"/>
      <c r="D118" s="409">
        <v>0</v>
      </c>
      <c r="E118" s="392">
        <v>0</v>
      </c>
      <c r="F118" s="674" t="s">
        <v>766</v>
      </c>
    </row>
    <row r="119" spans="1:6" s="436" customFormat="1" ht="12" customHeight="1">
      <c r="A119" s="371" t="s">
        <v>453</v>
      </c>
      <c r="B119" s="388" t="s">
        <v>440</v>
      </c>
      <c r="C119" s="392"/>
      <c r="D119" s="409">
        <v>0</v>
      </c>
      <c r="E119" s="392">
        <v>0</v>
      </c>
      <c r="F119" s="674" t="s">
        <v>767</v>
      </c>
    </row>
    <row r="120" spans="1:6" ht="12" customHeight="1">
      <c r="A120" s="371" t="s">
        <v>454</v>
      </c>
      <c r="B120" s="388" t="s">
        <v>455</v>
      </c>
      <c r="C120" s="392"/>
      <c r="D120" s="409">
        <v>0</v>
      </c>
      <c r="E120" s="392">
        <v>0</v>
      </c>
      <c r="F120" s="674" t="s">
        <v>768</v>
      </c>
    </row>
    <row r="121" spans="1:6" ht="12" customHeight="1" thickBot="1">
      <c r="A121" s="369" t="s">
        <v>456</v>
      </c>
      <c r="B121" s="388" t="s">
        <v>457</v>
      </c>
      <c r="C121" s="394">
        <v>1500000</v>
      </c>
      <c r="D121" s="411">
        <v>1500000</v>
      </c>
      <c r="E121" s="394">
        <v>800000</v>
      </c>
      <c r="F121" s="674" t="s">
        <v>769</v>
      </c>
    </row>
    <row r="122" spans="1:6" ht="12" customHeight="1" thickBot="1">
      <c r="A122" s="376" t="s">
        <v>8</v>
      </c>
      <c r="B122" s="384" t="s">
        <v>458</v>
      </c>
      <c r="C122" s="408">
        <f>SUM(C123:C124)</f>
        <v>81563283</v>
      </c>
      <c r="D122" s="408">
        <f>SUM(D123:D124)</f>
        <v>100621538</v>
      </c>
      <c r="E122" s="408">
        <f>SUM(E123:E124)</f>
        <v>0</v>
      </c>
      <c r="F122" s="674" t="s">
        <v>770</v>
      </c>
    </row>
    <row r="123" spans="1:6" ht="12" customHeight="1">
      <c r="A123" s="371" t="s">
        <v>60</v>
      </c>
      <c r="B123" s="365" t="s">
        <v>46</v>
      </c>
      <c r="C123" s="410">
        <v>81563283</v>
      </c>
      <c r="D123" s="410">
        <v>100621538</v>
      </c>
      <c r="E123" s="393">
        <v>0</v>
      </c>
      <c r="F123" s="674" t="s">
        <v>771</v>
      </c>
    </row>
    <row r="124" spans="1:6" ht="12" customHeight="1" thickBot="1">
      <c r="A124" s="372" t="s">
        <v>61</v>
      </c>
      <c r="B124" s="368" t="s">
        <v>47</v>
      </c>
      <c r="C124" s="411"/>
      <c r="D124" s="411">
        <v>0</v>
      </c>
      <c r="E124" s="394">
        <v>0</v>
      </c>
      <c r="F124" s="674" t="s">
        <v>772</v>
      </c>
    </row>
    <row r="125" spans="1:6" ht="12" customHeight="1" thickBot="1">
      <c r="A125" s="376" t="s">
        <v>9</v>
      </c>
      <c r="B125" s="384" t="s">
        <v>459</v>
      </c>
      <c r="C125" s="408">
        <f>C92+C108+C122</f>
        <v>434415764</v>
      </c>
      <c r="D125" s="408">
        <f>D92+D108+D122</f>
        <v>513473220</v>
      </c>
      <c r="E125" s="408">
        <f>E92+E108+E122</f>
        <v>368908345</v>
      </c>
      <c r="F125" s="674" t="s">
        <v>773</v>
      </c>
    </row>
    <row r="126" spans="1:6" ht="12" customHeight="1" thickBot="1">
      <c r="A126" s="376" t="s">
        <v>10</v>
      </c>
      <c r="B126" s="384" t="s">
        <v>460</v>
      </c>
      <c r="C126" s="408">
        <f>SUM(C127:C129)</f>
        <v>0</v>
      </c>
      <c r="D126" s="408">
        <f>SUM(D127:D129)</f>
        <v>0</v>
      </c>
      <c r="E126" s="408">
        <f>SUM(E127:E129)</f>
        <v>0</v>
      </c>
      <c r="F126" s="674" t="s">
        <v>774</v>
      </c>
    </row>
    <row r="127" spans="1:6" ht="12" customHeight="1">
      <c r="A127" s="371" t="s">
        <v>64</v>
      </c>
      <c r="B127" s="365" t="s">
        <v>461</v>
      </c>
      <c r="C127" s="409">
        <v>0</v>
      </c>
      <c r="D127" s="409">
        <v>0</v>
      </c>
      <c r="E127" s="392">
        <v>0</v>
      </c>
      <c r="F127" s="674" t="s">
        <v>775</v>
      </c>
    </row>
    <row r="128" spans="1:6" ht="12" customHeight="1">
      <c r="A128" s="371" t="s">
        <v>65</v>
      </c>
      <c r="B128" s="365" t="s">
        <v>462</v>
      </c>
      <c r="C128" s="409">
        <v>0</v>
      </c>
      <c r="D128" s="409">
        <v>0</v>
      </c>
      <c r="E128" s="392">
        <v>0</v>
      </c>
      <c r="F128" s="674" t="s">
        <v>776</v>
      </c>
    </row>
    <row r="129" spans="1:6" ht="12" customHeight="1" thickBot="1">
      <c r="A129" s="369" t="s">
        <v>66</v>
      </c>
      <c r="B129" s="363" t="s">
        <v>463</v>
      </c>
      <c r="C129" s="409">
        <v>0</v>
      </c>
      <c r="D129" s="409">
        <v>0</v>
      </c>
      <c r="E129" s="392">
        <v>0</v>
      </c>
      <c r="F129" s="674" t="s">
        <v>777</v>
      </c>
    </row>
    <row r="130" spans="1:6" ht="12" customHeight="1" thickBot="1">
      <c r="A130" s="376" t="s">
        <v>11</v>
      </c>
      <c r="B130" s="384" t="s">
        <v>464</v>
      </c>
      <c r="C130" s="408">
        <f>SUM(C131:C134)</f>
        <v>0</v>
      </c>
      <c r="D130" s="408">
        <f>SUM(D131:D134)</f>
        <v>0</v>
      </c>
      <c r="E130" s="408">
        <f>SUM(E131:E134)</f>
        <v>0</v>
      </c>
      <c r="F130" s="674" t="s">
        <v>778</v>
      </c>
    </row>
    <row r="131" spans="1:6" ht="12" customHeight="1">
      <c r="A131" s="371" t="s">
        <v>67</v>
      </c>
      <c r="B131" s="365" t="s">
        <v>465</v>
      </c>
      <c r="C131" s="409">
        <v>0</v>
      </c>
      <c r="D131" s="409">
        <v>0</v>
      </c>
      <c r="E131" s="392">
        <v>0</v>
      </c>
      <c r="F131" s="674" t="s">
        <v>779</v>
      </c>
    </row>
    <row r="132" spans="1:6" ht="12" customHeight="1">
      <c r="A132" s="371" t="s">
        <v>68</v>
      </c>
      <c r="B132" s="365" t="s">
        <v>466</v>
      </c>
      <c r="C132" s="409">
        <v>0</v>
      </c>
      <c r="D132" s="409">
        <v>0</v>
      </c>
      <c r="E132" s="392">
        <v>0</v>
      </c>
      <c r="F132" s="674" t="s">
        <v>780</v>
      </c>
    </row>
    <row r="133" spans="1:6" ht="12" customHeight="1">
      <c r="A133" s="371" t="s">
        <v>361</v>
      </c>
      <c r="B133" s="365" t="s">
        <v>467</v>
      </c>
      <c r="C133" s="409">
        <v>0</v>
      </c>
      <c r="D133" s="409">
        <v>0</v>
      </c>
      <c r="E133" s="392">
        <v>0</v>
      </c>
      <c r="F133" s="674" t="s">
        <v>781</v>
      </c>
    </row>
    <row r="134" spans="1:6" ht="12" customHeight="1" thickBot="1">
      <c r="A134" s="369" t="s">
        <v>363</v>
      </c>
      <c r="B134" s="363" t="s">
        <v>468</v>
      </c>
      <c r="C134" s="409">
        <v>0</v>
      </c>
      <c r="D134" s="409">
        <v>0</v>
      </c>
      <c r="E134" s="392">
        <v>0</v>
      </c>
      <c r="F134" s="674" t="s">
        <v>782</v>
      </c>
    </row>
    <row r="135" spans="1:6" ht="12" customHeight="1" thickBot="1">
      <c r="A135" s="376" t="s">
        <v>12</v>
      </c>
      <c r="B135" s="384" t="s">
        <v>469</v>
      </c>
      <c r="C135" s="414">
        <f>SUM(C136:C139)</f>
        <v>0</v>
      </c>
      <c r="D135" s="414">
        <f>SUM(D136:D139)</f>
        <v>4818490</v>
      </c>
      <c r="E135" s="414">
        <f>SUM(E136:E139)</f>
        <v>4818490</v>
      </c>
      <c r="F135" s="674" t="s">
        <v>783</v>
      </c>
    </row>
    <row r="136" spans="1:6" ht="12" customHeight="1">
      <c r="A136" s="371" t="s">
        <v>69</v>
      </c>
      <c r="B136" s="365" t="s">
        <v>470</v>
      </c>
      <c r="C136" s="409">
        <v>0</v>
      </c>
      <c r="D136" s="409">
        <v>0</v>
      </c>
      <c r="E136" s="392">
        <v>0</v>
      </c>
      <c r="F136" s="674" t="s">
        <v>784</v>
      </c>
    </row>
    <row r="137" spans="1:6" ht="12" customHeight="1">
      <c r="A137" s="371" t="s">
        <v>70</v>
      </c>
      <c r="B137" s="365" t="s">
        <v>471</v>
      </c>
      <c r="C137" s="409">
        <v>0</v>
      </c>
      <c r="D137" s="409">
        <v>4818490</v>
      </c>
      <c r="E137" s="392">
        <v>4818490</v>
      </c>
      <c r="F137" s="674" t="s">
        <v>785</v>
      </c>
    </row>
    <row r="138" spans="1:6" ht="12" customHeight="1">
      <c r="A138" s="371" t="s">
        <v>370</v>
      </c>
      <c r="B138" s="365" t="s">
        <v>472</v>
      </c>
      <c r="C138" s="409">
        <v>0</v>
      </c>
      <c r="D138" s="409">
        <v>0</v>
      </c>
      <c r="E138" s="392">
        <v>0</v>
      </c>
      <c r="F138" s="674" t="s">
        <v>786</v>
      </c>
    </row>
    <row r="139" spans="1:6" ht="12" customHeight="1" thickBot="1">
      <c r="A139" s="369" t="s">
        <v>372</v>
      </c>
      <c r="B139" s="363" t="s">
        <v>473</v>
      </c>
      <c r="C139" s="409">
        <v>0</v>
      </c>
      <c r="D139" s="409">
        <v>0</v>
      </c>
      <c r="E139" s="392">
        <v>0</v>
      </c>
      <c r="F139" s="674" t="s">
        <v>787</v>
      </c>
    </row>
    <row r="140" spans="1:9" ht="15" customHeight="1" thickBot="1">
      <c r="A140" s="376" t="s">
        <v>13</v>
      </c>
      <c r="B140" s="384" t="s">
        <v>474</v>
      </c>
      <c r="C140" s="100">
        <f>SUM(C141:C144)</f>
        <v>0</v>
      </c>
      <c r="D140" s="100">
        <f>SUM(D141:D144)</f>
        <v>0</v>
      </c>
      <c r="E140" s="100">
        <f>SUM(E141:E144)</f>
        <v>0</v>
      </c>
      <c r="F140" s="674" t="s">
        <v>788</v>
      </c>
      <c r="G140" s="425"/>
      <c r="H140" s="425"/>
      <c r="I140" s="425"/>
    </row>
    <row r="141" spans="1:6" s="418" customFormat="1" ht="12.75" customHeight="1">
      <c r="A141" s="371" t="s">
        <v>131</v>
      </c>
      <c r="B141" s="365" t="s">
        <v>475</v>
      </c>
      <c r="C141" s="409">
        <v>0</v>
      </c>
      <c r="D141" s="409">
        <v>0</v>
      </c>
      <c r="E141" s="392">
        <v>0</v>
      </c>
      <c r="F141" s="674" t="s">
        <v>789</v>
      </c>
    </row>
    <row r="142" spans="1:6" ht="12.75" customHeight="1">
      <c r="A142" s="371" t="s">
        <v>132</v>
      </c>
      <c r="B142" s="365" t="s">
        <v>476</v>
      </c>
      <c r="C142" s="409">
        <v>0</v>
      </c>
      <c r="D142" s="409">
        <v>0</v>
      </c>
      <c r="E142" s="392">
        <v>0</v>
      </c>
      <c r="F142" s="674" t="s">
        <v>790</v>
      </c>
    </row>
    <row r="143" spans="1:6" ht="12.75" customHeight="1">
      <c r="A143" s="371" t="s">
        <v>159</v>
      </c>
      <c r="B143" s="365" t="s">
        <v>477</v>
      </c>
      <c r="C143" s="409">
        <v>0</v>
      </c>
      <c r="D143" s="409">
        <v>0</v>
      </c>
      <c r="E143" s="392">
        <v>0</v>
      </c>
      <c r="F143" s="674" t="s">
        <v>791</v>
      </c>
    </row>
    <row r="144" spans="1:6" ht="12.75" customHeight="1" thickBot="1">
      <c r="A144" s="371" t="s">
        <v>378</v>
      </c>
      <c r="B144" s="365" t="s">
        <v>478</v>
      </c>
      <c r="C144" s="409">
        <v>0</v>
      </c>
      <c r="D144" s="409">
        <v>0</v>
      </c>
      <c r="E144" s="392">
        <v>0</v>
      </c>
      <c r="F144" s="674" t="s">
        <v>792</v>
      </c>
    </row>
    <row r="145" spans="1:6" ht="16.5" thickBot="1">
      <c r="A145" s="376" t="s">
        <v>14</v>
      </c>
      <c r="B145" s="384" t="s">
        <v>479</v>
      </c>
      <c r="C145" s="358">
        <f>C126+C130+C135+C140</f>
        <v>0</v>
      </c>
      <c r="D145" s="358">
        <f>D126+D130+D135+D140</f>
        <v>4818490</v>
      </c>
      <c r="E145" s="358">
        <f>E126+E130+E135+E140</f>
        <v>4818490</v>
      </c>
      <c r="F145" s="674" t="s">
        <v>793</v>
      </c>
    </row>
    <row r="146" spans="1:6" ht="16.5" thickBot="1">
      <c r="A146" s="401" t="s">
        <v>15</v>
      </c>
      <c r="B146" s="404" t="s">
        <v>480</v>
      </c>
      <c r="C146" s="358">
        <f>C125+C145</f>
        <v>434415764</v>
      </c>
      <c r="D146" s="358">
        <f>D125+D145</f>
        <v>518291710</v>
      </c>
      <c r="E146" s="358">
        <f>E125+E145</f>
        <v>373726835</v>
      </c>
      <c r="F146" s="674" t="s">
        <v>794</v>
      </c>
    </row>
    <row r="148" spans="1:5" ht="18.75" customHeight="1">
      <c r="A148" s="761" t="s">
        <v>481</v>
      </c>
      <c r="B148" s="761"/>
      <c r="C148" s="761"/>
      <c r="D148" s="761"/>
      <c r="E148" s="761"/>
    </row>
    <row r="149" spans="1:5" ht="13.5" customHeight="1" thickBot="1">
      <c r="A149" s="386" t="s">
        <v>113</v>
      </c>
      <c r="B149" s="386"/>
      <c r="C149" s="416"/>
      <c r="E149" s="403" t="s">
        <v>879</v>
      </c>
    </row>
    <row r="150" spans="1:5" ht="21.75" thickBot="1">
      <c r="A150" s="376">
        <v>1</v>
      </c>
      <c r="B150" s="379" t="s">
        <v>482</v>
      </c>
      <c r="C150" s="402">
        <f>+C61-C125</f>
        <v>-181735560</v>
      </c>
      <c r="D150" s="402">
        <f>+D61-D125</f>
        <v>-181780052</v>
      </c>
      <c r="E150" s="402">
        <f>+E61-E125</f>
        <v>-43796776</v>
      </c>
    </row>
    <row r="151" spans="1:5" ht="21.75" thickBot="1">
      <c r="A151" s="376" t="s">
        <v>7</v>
      </c>
      <c r="B151" s="379" t="s">
        <v>483</v>
      </c>
      <c r="C151" s="402">
        <f>+C84-C145</f>
        <v>181735560</v>
      </c>
      <c r="D151" s="402">
        <f>+D84-D145</f>
        <v>181780052</v>
      </c>
      <c r="E151" s="402">
        <f>+E84-E145</f>
        <v>181780052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4" r:id="rId1"/>
  <headerFooter alignWithMargins="0">
    <oddHeader>&amp;C&amp;"Times New Roman CE,Félkövér"&amp;12
Tengelic Község Önkormányzata
2017. ÉVI ZÁRSZÁMADÁSÁNAK PÉNZÜGYI MÉRLEGE&amp;10
&amp;R&amp;"Times New Roman CE,Félkövér dőlt"&amp;11 1.1. melléklet a 6./2018. (V.30.) önkormányzati rendelethez</oddHeader>
  </headerFooter>
  <rowBreaks count="2" manualBreakCount="2">
    <brk id="70" max="4" man="1"/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8.625" style="581" customWidth="1"/>
    <col min="2" max="2" width="62.00390625" style="32" customWidth="1"/>
    <col min="3" max="5" width="15.875" style="32" customWidth="1"/>
    <col min="6" max="6" width="0" style="678" hidden="1" customWidth="1"/>
    <col min="7" max="16384" width="9.375" style="32" customWidth="1"/>
  </cols>
  <sheetData>
    <row r="1" spans="1:6" s="516" customFormat="1" ht="21" customHeight="1" thickBot="1">
      <c r="A1" s="515"/>
      <c r="B1" s="517"/>
      <c r="C1" s="562"/>
      <c r="D1" s="562"/>
      <c r="E1" s="658" t="str">
        <f>+CONCATENATE("8.1. melléklet a 6 /",LEFT(ÖSSZEFÜGGÉSEK!A4,4)+1,". (V.30.) önkormányzati rendelethez")</f>
        <v>8.1. melléklet a 6 /2018. (V.30.) önkormányzati rendelethez</v>
      </c>
      <c r="F1" s="681"/>
    </row>
    <row r="2" spans="1:6" s="563" customFormat="1" ht="25.5" customHeight="1">
      <c r="A2" s="543" t="s">
        <v>147</v>
      </c>
      <c r="B2" s="803" t="s">
        <v>822</v>
      </c>
      <c r="C2" s="804"/>
      <c r="D2" s="805"/>
      <c r="E2" s="586" t="s">
        <v>49</v>
      </c>
      <c r="F2" s="682"/>
    </row>
    <row r="3" spans="1:6" s="563" customFormat="1" ht="24.75" thickBot="1">
      <c r="A3" s="561" t="s">
        <v>146</v>
      </c>
      <c r="B3" s="800" t="s">
        <v>559</v>
      </c>
      <c r="C3" s="806"/>
      <c r="D3" s="807"/>
      <c r="E3" s="587" t="s">
        <v>40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39" customFormat="1" ht="12" customHeight="1" thickBot="1">
      <c r="A8" s="513" t="s">
        <v>6</v>
      </c>
      <c r="B8" s="577" t="s">
        <v>567</v>
      </c>
      <c r="C8" s="444">
        <f>SUM(C9:C18)</f>
        <v>0</v>
      </c>
      <c r="D8" s="444">
        <f>SUM(D9:D18)</f>
        <v>622622</v>
      </c>
      <c r="E8" s="444">
        <f>SUM(E9:E18)</f>
        <v>622622</v>
      </c>
      <c r="F8" s="684" t="s">
        <v>740</v>
      </c>
    </row>
    <row r="9" spans="1:6" s="539" customFormat="1" ht="12" customHeight="1">
      <c r="A9" s="588" t="s">
        <v>71</v>
      </c>
      <c r="B9" s="366" t="s">
        <v>346</v>
      </c>
      <c r="C9" s="106">
        <v>0</v>
      </c>
      <c r="D9" s="605">
        <v>0</v>
      </c>
      <c r="E9" s="572">
        <v>0</v>
      </c>
      <c r="F9" s="684" t="s">
        <v>741</v>
      </c>
    </row>
    <row r="10" spans="1:6" s="539" customFormat="1" ht="12" customHeight="1">
      <c r="A10" s="589" t="s">
        <v>72</v>
      </c>
      <c r="B10" s="364" t="s">
        <v>347</v>
      </c>
      <c r="C10" s="441"/>
      <c r="D10" s="606">
        <v>0</v>
      </c>
      <c r="E10" s="115">
        <v>0</v>
      </c>
      <c r="F10" s="684" t="s">
        <v>742</v>
      </c>
    </row>
    <row r="11" spans="1:6" s="539" customFormat="1" ht="12" customHeight="1">
      <c r="A11" s="589" t="s">
        <v>73</v>
      </c>
      <c r="B11" s="364" t="s">
        <v>348</v>
      </c>
      <c r="C11" s="441"/>
      <c r="D11" s="606">
        <v>0</v>
      </c>
      <c r="E11" s="115">
        <v>0</v>
      </c>
      <c r="F11" s="684" t="s">
        <v>743</v>
      </c>
    </row>
    <row r="12" spans="1:6" s="539" customFormat="1" ht="12" customHeight="1">
      <c r="A12" s="589" t="s">
        <v>74</v>
      </c>
      <c r="B12" s="364" t="s">
        <v>349</v>
      </c>
      <c r="C12" s="441"/>
      <c r="D12" s="606">
        <v>0</v>
      </c>
      <c r="E12" s="115">
        <v>0</v>
      </c>
      <c r="F12" s="684" t="s">
        <v>744</v>
      </c>
    </row>
    <row r="13" spans="1:6" s="539" customFormat="1" ht="12" customHeight="1">
      <c r="A13" s="589" t="s">
        <v>107</v>
      </c>
      <c r="B13" s="364" t="s">
        <v>350</v>
      </c>
      <c r="C13" s="441"/>
      <c r="D13" s="606">
        <v>0</v>
      </c>
      <c r="E13" s="115">
        <v>0</v>
      </c>
      <c r="F13" s="684" t="s">
        <v>745</v>
      </c>
    </row>
    <row r="14" spans="1:6" s="539" customFormat="1" ht="12" customHeight="1">
      <c r="A14" s="589" t="s">
        <v>75</v>
      </c>
      <c r="B14" s="364" t="s">
        <v>568</v>
      </c>
      <c r="C14" s="441"/>
      <c r="D14" s="606">
        <v>0</v>
      </c>
      <c r="E14" s="115">
        <v>0</v>
      </c>
      <c r="F14" s="684" t="s">
        <v>746</v>
      </c>
    </row>
    <row r="15" spans="1:6" s="566" customFormat="1" ht="12" customHeight="1">
      <c r="A15" s="589" t="s">
        <v>76</v>
      </c>
      <c r="B15" s="363" t="s">
        <v>569</v>
      </c>
      <c r="C15" s="441"/>
      <c r="D15" s="606">
        <v>0</v>
      </c>
      <c r="E15" s="115">
        <v>0</v>
      </c>
      <c r="F15" s="684" t="s">
        <v>747</v>
      </c>
    </row>
    <row r="16" spans="1:6" s="566" customFormat="1" ht="12" customHeight="1">
      <c r="A16" s="589" t="s">
        <v>84</v>
      </c>
      <c r="B16" s="364" t="s">
        <v>353</v>
      </c>
      <c r="C16" s="107"/>
      <c r="D16" s="607">
        <v>9119</v>
      </c>
      <c r="E16" s="571">
        <v>9119</v>
      </c>
      <c r="F16" s="684" t="s">
        <v>748</v>
      </c>
    </row>
    <row r="17" spans="1:6" s="539" customFormat="1" ht="12" customHeight="1">
      <c r="A17" s="589" t="s">
        <v>85</v>
      </c>
      <c r="B17" s="364" t="s">
        <v>355</v>
      </c>
      <c r="C17" s="441"/>
      <c r="D17" s="606">
        <v>0</v>
      </c>
      <c r="E17" s="115"/>
      <c r="F17" s="684" t="s">
        <v>749</v>
      </c>
    </row>
    <row r="18" spans="1:6" s="566" customFormat="1" ht="12" customHeight="1" thickBot="1">
      <c r="A18" s="589" t="s">
        <v>86</v>
      </c>
      <c r="B18" s="363" t="s">
        <v>357</v>
      </c>
      <c r="C18" s="443"/>
      <c r="D18" s="116">
        <v>613503</v>
      </c>
      <c r="E18" s="567">
        <v>613503</v>
      </c>
      <c r="F18" s="684" t="s">
        <v>750</v>
      </c>
    </row>
    <row r="19" spans="1:6" s="566" customFormat="1" ht="12" customHeight="1" thickBot="1">
      <c r="A19" s="513" t="s">
        <v>7</v>
      </c>
      <c r="B19" s="577" t="s">
        <v>570</v>
      </c>
      <c r="C19" s="444">
        <f>SUM(C20:C23)</f>
        <v>0</v>
      </c>
      <c r="D19" s="444">
        <f>SUM(D20:D23)</f>
        <v>0</v>
      </c>
      <c r="E19" s="444">
        <f>SUM(E20:E23)</f>
        <v>0</v>
      </c>
      <c r="F19" s="684" t="s">
        <v>751</v>
      </c>
    </row>
    <row r="20" spans="1:6" s="566" customFormat="1" ht="12" customHeight="1">
      <c r="A20" s="589" t="s">
        <v>77</v>
      </c>
      <c r="B20" s="365" t="s">
        <v>319</v>
      </c>
      <c r="C20" s="441">
        <v>0</v>
      </c>
      <c r="D20" s="606">
        <v>0</v>
      </c>
      <c r="E20" s="115">
        <v>0</v>
      </c>
      <c r="F20" s="684" t="s">
        <v>752</v>
      </c>
    </row>
    <row r="21" spans="1:6" s="566" customFormat="1" ht="12" customHeight="1">
      <c r="A21" s="589" t="s">
        <v>78</v>
      </c>
      <c r="B21" s="364" t="s">
        <v>571</v>
      </c>
      <c r="C21" s="441">
        <v>0</v>
      </c>
      <c r="D21" s="606">
        <v>0</v>
      </c>
      <c r="E21" s="115">
        <v>0</v>
      </c>
      <c r="F21" s="684" t="s">
        <v>753</v>
      </c>
    </row>
    <row r="22" spans="1:6" s="566" customFormat="1" ht="12" customHeight="1">
      <c r="A22" s="589" t="s">
        <v>79</v>
      </c>
      <c r="B22" s="364" t="s">
        <v>572</v>
      </c>
      <c r="C22" s="441"/>
      <c r="D22" s="606">
        <v>0</v>
      </c>
      <c r="E22" s="115">
        <v>0</v>
      </c>
      <c r="F22" s="684" t="s">
        <v>754</v>
      </c>
    </row>
    <row r="23" spans="1:6" s="539" customFormat="1" ht="12" customHeight="1" thickBot="1">
      <c r="A23" s="589" t="s">
        <v>80</v>
      </c>
      <c r="B23" s="364" t="s">
        <v>692</v>
      </c>
      <c r="C23" s="441">
        <v>0</v>
      </c>
      <c r="D23" s="606">
        <v>0</v>
      </c>
      <c r="E23" s="115">
        <v>0</v>
      </c>
      <c r="F23" s="684" t="s">
        <v>755</v>
      </c>
    </row>
    <row r="24" spans="1:6" s="539" customFormat="1" ht="12" customHeight="1" thickBot="1">
      <c r="A24" s="576" t="s">
        <v>8</v>
      </c>
      <c r="B24" s="384" t="s">
        <v>124</v>
      </c>
      <c r="C24" s="41">
        <v>0</v>
      </c>
      <c r="D24" s="608">
        <v>0</v>
      </c>
      <c r="E24" s="582">
        <v>0</v>
      </c>
      <c r="F24" s="684" t="s">
        <v>756</v>
      </c>
    </row>
    <row r="25" spans="1:6" s="539" customFormat="1" ht="12" customHeight="1" thickBot="1">
      <c r="A25" s="576" t="s">
        <v>9</v>
      </c>
      <c r="B25" s="384" t="s">
        <v>573</v>
      </c>
      <c r="C25" s="444">
        <f>SUM(C26:C27)</f>
        <v>0</v>
      </c>
      <c r="D25" s="444">
        <f>SUM(D26:D27)</f>
        <v>0</v>
      </c>
      <c r="E25" s="444">
        <f>SUM(E26:E27)</f>
        <v>0</v>
      </c>
      <c r="F25" s="684" t="s">
        <v>757</v>
      </c>
    </row>
    <row r="26" spans="1:6" s="539" customFormat="1" ht="12" customHeight="1">
      <c r="A26" s="590" t="s">
        <v>333</v>
      </c>
      <c r="B26" s="591" t="s">
        <v>571</v>
      </c>
      <c r="C26" s="103">
        <v>0</v>
      </c>
      <c r="D26" s="597">
        <v>0</v>
      </c>
      <c r="E26" s="570">
        <v>0</v>
      </c>
      <c r="F26" s="684" t="s">
        <v>758</v>
      </c>
    </row>
    <row r="27" spans="1:6" s="539" customFormat="1" ht="12" customHeight="1">
      <c r="A27" s="590" t="s">
        <v>339</v>
      </c>
      <c r="B27" s="592" t="s">
        <v>574</v>
      </c>
      <c r="C27" s="445"/>
      <c r="D27" s="609">
        <v>0</v>
      </c>
      <c r="E27" s="569">
        <v>0</v>
      </c>
      <c r="F27" s="684" t="s">
        <v>759</v>
      </c>
    </row>
    <row r="28" spans="1:6" s="539" customFormat="1" ht="12" customHeight="1" thickBot="1">
      <c r="A28" s="589" t="s">
        <v>341</v>
      </c>
      <c r="B28" s="593" t="s">
        <v>693</v>
      </c>
      <c r="C28" s="573">
        <v>0</v>
      </c>
      <c r="D28" s="610">
        <v>0</v>
      </c>
      <c r="E28" s="568">
        <v>0</v>
      </c>
      <c r="F28" s="684" t="s">
        <v>760</v>
      </c>
    </row>
    <row r="29" spans="1:6" s="539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444">
        <f>SUM(E30:E32)</f>
        <v>0</v>
      </c>
      <c r="F29" s="684" t="s">
        <v>761</v>
      </c>
    </row>
    <row r="30" spans="1:6" s="539" customFormat="1" ht="12" customHeight="1">
      <c r="A30" s="590" t="s">
        <v>64</v>
      </c>
      <c r="B30" s="591" t="s">
        <v>359</v>
      </c>
      <c r="C30" s="103">
        <v>0</v>
      </c>
      <c r="D30" s="597">
        <v>0</v>
      </c>
      <c r="E30" s="570">
        <v>0</v>
      </c>
      <c r="F30" s="684" t="s">
        <v>762</v>
      </c>
    </row>
    <row r="31" spans="1:6" s="539" customFormat="1" ht="12" customHeight="1">
      <c r="A31" s="590" t="s">
        <v>65</v>
      </c>
      <c r="B31" s="592" t="s">
        <v>360</v>
      </c>
      <c r="C31" s="445">
        <v>0</v>
      </c>
      <c r="D31" s="609">
        <v>0</v>
      </c>
      <c r="E31" s="569">
        <v>0</v>
      </c>
      <c r="F31" s="684" t="s">
        <v>763</v>
      </c>
    </row>
    <row r="32" spans="1:6" s="539" customFormat="1" ht="12" customHeight="1" thickBot="1">
      <c r="A32" s="589" t="s">
        <v>66</v>
      </c>
      <c r="B32" s="575" t="s">
        <v>362</v>
      </c>
      <c r="C32" s="573"/>
      <c r="D32" s="610">
        <v>0</v>
      </c>
      <c r="E32" s="568">
        <v>0</v>
      </c>
      <c r="F32" s="684" t="s">
        <v>764</v>
      </c>
    </row>
    <row r="33" spans="1:6" s="539" customFormat="1" ht="12" customHeight="1" thickBot="1">
      <c r="A33" s="576" t="s">
        <v>11</v>
      </c>
      <c r="B33" s="384" t="s">
        <v>487</v>
      </c>
      <c r="C33" s="41">
        <v>0</v>
      </c>
      <c r="D33" s="608">
        <v>0</v>
      </c>
      <c r="E33" s="582">
        <v>0</v>
      </c>
      <c r="F33" s="684" t="s">
        <v>765</v>
      </c>
    </row>
    <row r="34" spans="1:6" s="539" customFormat="1" ht="12" customHeight="1" thickBot="1">
      <c r="A34" s="576" t="s">
        <v>12</v>
      </c>
      <c r="B34" s="384" t="s">
        <v>576</v>
      </c>
      <c r="C34" s="41">
        <v>0</v>
      </c>
      <c r="D34" s="608">
        <v>0</v>
      </c>
      <c r="E34" s="582">
        <v>0</v>
      </c>
      <c r="F34" s="684" t="s">
        <v>766</v>
      </c>
    </row>
    <row r="35" spans="1:6" s="539" customFormat="1" ht="12" customHeight="1" thickBot="1">
      <c r="A35" s="513" t="s">
        <v>13</v>
      </c>
      <c r="B35" s="384" t="s">
        <v>577</v>
      </c>
      <c r="C35" s="444">
        <f>C8+C19+C24+C25+C29+C33+C34</f>
        <v>0</v>
      </c>
      <c r="D35" s="444">
        <f>D8+D19+D24+D25+D29+D33+D34</f>
        <v>622622</v>
      </c>
      <c r="E35" s="444">
        <f>E8+E19+E24+E25+E29+E33+E34</f>
        <v>622622</v>
      </c>
      <c r="F35" s="684" t="s">
        <v>767</v>
      </c>
    </row>
    <row r="36" spans="1:6" s="566" customFormat="1" ht="12" customHeight="1" thickBot="1">
      <c r="A36" s="578" t="s">
        <v>14</v>
      </c>
      <c r="B36" s="384" t="s">
        <v>578</v>
      </c>
      <c r="C36" s="444">
        <f>SUM(C37:C39)</f>
        <v>42416783</v>
      </c>
      <c r="D36" s="444">
        <f>SUM(D37:D39)</f>
        <v>44373966</v>
      </c>
      <c r="E36" s="444">
        <f>SUM(E37:E39)</f>
        <v>38672662</v>
      </c>
      <c r="F36" s="684" t="s">
        <v>768</v>
      </c>
    </row>
    <row r="37" spans="1:6" s="566" customFormat="1" ht="15" customHeight="1">
      <c r="A37" s="590" t="s">
        <v>579</v>
      </c>
      <c r="B37" s="591" t="s">
        <v>167</v>
      </c>
      <c r="C37" s="103">
        <v>486482</v>
      </c>
      <c r="D37" s="597">
        <v>595232</v>
      </c>
      <c r="E37" s="570">
        <v>595232</v>
      </c>
      <c r="F37" s="684" t="s">
        <v>769</v>
      </c>
    </row>
    <row r="38" spans="1:6" s="566" customFormat="1" ht="15" customHeight="1">
      <c r="A38" s="590" t="s">
        <v>580</v>
      </c>
      <c r="B38" s="592" t="s">
        <v>2</v>
      </c>
      <c r="C38" s="445"/>
      <c r="D38" s="609"/>
      <c r="E38" s="569"/>
      <c r="F38" s="684" t="s">
        <v>770</v>
      </c>
    </row>
    <row r="39" spans="1:6" ht="16.5" thickBot="1">
      <c r="A39" s="589" t="s">
        <v>581</v>
      </c>
      <c r="B39" s="575" t="s">
        <v>582</v>
      </c>
      <c r="C39" s="573">
        <v>41930301</v>
      </c>
      <c r="D39" s="610">
        <v>43778734</v>
      </c>
      <c r="E39" s="568">
        <v>38077430</v>
      </c>
      <c r="F39" s="684" t="s">
        <v>771</v>
      </c>
    </row>
    <row r="40" spans="1:6" s="565" customFormat="1" ht="16.5" customHeight="1" thickBot="1">
      <c r="A40" s="578" t="s">
        <v>15</v>
      </c>
      <c r="B40" s="579" t="s">
        <v>583</v>
      </c>
      <c r="C40" s="109">
        <f>C35+C36</f>
        <v>42416783</v>
      </c>
      <c r="D40" s="109">
        <f>D35+D36</f>
        <v>44996588</v>
      </c>
      <c r="E40" s="109">
        <f>E35+E36</f>
        <v>39295284</v>
      </c>
      <c r="F40" s="684" t="s">
        <v>772</v>
      </c>
    </row>
    <row r="41" spans="1:6" s="339" customFormat="1" ht="12" customHeight="1">
      <c r="A41" s="521"/>
      <c r="B41" s="522"/>
      <c r="C41" s="537"/>
      <c r="D41" s="537"/>
      <c r="E41" s="537"/>
      <c r="F41" s="684"/>
    </row>
    <row r="42" spans="1:6" ht="12" customHeight="1" thickBot="1">
      <c r="A42" s="523"/>
      <c r="B42" s="524"/>
      <c r="C42" s="538"/>
      <c r="D42" s="538"/>
      <c r="E42" s="538"/>
      <c r="F42" s="684"/>
    </row>
    <row r="43" spans="1:6" ht="12" customHeight="1" thickBot="1">
      <c r="A43" s="797" t="s">
        <v>44</v>
      </c>
      <c r="B43" s="798"/>
      <c r="C43" s="798"/>
      <c r="D43" s="798"/>
      <c r="E43" s="799"/>
      <c r="F43" s="565"/>
    </row>
    <row r="44" spans="1:6" ht="12" customHeight="1" thickBot="1">
      <c r="A44" s="576" t="s">
        <v>6</v>
      </c>
      <c r="B44" s="384" t="s">
        <v>584</v>
      </c>
      <c r="C44" s="444">
        <f>SUM(C45:C49)</f>
        <v>42116783</v>
      </c>
      <c r="D44" s="444">
        <f>SUM(D45:D49)</f>
        <v>44696588</v>
      </c>
      <c r="E44" s="444">
        <f>SUM(E45:E49)</f>
        <v>38051090</v>
      </c>
      <c r="F44" s="684" t="s">
        <v>740</v>
      </c>
    </row>
    <row r="45" spans="1:6" ht="12" customHeight="1">
      <c r="A45" s="589" t="s">
        <v>71</v>
      </c>
      <c r="B45" s="365" t="s">
        <v>36</v>
      </c>
      <c r="C45" s="103">
        <v>28462900</v>
      </c>
      <c r="D45" s="103">
        <v>30052900</v>
      </c>
      <c r="E45" s="570">
        <v>27584493</v>
      </c>
      <c r="F45" s="684" t="s">
        <v>741</v>
      </c>
    </row>
    <row r="46" spans="1:6" ht="12" customHeight="1">
      <c r="A46" s="589" t="s">
        <v>72</v>
      </c>
      <c r="B46" s="364" t="s">
        <v>133</v>
      </c>
      <c r="C46" s="438">
        <v>7896383</v>
      </c>
      <c r="D46" s="438">
        <v>8018649</v>
      </c>
      <c r="E46" s="594">
        <v>6324349</v>
      </c>
      <c r="F46" s="684" t="s">
        <v>742</v>
      </c>
    </row>
    <row r="47" spans="1:6" ht="12" customHeight="1">
      <c r="A47" s="589" t="s">
        <v>73</v>
      </c>
      <c r="B47" s="364" t="s">
        <v>100</v>
      </c>
      <c r="C47" s="438">
        <v>5757500</v>
      </c>
      <c r="D47" s="438">
        <v>6625039</v>
      </c>
      <c r="E47" s="594">
        <v>4142248</v>
      </c>
      <c r="F47" s="684" t="s">
        <v>743</v>
      </c>
    </row>
    <row r="48" spans="1:6" s="339" customFormat="1" ht="12" customHeight="1">
      <c r="A48" s="589" t="s">
        <v>74</v>
      </c>
      <c r="B48" s="364" t="s">
        <v>134</v>
      </c>
      <c r="C48" s="438"/>
      <c r="D48" s="438"/>
      <c r="E48" s="594"/>
      <c r="F48" s="684" t="s">
        <v>744</v>
      </c>
    </row>
    <row r="49" spans="1:6" ht="12" customHeight="1" thickBot="1">
      <c r="A49" s="589" t="s">
        <v>107</v>
      </c>
      <c r="B49" s="364" t="s">
        <v>135</v>
      </c>
      <c r="C49" s="438"/>
      <c r="D49" s="438"/>
      <c r="E49" s="594"/>
      <c r="F49" s="684" t="s">
        <v>745</v>
      </c>
    </row>
    <row r="50" spans="1:6" ht="12" customHeight="1" thickBot="1">
      <c r="A50" s="576" t="s">
        <v>7</v>
      </c>
      <c r="B50" s="384" t="s">
        <v>585</v>
      </c>
      <c r="C50" s="444">
        <f>SUM(C51:C53)</f>
        <v>300000</v>
      </c>
      <c r="D50" s="444">
        <f>SUM(D51:D53)</f>
        <v>300000</v>
      </c>
      <c r="E50" s="444">
        <f>SUM(E51:E53)</f>
        <v>178303</v>
      </c>
      <c r="F50" s="444">
        <f>SUM(F51:F53)</f>
        <v>0</v>
      </c>
    </row>
    <row r="51" spans="1:6" ht="12" customHeight="1">
      <c r="A51" s="589" t="s">
        <v>77</v>
      </c>
      <c r="B51" s="365" t="s">
        <v>157</v>
      </c>
      <c r="C51" s="103">
        <v>300000</v>
      </c>
      <c r="D51" s="103">
        <v>300000</v>
      </c>
      <c r="E51" s="570">
        <v>178303</v>
      </c>
      <c r="F51" s="684" t="s">
        <v>747</v>
      </c>
    </row>
    <row r="52" spans="1:6" ht="12" customHeight="1">
      <c r="A52" s="589" t="s">
        <v>78</v>
      </c>
      <c r="B52" s="364" t="s">
        <v>137</v>
      </c>
      <c r="C52" s="438"/>
      <c r="D52" s="438"/>
      <c r="E52" s="594"/>
      <c r="F52" s="684" t="s">
        <v>748</v>
      </c>
    </row>
    <row r="53" spans="1:6" ht="15" customHeight="1">
      <c r="A53" s="589" t="s">
        <v>79</v>
      </c>
      <c r="B53" s="364" t="s">
        <v>45</v>
      </c>
      <c r="C53" s="438">
        <v>0</v>
      </c>
      <c r="D53" s="438">
        <v>0</v>
      </c>
      <c r="E53" s="594">
        <v>0</v>
      </c>
      <c r="F53" s="684" t="s">
        <v>749</v>
      </c>
    </row>
    <row r="54" spans="1:6" ht="16.5" thickBot="1">
      <c r="A54" s="589" t="s">
        <v>80</v>
      </c>
      <c r="B54" s="364" t="s">
        <v>694</v>
      </c>
      <c r="C54" s="438">
        <v>0</v>
      </c>
      <c r="D54" s="438">
        <v>0</v>
      </c>
      <c r="E54" s="594">
        <v>0</v>
      </c>
      <c r="F54" s="684" t="s">
        <v>750</v>
      </c>
    </row>
    <row r="55" spans="1:6" ht="15" customHeight="1" thickBot="1">
      <c r="A55" s="576" t="s">
        <v>8</v>
      </c>
      <c r="B55" s="580" t="s">
        <v>586</v>
      </c>
      <c r="C55" s="109">
        <f>C44+C50</f>
        <v>42416783</v>
      </c>
      <c r="D55" s="109">
        <f>D44+D50</f>
        <v>44996588</v>
      </c>
      <c r="E55" s="109">
        <f>E44+E50</f>
        <v>38229393</v>
      </c>
      <c r="F55" s="684" t="s">
        <v>751</v>
      </c>
    </row>
    <row r="56" spans="3:6" ht="16.5" thickBot="1">
      <c r="C56" s="585"/>
      <c r="D56" s="585"/>
      <c r="E56" s="585"/>
      <c r="F56" s="684"/>
    </row>
    <row r="57" spans="1:6" ht="16.5" thickBot="1">
      <c r="A57" s="525" t="s">
        <v>682</v>
      </c>
      <c r="B57" s="526"/>
      <c r="C57" s="113">
        <v>9</v>
      </c>
      <c r="D57" s="113">
        <v>9</v>
      </c>
      <c r="E57" s="574">
        <v>9</v>
      </c>
      <c r="F57" s="684"/>
    </row>
    <row r="58" spans="1:6" ht="16.5" thickBot="1">
      <c r="A58" s="525" t="s">
        <v>149</v>
      </c>
      <c r="B58" s="526"/>
      <c r="C58" s="113"/>
      <c r="D58" s="113"/>
      <c r="E58" s="574"/>
      <c r="F58" s="684"/>
    </row>
    <row r="59" ht="15.75">
      <c r="F59" s="684"/>
    </row>
    <row r="60" ht="15.75">
      <c r="F60" s="684"/>
    </row>
    <row r="61" ht="15.75">
      <c r="F61" s="684"/>
    </row>
    <row r="62" ht="15.75">
      <c r="F62" s="684"/>
    </row>
    <row r="63" ht="15.75">
      <c r="F63" s="684"/>
    </row>
    <row r="64" ht="15.75">
      <c r="F64" s="684"/>
    </row>
    <row r="65" ht="15.75">
      <c r="F65" s="684"/>
    </row>
    <row r="66" ht="15.75">
      <c r="F66" s="684"/>
    </row>
    <row r="67" ht="15.75">
      <c r="F67" s="684"/>
    </row>
    <row r="68" ht="15.75">
      <c r="F68" s="684"/>
    </row>
    <row r="69" ht="15.75">
      <c r="F69" s="684"/>
    </row>
    <row r="70" ht="15.75">
      <c r="F70" s="684"/>
    </row>
    <row r="71" ht="15.75">
      <c r="F71" s="684"/>
    </row>
    <row r="72" ht="15.75">
      <c r="F72" s="684"/>
    </row>
    <row r="73" ht="15.75">
      <c r="F73" s="684"/>
    </row>
    <row r="74" ht="15.75">
      <c r="F74" s="684"/>
    </row>
    <row r="75" ht="15.75">
      <c r="F75" s="684"/>
    </row>
    <row r="76" ht="15.75">
      <c r="F76" s="684"/>
    </row>
    <row r="77" ht="15.75">
      <c r="F77" s="684"/>
    </row>
    <row r="78" ht="15.75">
      <c r="F78" s="684"/>
    </row>
    <row r="79" ht="15.75">
      <c r="F79" s="684"/>
    </row>
    <row r="80" ht="15.75">
      <c r="F80" s="684"/>
    </row>
    <row r="81" ht="15.75">
      <c r="F81" s="684"/>
    </row>
    <row r="82" ht="15.75">
      <c r="F82" s="684"/>
    </row>
    <row r="83" ht="15.75">
      <c r="F83" s="684"/>
    </row>
    <row r="84" ht="15.75">
      <c r="F84" s="684"/>
    </row>
    <row r="85" ht="15.75">
      <c r="F85" s="684"/>
    </row>
    <row r="86" ht="15.75">
      <c r="F86" s="684"/>
    </row>
    <row r="87" ht="15.75">
      <c r="F87" s="684"/>
    </row>
    <row r="88" ht="15">
      <c r="F88" s="685"/>
    </row>
    <row r="90" ht="15.75">
      <c r="F90" s="684"/>
    </row>
    <row r="91" ht="12.75">
      <c r="F91" s="686"/>
    </row>
    <row r="92" ht="12.75">
      <c r="F92" s="686"/>
    </row>
    <row r="93" ht="12.75">
      <c r="F93" s="686"/>
    </row>
    <row r="94" ht="12.75">
      <c r="F94" s="686"/>
    </row>
    <row r="95" ht="12.75">
      <c r="F95" s="686"/>
    </row>
    <row r="96" ht="12.75">
      <c r="F96" s="686"/>
    </row>
    <row r="97" ht="12.75">
      <c r="F97" s="686"/>
    </row>
    <row r="98" ht="12.75">
      <c r="F98" s="686"/>
    </row>
    <row r="99" ht="12.75">
      <c r="F99" s="686"/>
    </row>
    <row r="100" ht="12.75">
      <c r="F100" s="686"/>
    </row>
    <row r="101" ht="12.75">
      <c r="F101" s="686"/>
    </row>
    <row r="102" ht="12.75">
      <c r="F102" s="686"/>
    </row>
    <row r="103" ht="12.75">
      <c r="F103" s="686"/>
    </row>
    <row r="104" ht="12.75">
      <c r="F104" s="686"/>
    </row>
    <row r="105" ht="12.75">
      <c r="F105" s="686"/>
    </row>
    <row r="106" ht="12.75">
      <c r="F106" s="686"/>
    </row>
    <row r="107" ht="12.75">
      <c r="F107" s="686"/>
    </row>
    <row r="108" ht="12.75">
      <c r="F108" s="686"/>
    </row>
    <row r="109" ht="12.75">
      <c r="F109" s="686"/>
    </row>
    <row r="110" ht="12.75">
      <c r="F110" s="686"/>
    </row>
    <row r="111" ht="12.75">
      <c r="F111" s="686"/>
    </row>
    <row r="112" ht="12.75">
      <c r="F112" s="686"/>
    </row>
    <row r="113" ht="12.75">
      <c r="F113" s="686"/>
    </row>
    <row r="114" ht="12.75">
      <c r="F114" s="686"/>
    </row>
    <row r="115" ht="12.75">
      <c r="F115" s="686"/>
    </row>
    <row r="116" ht="12.75">
      <c r="F116" s="686"/>
    </row>
    <row r="117" ht="12.75">
      <c r="F117" s="686"/>
    </row>
    <row r="118" ht="12.75">
      <c r="F118" s="686"/>
    </row>
    <row r="119" ht="12.75">
      <c r="F119" s="686"/>
    </row>
    <row r="120" ht="12.75">
      <c r="F120" s="686"/>
    </row>
    <row r="121" ht="12.75">
      <c r="F121" s="686"/>
    </row>
    <row r="122" ht="12.75">
      <c r="F122" s="686"/>
    </row>
    <row r="123" ht="12.75">
      <c r="F123" s="686"/>
    </row>
    <row r="124" ht="12.75">
      <c r="F124" s="686"/>
    </row>
    <row r="125" ht="12.75">
      <c r="F125" s="686"/>
    </row>
    <row r="126" ht="12.75">
      <c r="F126" s="686"/>
    </row>
    <row r="127" ht="12.75">
      <c r="F127" s="686"/>
    </row>
    <row r="128" ht="12.75">
      <c r="F128" s="686"/>
    </row>
    <row r="129" ht="12.75">
      <c r="F129" s="686"/>
    </row>
    <row r="130" ht="12.75">
      <c r="F130" s="686"/>
    </row>
    <row r="131" ht="12.75">
      <c r="F131" s="686"/>
    </row>
    <row r="132" ht="12.75">
      <c r="F132" s="686"/>
    </row>
    <row r="133" ht="12.75">
      <c r="F133" s="686"/>
    </row>
    <row r="134" ht="12.75">
      <c r="F134" s="686"/>
    </row>
    <row r="135" ht="12.75">
      <c r="F135" s="686"/>
    </row>
    <row r="136" ht="12.75">
      <c r="F136" s="686"/>
    </row>
    <row r="137" ht="12.75">
      <c r="F137" s="686"/>
    </row>
    <row r="138" ht="12.75">
      <c r="F138" s="686"/>
    </row>
    <row r="139" ht="12.75">
      <c r="F139" s="686"/>
    </row>
    <row r="140" ht="12.75">
      <c r="F140" s="686"/>
    </row>
    <row r="141" ht="12.75">
      <c r="F141" s="686"/>
    </row>
    <row r="142" ht="12.75">
      <c r="F142" s="686"/>
    </row>
    <row r="143" ht="12.75">
      <c r="F143" s="686"/>
    </row>
    <row r="144" ht="12.75">
      <c r="F144" s="686"/>
    </row>
    <row r="145" ht="12.75">
      <c r="F145" s="686"/>
    </row>
    <row r="146" ht="12.75">
      <c r="F146" s="686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8.625" style="581" customWidth="1"/>
    <col min="2" max="2" width="62.00390625" style="32" customWidth="1"/>
    <col min="3" max="5" width="15.875" style="32" customWidth="1"/>
    <col min="6" max="6" width="0" style="678" hidden="1" customWidth="1"/>
    <col min="7" max="16384" width="9.375" style="32" customWidth="1"/>
  </cols>
  <sheetData>
    <row r="1" spans="1:6" s="516" customFormat="1" ht="21" customHeight="1" thickBot="1">
      <c r="A1" s="515"/>
      <c r="B1" s="517"/>
      <c r="C1" s="562"/>
      <c r="D1" s="562"/>
      <c r="E1" s="658" t="str">
        <f>+CONCATENATE("8.2. melléklet a 6 /",LEFT(ÖSSZEFÜGGÉSEK!A4,4)+1,". (V.30.) önkormányzati rendelethez")</f>
        <v>8.2. melléklet a 6 /2018. (V.30.) önkormányzati rendelethez</v>
      </c>
      <c r="F1" s="681"/>
    </row>
    <row r="2" spans="1:6" s="563" customFormat="1" ht="25.5" customHeight="1">
      <c r="A2" s="543" t="s">
        <v>147</v>
      </c>
      <c r="B2" s="803" t="s">
        <v>822</v>
      </c>
      <c r="C2" s="804"/>
      <c r="D2" s="805"/>
      <c r="E2" s="586" t="s">
        <v>49</v>
      </c>
      <c r="F2" s="682"/>
    </row>
    <row r="3" spans="1:6" s="563" customFormat="1" ht="24.75" thickBot="1">
      <c r="A3" s="561" t="s">
        <v>146</v>
      </c>
      <c r="B3" s="800" t="s">
        <v>700</v>
      </c>
      <c r="C3" s="806"/>
      <c r="D3" s="807"/>
      <c r="E3" s="587" t="s">
        <v>48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39" customFormat="1" ht="12" customHeight="1" thickBot="1">
      <c r="A8" s="513" t="s">
        <v>6</v>
      </c>
      <c r="B8" s="577" t="s">
        <v>567</v>
      </c>
      <c r="C8" s="444">
        <f>SUM(C9:C18)</f>
        <v>0</v>
      </c>
      <c r="D8" s="444">
        <f>SUM(D9:D18)</f>
        <v>622622</v>
      </c>
      <c r="E8" s="444">
        <f>SUM(E9:E18)</f>
        <v>622622</v>
      </c>
      <c r="F8" s="684" t="s">
        <v>740</v>
      </c>
    </row>
    <row r="9" spans="1:6" s="539" customFormat="1" ht="12" customHeight="1">
      <c r="A9" s="588" t="s">
        <v>71</v>
      </c>
      <c r="B9" s="366" t="s">
        <v>346</v>
      </c>
      <c r="C9" s="106">
        <v>0</v>
      </c>
      <c r="D9" s="605">
        <v>0</v>
      </c>
      <c r="E9" s="572">
        <v>0</v>
      </c>
      <c r="F9" s="684" t="s">
        <v>741</v>
      </c>
    </row>
    <row r="10" spans="1:6" s="539" customFormat="1" ht="12" customHeight="1">
      <c r="A10" s="589" t="s">
        <v>72</v>
      </c>
      <c r="B10" s="364" t="s">
        <v>347</v>
      </c>
      <c r="C10" s="441"/>
      <c r="D10" s="606">
        <v>0</v>
      </c>
      <c r="E10" s="115">
        <v>0</v>
      </c>
      <c r="F10" s="684" t="s">
        <v>742</v>
      </c>
    </row>
    <row r="11" spans="1:6" s="539" customFormat="1" ht="12" customHeight="1">
      <c r="A11" s="589" t="s">
        <v>73</v>
      </c>
      <c r="B11" s="364" t="s">
        <v>348</v>
      </c>
      <c r="C11" s="441"/>
      <c r="D11" s="606">
        <v>0</v>
      </c>
      <c r="E11" s="115">
        <v>0</v>
      </c>
      <c r="F11" s="684" t="s">
        <v>743</v>
      </c>
    </row>
    <row r="12" spans="1:6" s="539" customFormat="1" ht="12" customHeight="1">
      <c r="A12" s="589" t="s">
        <v>74</v>
      </c>
      <c r="B12" s="364" t="s">
        <v>349</v>
      </c>
      <c r="C12" s="441"/>
      <c r="D12" s="606">
        <v>0</v>
      </c>
      <c r="E12" s="115">
        <v>0</v>
      </c>
      <c r="F12" s="684" t="s">
        <v>744</v>
      </c>
    </row>
    <row r="13" spans="1:6" s="539" customFormat="1" ht="12" customHeight="1">
      <c r="A13" s="589" t="s">
        <v>107</v>
      </c>
      <c r="B13" s="364" t="s">
        <v>350</v>
      </c>
      <c r="C13" s="441"/>
      <c r="D13" s="606">
        <v>0</v>
      </c>
      <c r="E13" s="115">
        <v>0</v>
      </c>
      <c r="F13" s="684" t="s">
        <v>745</v>
      </c>
    </row>
    <row r="14" spans="1:6" s="539" customFormat="1" ht="12" customHeight="1">
      <c r="A14" s="589" t="s">
        <v>75</v>
      </c>
      <c r="B14" s="364" t="s">
        <v>568</v>
      </c>
      <c r="C14" s="441"/>
      <c r="D14" s="606">
        <v>0</v>
      </c>
      <c r="E14" s="115">
        <v>0</v>
      </c>
      <c r="F14" s="684" t="s">
        <v>746</v>
      </c>
    </row>
    <row r="15" spans="1:6" s="566" customFormat="1" ht="12" customHeight="1">
      <c r="A15" s="589" t="s">
        <v>76</v>
      </c>
      <c r="B15" s="363" t="s">
        <v>569</v>
      </c>
      <c r="C15" s="441"/>
      <c r="D15" s="606">
        <v>0</v>
      </c>
      <c r="E15" s="115">
        <v>0</v>
      </c>
      <c r="F15" s="684" t="s">
        <v>747</v>
      </c>
    </row>
    <row r="16" spans="1:6" s="566" customFormat="1" ht="12" customHeight="1">
      <c r="A16" s="589" t="s">
        <v>84</v>
      </c>
      <c r="B16" s="364" t="s">
        <v>353</v>
      </c>
      <c r="C16" s="107"/>
      <c r="D16" s="607">
        <v>9119</v>
      </c>
      <c r="E16" s="571">
        <v>9119</v>
      </c>
      <c r="F16" s="684" t="s">
        <v>748</v>
      </c>
    </row>
    <row r="17" spans="1:6" s="539" customFormat="1" ht="12" customHeight="1">
      <c r="A17" s="589" t="s">
        <v>85</v>
      </c>
      <c r="B17" s="364" t="s">
        <v>355</v>
      </c>
      <c r="C17" s="441"/>
      <c r="D17" s="606">
        <v>0</v>
      </c>
      <c r="E17" s="115"/>
      <c r="F17" s="684" t="s">
        <v>749</v>
      </c>
    </row>
    <row r="18" spans="1:6" s="566" customFormat="1" ht="12" customHeight="1" thickBot="1">
      <c r="A18" s="589" t="s">
        <v>86</v>
      </c>
      <c r="B18" s="363" t="s">
        <v>357</v>
      </c>
      <c r="C18" s="443"/>
      <c r="D18" s="116">
        <v>613503</v>
      </c>
      <c r="E18" s="567">
        <v>613503</v>
      </c>
      <c r="F18" s="684" t="s">
        <v>750</v>
      </c>
    </row>
    <row r="19" spans="1:6" s="566" customFormat="1" ht="12" customHeight="1" thickBot="1">
      <c r="A19" s="513" t="s">
        <v>7</v>
      </c>
      <c r="B19" s="577" t="s">
        <v>570</v>
      </c>
      <c r="C19" s="444">
        <f>SUM(C20:C23)</f>
        <v>0</v>
      </c>
      <c r="D19" s="444">
        <f>SUM(D20:D23)</f>
        <v>0</v>
      </c>
      <c r="E19" s="444">
        <f>SUM(E20:E23)</f>
        <v>0</v>
      </c>
      <c r="F19" s="684" t="s">
        <v>751</v>
      </c>
    </row>
    <row r="20" spans="1:6" s="566" customFormat="1" ht="12" customHeight="1">
      <c r="A20" s="589" t="s">
        <v>77</v>
      </c>
      <c r="B20" s="365" t="s">
        <v>319</v>
      </c>
      <c r="C20" s="441">
        <v>0</v>
      </c>
      <c r="D20" s="606">
        <v>0</v>
      </c>
      <c r="E20" s="115">
        <v>0</v>
      </c>
      <c r="F20" s="684" t="s">
        <v>752</v>
      </c>
    </row>
    <row r="21" spans="1:6" s="566" customFormat="1" ht="12" customHeight="1">
      <c r="A21" s="589" t="s">
        <v>78</v>
      </c>
      <c r="B21" s="364" t="s">
        <v>571</v>
      </c>
      <c r="C21" s="441">
        <v>0</v>
      </c>
      <c r="D21" s="606">
        <v>0</v>
      </c>
      <c r="E21" s="115">
        <v>0</v>
      </c>
      <c r="F21" s="684" t="s">
        <v>753</v>
      </c>
    </row>
    <row r="22" spans="1:6" s="566" customFormat="1" ht="12" customHeight="1">
      <c r="A22" s="589" t="s">
        <v>79</v>
      </c>
      <c r="B22" s="364" t="s">
        <v>572</v>
      </c>
      <c r="C22" s="441"/>
      <c r="D22" s="606">
        <v>0</v>
      </c>
      <c r="E22" s="115">
        <v>0</v>
      </c>
      <c r="F22" s="684" t="s">
        <v>754</v>
      </c>
    </row>
    <row r="23" spans="1:6" s="539" customFormat="1" ht="12" customHeight="1" thickBot="1">
      <c r="A23" s="589" t="s">
        <v>80</v>
      </c>
      <c r="B23" s="364" t="s">
        <v>692</v>
      </c>
      <c r="C23" s="441">
        <v>0</v>
      </c>
      <c r="D23" s="606">
        <v>0</v>
      </c>
      <c r="E23" s="115">
        <v>0</v>
      </c>
      <c r="F23" s="684" t="s">
        <v>755</v>
      </c>
    </row>
    <row r="24" spans="1:6" s="539" customFormat="1" ht="12" customHeight="1" thickBot="1">
      <c r="A24" s="576" t="s">
        <v>8</v>
      </c>
      <c r="B24" s="384" t="s">
        <v>124</v>
      </c>
      <c r="C24" s="41">
        <v>0</v>
      </c>
      <c r="D24" s="608">
        <v>0</v>
      </c>
      <c r="E24" s="582">
        <v>0</v>
      </c>
      <c r="F24" s="684" t="s">
        <v>756</v>
      </c>
    </row>
    <row r="25" spans="1:6" s="539" customFormat="1" ht="12" customHeight="1" thickBot="1">
      <c r="A25" s="576" t="s">
        <v>9</v>
      </c>
      <c r="B25" s="384" t="s">
        <v>573</v>
      </c>
      <c r="C25" s="444">
        <f>SUM(C26:C27)</f>
        <v>0</v>
      </c>
      <c r="D25" s="444">
        <f>SUM(D26:D27)</f>
        <v>0</v>
      </c>
      <c r="E25" s="444">
        <f>SUM(E26:E27)</f>
        <v>0</v>
      </c>
      <c r="F25" s="684" t="s">
        <v>757</v>
      </c>
    </row>
    <row r="26" spans="1:6" s="539" customFormat="1" ht="12" customHeight="1">
      <c r="A26" s="590" t="s">
        <v>333</v>
      </c>
      <c r="B26" s="591" t="s">
        <v>571</v>
      </c>
      <c r="C26" s="103">
        <v>0</v>
      </c>
      <c r="D26" s="597">
        <v>0</v>
      </c>
      <c r="E26" s="570">
        <v>0</v>
      </c>
      <c r="F26" s="684" t="s">
        <v>758</v>
      </c>
    </row>
    <row r="27" spans="1:6" s="539" customFormat="1" ht="12" customHeight="1">
      <c r="A27" s="590" t="s">
        <v>339</v>
      </c>
      <c r="B27" s="592" t="s">
        <v>574</v>
      </c>
      <c r="C27" s="445"/>
      <c r="D27" s="609">
        <v>0</v>
      </c>
      <c r="E27" s="569">
        <v>0</v>
      </c>
      <c r="F27" s="684" t="s">
        <v>759</v>
      </c>
    </row>
    <row r="28" spans="1:6" s="539" customFormat="1" ht="12" customHeight="1" thickBot="1">
      <c r="A28" s="589" t="s">
        <v>341</v>
      </c>
      <c r="B28" s="593" t="s">
        <v>693</v>
      </c>
      <c r="C28" s="573">
        <v>0</v>
      </c>
      <c r="D28" s="610">
        <v>0</v>
      </c>
      <c r="E28" s="568">
        <v>0</v>
      </c>
      <c r="F28" s="684" t="s">
        <v>760</v>
      </c>
    </row>
    <row r="29" spans="1:6" s="539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444">
        <f>SUM(E30:E32)</f>
        <v>0</v>
      </c>
      <c r="F29" s="684" t="s">
        <v>761</v>
      </c>
    </row>
    <row r="30" spans="1:6" s="539" customFormat="1" ht="12" customHeight="1">
      <c r="A30" s="590" t="s">
        <v>64</v>
      </c>
      <c r="B30" s="591" t="s">
        <v>359</v>
      </c>
      <c r="C30" s="103">
        <v>0</v>
      </c>
      <c r="D30" s="597">
        <v>0</v>
      </c>
      <c r="E30" s="570">
        <v>0</v>
      </c>
      <c r="F30" s="684" t="s">
        <v>762</v>
      </c>
    </row>
    <row r="31" spans="1:6" s="539" customFormat="1" ht="12" customHeight="1">
      <c r="A31" s="590" t="s">
        <v>65</v>
      </c>
      <c r="B31" s="592" t="s">
        <v>360</v>
      </c>
      <c r="C31" s="445">
        <v>0</v>
      </c>
      <c r="D31" s="609">
        <v>0</v>
      </c>
      <c r="E31" s="569">
        <v>0</v>
      </c>
      <c r="F31" s="684" t="s">
        <v>763</v>
      </c>
    </row>
    <row r="32" spans="1:6" s="539" customFormat="1" ht="12" customHeight="1" thickBot="1">
      <c r="A32" s="589" t="s">
        <v>66</v>
      </c>
      <c r="B32" s="575" t="s">
        <v>362</v>
      </c>
      <c r="C32" s="573"/>
      <c r="D32" s="610">
        <v>0</v>
      </c>
      <c r="E32" s="568">
        <v>0</v>
      </c>
      <c r="F32" s="684" t="s">
        <v>764</v>
      </c>
    </row>
    <row r="33" spans="1:6" s="539" customFormat="1" ht="12" customHeight="1" thickBot="1">
      <c r="A33" s="576" t="s">
        <v>11</v>
      </c>
      <c r="B33" s="384" t="s">
        <v>487</v>
      </c>
      <c r="C33" s="41">
        <v>0</v>
      </c>
      <c r="D33" s="608">
        <v>0</v>
      </c>
      <c r="E33" s="582">
        <v>0</v>
      </c>
      <c r="F33" s="684" t="s">
        <v>765</v>
      </c>
    </row>
    <row r="34" spans="1:6" s="539" customFormat="1" ht="12" customHeight="1" thickBot="1">
      <c r="A34" s="576" t="s">
        <v>12</v>
      </c>
      <c r="B34" s="384" t="s">
        <v>576</v>
      </c>
      <c r="C34" s="41">
        <v>0</v>
      </c>
      <c r="D34" s="608">
        <v>0</v>
      </c>
      <c r="E34" s="582">
        <v>0</v>
      </c>
      <c r="F34" s="684" t="s">
        <v>766</v>
      </c>
    </row>
    <row r="35" spans="1:6" s="539" customFormat="1" ht="12" customHeight="1" thickBot="1">
      <c r="A35" s="513" t="s">
        <v>13</v>
      </c>
      <c r="B35" s="384" t="s">
        <v>577</v>
      </c>
      <c r="C35" s="444">
        <f>C8+C19+C24+C25+C29+C33+C34</f>
        <v>0</v>
      </c>
      <c r="D35" s="444">
        <f>D8+D19+D24+D25+D29+D33+D34</f>
        <v>622622</v>
      </c>
      <c r="E35" s="444">
        <f>E8+E19+E24+E25+E29+E33+E34</f>
        <v>622622</v>
      </c>
      <c r="F35" s="684" t="s">
        <v>767</v>
      </c>
    </row>
    <row r="36" spans="1:6" s="566" customFormat="1" ht="12" customHeight="1" thickBot="1">
      <c r="A36" s="578" t="s">
        <v>14</v>
      </c>
      <c r="B36" s="384" t="s">
        <v>578</v>
      </c>
      <c r="C36" s="444">
        <f>SUM(C37:C39)</f>
        <v>42416783</v>
      </c>
      <c r="D36" s="444">
        <f>SUM(D37:D39)</f>
        <v>44373966</v>
      </c>
      <c r="E36" s="444">
        <f>SUM(E37:E39)</f>
        <v>38672662</v>
      </c>
      <c r="F36" s="684" t="s">
        <v>768</v>
      </c>
    </row>
    <row r="37" spans="1:6" s="566" customFormat="1" ht="15" customHeight="1">
      <c r="A37" s="590" t="s">
        <v>579</v>
      </c>
      <c r="B37" s="591" t="s">
        <v>167</v>
      </c>
      <c r="C37" s="103">
        <v>486482</v>
      </c>
      <c r="D37" s="597">
        <v>595232</v>
      </c>
      <c r="E37" s="570">
        <v>595232</v>
      </c>
      <c r="F37" s="684" t="s">
        <v>769</v>
      </c>
    </row>
    <row r="38" spans="1:6" s="566" customFormat="1" ht="15" customHeight="1">
      <c r="A38" s="590" t="s">
        <v>580</v>
      </c>
      <c r="B38" s="592" t="s">
        <v>2</v>
      </c>
      <c r="C38" s="445"/>
      <c r="D38" s="609"/>
      <c r="E38" s="569"/>
      <c r="F38" s="684" t="s">
        <v>770</v>
      </c>
    </row>
    <row r="39" spans="1:6" ht="16.5" thickBot="1">
      <c r="A39" s="589" t="s">
        <v>581</v>
      </c>
      <c r="B39" s="575" t="s">
        <v>582</v>
      </c>
      <c r="C39" s="573">
        <v>41930301</v>
      </c>
      <c r="D39" s="610">
        <v>43778734</v>
      </c>
      <c r="E39" s="568">
        <v>38077430</v>
      </c>
      <c r="F39" s="684" t="s">
        <v>771</v>
      </c>
    </row>
    <row r="40" spans="1:6" s="565" customFormat="1" ht="16.5" customHeight="1" thickBot="1">
      <c r="A40" s="578" t="s">
        <v>15</v>
      </c>
      <c r="B40" s="579" t="s">
        <v>583</v>
      </c>
      <c r="C40" s="109">
        <f>C35+C36</f>
        <v>42416783</v>
      </c>
      <c r="D40" s="109">
        <f>D35+D36</f>
        <v>44996588</v>
      </c>
      <c r="E40" s="109">
        <f>E35+E36</f>
        <v>39295284</v>
      </c>
      <c r="F40" s="684" t="s">
        <v>772</v>
      </c>
    </row>
    <row r="41" spans="1:6" s="339" customFormat="1" ht="12" customHeight="1">
      <c r="A41" s="521"/>
      <c r="B41" s="522"/>
      <c r="C41" s="537"/>
      <c r="D41" s="537"/>
      <c r="E41" s="537"/>
      <c r="F41" s="684"/>
    </row>
    <row r="42" spans="1:6" ht="12" customHeight="1" thickBot="1">
      <c r="A42" s="523"/>
      <c r="B42" s="524"/>
      <c r="C42" s="538"/>
      <c r="D42" s="538"/>
      <c r="E42" s="538"/>
      <c r="F42" s="684"/>
    </row>
    <row r="43" spans="1:6" ht="12" customHeight="1" thickBot="1">
      <c r="A43" s="797" t="s">
        <v>44</v>
      </c>
      <c r="B43" s="798"/>
      <c r="C43" s="798"/>
      <c r="D43" s="798"/>
      <c r="E43" s="799"/>
      <c r="F43" s="565"/>
    </row>
    <row r="44" spans="1:6" ht="12" customHeight="1" thickBot="1">
      <c r="A44" s="576" t="s">
        <v>6</v>
      </c>
      <c r="B44" s="384" t="s">
        <v>584</v>
      </c>
      <c r="C44" s="444">
        <f>SUM(C45:C49)</f>
        <v>42116783</v>
      </c>
      <c r="D44" s="444">
        <f>SUM(D45:D49)</f>
        <v>44696588</v>
      </c>
      <c r="E44" s="444">
        <f>SUM(E45:E49)</f>
        <v>38051090</v>
      </c>
      <c r="F44" s="684" t="s">
        <v>740</v>
      </c>
    </row>
    <row r="45" spans="1:6" ht="12" customHeight="1">
      <c r="A45" s="589" t="s">
        <v>71</v>
      </c>
      <c r="B45" s="365" t="s">
        <v>36</v>
      </c>
      <c r="C45" s="103">
        <v>28462900</v>
      </c>
      <c r="D45" s="103">
        <v>30052900</v>
      </c>
      <c r="E45" s="570">
        <v>27584493</v>
      </c>
      <c r="F45" s="684" t="s">
        <v>741</v>
      </c>
    </row>
    <row r="46" spans="1:6" ht="12" customHeight="1">
      <c r="A46" s="589" t="s">
        <v>72</v>
      </c>
      <c r="B46" s="364" t="s">
        <v>133</v>
      </c>
      <c r="C46" s="438">
        <v>7896383</v>
      </c>
      <c r="D46" s="438">
        <v>8018649</v>
      </c>
      <c r="E46" s="594">
        <v>6324349</v>
      </c>
      <c r="F46" s="684" t="s">
        <v>742</v>
      </c>
    </row>
    <row r="47" spans="1:6" ht="12" customHeight="1">
      <c r="A47" s="589" t="s">
        <v>73</v>
      </c>
      <c r="B47" s="364" t="s">
        <v>100</v>
      </c>
      <c r="C47" s="438">
        <v>5757500</v>
      </c>
      <c r="D47" s="438">
        <v>6625039</v>
      </c>
      <c r="E47" s="594">
        <v>4142248</v>
      </c>
      <c r="F47" s="684" t="s">
        <v>743</v>
      </c>
    </row>
    <row r="48" spans="1:6" s="339" customFormat="1" ht="12" customHeight="1">
      <c r="A48" s="589" t="s">
        <v>74</v>
      </c>
      <c r="B48" s="364" t="s">
        <v>134</v>
      </c>
      <c r="C48" s="438"/>
      <c r="D48" s="438"/>
      <c r="E48" s="594"/>
      <c r="F48" s="684" t="s">
        <v>744</v>
      </c>
    </row>
    <row r="49" spans="1:6" ht="12" customHeight="1" thickBot="1">
      <c r="A49" s="589" t="s">
        <v>107</v>
      </c>
      <c r="B49" s="364" t="s">
        <v>135</v>
      </c>
      <c r="C49" s="438"/>
      <c r="D49" s="438"/>
      <c r="E49" s="594"/>
      <c r="F49" s="684" t="s">
        <v>745</v>
      </c>
    </row>
    <row r="50" spans="1:6" ht="12" customHeight="1" thickBot="1">
      <c r="A50" s="576" t="s">
        <v>7</v>
      </c>
      <c r="B50" s="384" t="s">
        <v>585</v>
      </c>
      <c r="C50" s="444">
        <f>SUM(C51:C53)</f>
        <v>300000</v>
      </c>
      <c r="D50" s="444">
        <f>SUM(D51:D53)</f>
        <v>300000</v>
      </c>
      <c r="E50" s="444">
        <f>SUM(E51:E53)</f>
        <v>178303</v>
      </c>
      <c r="F50" s="444">
        <f>SUM(F51:F53)</f>
        <v>0</v>
      </c>
    </row>
    <row r="51" spans="1:6" ht="12" customHeight="1">
      <c r="A51" s="589" t="s">
        <v>77</v>
      </c>
      <c r="B51" s="365" t="s">
        <v>157</v>
      </c>
      <c r="C51" s="103">
        <v>300000</v>
      </c>
      <c r="D51" s="103">
        <v>300000</v>
      </c>
      <c r="E51" s="570">
        <v>178303</v>
      </c>
      <c r="F51" s="684" t="s">
        <v>747</v>
      </c>
    </row>
    <row r="52" spans="1:6" ht="12" customHeight="1">
      <c r="A52" s="589" t="s">
        <v>78</v>
      </c>
      <c r="B52" s="364" t="s">
        <v>137</v>
      </c>
      <c r="C52" s="438"/>
      <c r="D52" s="438"/>
      <c r="E52" s="594"/>
      <c r="F52" s="684" t="s">
        <v>748</v>
      </c>
    </row>
    <row r="53" spans="1:6" ht="15" customHeight="1">
      <c r="A53" s="589" t="s">
        <v>79</v>
      </c>
      <c r="B53" s="364" t="s">
        <v>45</v>
      </c>
      <c r="C53" s="438">
        <v>0</v>
      </c>
      <c r="D53" s="438">
        <v>0</v>
      </c>
      <c r="E53" s="594">
        <v>0</v>
      </c>
      <c r="F53" s="684" t="s">
        <v>749</v>
      </c>
    </row>
    <row r="54" spans="1:6" ht="16.5" thickBot="1">
      <c r="A54" s="589" t="s">
        <v>80</v>
      </c>
      <c r="B54" s="364" t="s">
        <v>694</v>
      </c>
      <c r="C54" s="438">
        <v>0</v>
      </c>
      <c r="D54" s="438">
        <v>0</v>
      </c>
      <c r="E54" s="594">
        <v>0</v>
      </c>
      <c r="F54" s="684" t="s">
        <v>750</v>
      </c>
    </row>
    <row r="55" spans="1:6" ht="15" customHeight="1" thickBot="1">
      <c r="A55" s="576" t="s">
        <v>8</v>
      </c>
      <c r="B55" s="580" t="s">
        <v>586</v>
      </c>
      <c r="C55" s="109">
        <f>C44+C50</f>
        <v>42416783</v>
      </c>
      <c r="D55" s="109">
        <f>D44+D50</f>
        <v>44996588</v>
      </c>
      <c r="E55" s="109">
        <f>E44+E50</f>
        <v>38229393</v>
      </c>
      <c r="F55" s="684" t="s">
        <v>751</v>
      </c>
    </row>
    <row r="56" spans="3:6" ht="16.5" thickBot="1">
      <c r="C56" s="585"/>
      <c r="D56" s="585"/>
      <c r="E56" s="585"/>
      <c r="F56" s="684"/>
    </row>
    <row r="57" spans="1:6" ht="16.5" thickBot="1">
      <c r="A57" s="525" t="s">
        <v>682</v>
      </c>
      <c r="B57" s="526"/>
      <c r="C57" s="113">
        <v>9</v>
      </c>
      <c r="D57" s="113">
        <v>9</v>
      </c>
      <c r="E57" s="574">
        <v>9</v>
      </c>
      <c r="F57" s="684"/>
    </row>
    <row r="58" spans="1:6" ht="16.5" thickBot="1">
      <c r="A58" s="525" t="s">
        <v>149</v>
      </c>
      <c r="B58" s="526"/>
      <c r="C58" s="113"/>
      <c r="D58" s="113"/>
      <c r="E58" s="574"/>
      <c r="F58" s="684"/>
    </row>
    <row r="59" ht="15.75">
      <c r="F59" s="684"/>
    </row>
    <row r="60" ht="15.75">
      <c r="F60" s="684"/>
    </row>
    <row r="61" ht="15.75">
      <c r="F61" s="684"/>
    </row>
    <row r="62" ht="15.75">
      <c r="F62" s="684"/>
    </row>
    <row r="63" ht="15.75">
      <c r="F63" s="684"/>
    </row>
    <row r="64" ht="15.75">
      <c r="F64" s="684"/>
    </row>
    <row r="65" ht="15.75">
      <c r="F65" s="684"/>
    </row>
    <row r="66" ht="15.75">
      <c r="F66" s="684"/>
    </row>
    <row r="67" ht="15.75">
      <c r="F67" s="684"/>
    </row>
    <row r="68" ht="15.75">
      <c r="F68" s="684"/>
    </row>
    <row r="69" ht="15.75">
      <c r="F69" s="684"/>
    </row>
    <row r="70" ht="15.75">
      <c r="F70" s="684"/>
    </row>
    <row r="71" ht="15.75">
      <c r="F71" s="684"/>
    </row>
    <row r="72" ht="15.75">
      <c r="F72" s="684"/>
    </row>
    <row r="73" ht="15.75">
      <c r="F73" s="684"/>
    </row>
    <row r="74" ht="15.75">
      <c r="F74" s="684"/>
    </row>
    <row r="75" ht="15.75">
      <c r="F75" s="684"/>
    </row>
    <row r="76" ht="15.75">
      <c r="F76" s="684"/>
    </row>
    <row r="77" ht="15.75">
      <c r="F77" s="684"/>
    </row>
    <row r="78" ht="15.75">
      <c r="F78" s="684"/>
    </row>
    <row r="79" ht="15.75">
      <c r="F79" s="684"/>
    </row>
    <row r="80" ht="15.75">
      <c r="F80" s="684"/>
    </row>
    <row r="81" ht="15.75">
      <c r="F81" s="684"/>
    </row>
    <row r="82" ht="15.75">
      <c r="F82" s="684"/>
    </row>
    <row r="83" ht="15.75">
      <c r="F83" s="684"/>
    </row>
    <row r="84" ht="15.75">
      <c r="F84" s="684"/>
    </row>
    <row r="85" ht="15.75">
      <c r="F85" s="684"/>
    </row>
    <row r="86" ht="15.75">
      <c r="F86" s="684"/>
    </row>
    <row r="87" ht="15.75">
      <c r="F87" s="684"/>
    </row>
    <row r="88" ht="15">
      <c r="F88" s="685"/>
    </row>
    <row r="90" ht="15.75">
      <c r="F90" s="684"/>
    </row>
    <row r="91" ht="12.75">
      <c r="F91" s="686"/>
    </row>
    <row r="92" ht="12.75">
      <c r="F92" s="686"/>
    </row>
    <row r="93" ht="12.75">
      <c r="F93" s="686"/>
    </row>
    <row r="94" ht="12.75">
      <c r="F94" s="686"/>
    </row>
    <row r="95" ht="12.75">
      <c r="F95" s="686"/>
    </row>
    <row r="96" ht="12.75">
      <c r="F96" s="686"/>
    </row>
    <row r="97" ht="12.75">
      <c r="F97" s="686"/>
    </row>
    <row r="98" ht="12.75">
      <c r="F98" s="686"/>
    </row>
    <row r="99" ht="12.75">
      <c r="F99" s="686"/>
    </row>
    <row r="100" ht="12.75">
      <c r="F100" s="686"/>
    </row>
    <row r="101" ht="12.75">
      <c r="F101" s="686"/>
    </row>
    <row r="102" ht="12.75">
      <c r="F102" s="686"/>
    </row>
    <row r="103" ht="12.75">
      <c r="F103" s="686"/>
    </row>
    <row r="104" ht="12.75">
      <c r="F104" s="686"/>
    </row>
    <row r="105" ht="12.75">
      <c r="F105" s="686"/>
    </row>
    <row r="106" ht="12.75">
      <c r="F106" s="686"/>
    </row>
    <row r="107" ht="12.75">
      <c r="F107" s="686"/>
    </row>
    <row r="108" ht="12.75">
      <c r="F108" s="686"/>
    </row>
    <row r="109" ht="12.75">
      <c r="F109" s="686"/>
    </row>
    <row r="110" ht="12.75">
      <c r="F110" s="686"/>
    </row>
    <row r="111" ht="12.75">
      <c r="F111" s="686"/>
    </row>
    <row r="112" ht="12.75">
      <c r="F112" s="686"/>
    </row>
    <row r="113" ht="12.75">
      <c r="F113" s="686"/>
    </row>
    <row r="114" ht="12.75">
      <c r="F114" s="686"/>
    </row>
    <row r="115" ht="12.75">
      <c r="F115" s="686"/>
    </row>
    <row r="116" ht="12.75">
      <c r="F116" s="686"/>
    </row>
    <row r="117" ht="12.75">
      <c r="F117" s="686"/>
    </row>
    <row r="118" ht="12.75">
      <c r="F118" s="686"/>
    </row>
    <row r="119" ht="12.75">
      <c r="F119" s="686"/>
    </row>
    <row r="120" ht="12.75">
      <c r="F120" s="686"/>
    </row>
    <row r="121" ht="12.75">
      <c r="F121" s="686"/>
    </row>
    <row r="122" ht="12.75">
      <c r="F122" s="686"/>
    </row>
    <row r="123" ht="12.75">
      <c r="F123" s="686"/>
    </row>
    <row r="124" ht="12.75">
      <c r="F124" s="686"/>
    </row>
    <row r="125" ht="12.75">
      <c r="F125" s="686"/>
    </row>
    <row r="126" ht="12.75">
      <c r="F126" s="686"/>
    </row>
    <row r="127" ht="12.75">
      <c r="F127" s="686"/>
    </row>
    <row r="128" ht="12.75">
      <c r="F128" s="686"/>
    </row>
    <row r="129" ht="12.75">
      <c r="F129" s="686"/>
    </row>
    <row r="130" ht="12.75">
      <c r="F130" s="686"/>
    </row>
    <row r="131" ht="12.75">
      <c r="F131" s="686"/>
    </row>
    <row r="132" ht="12.75">
      <c r="F132" s="686"/>
    </row>
    <row r="133" ht="12.75">
      <c r="F133" s="686"/>
    </row>
    <row r="134" ht="12.75">
      <c r="F134" s="686"/>
    </row>
    <row r="135" ht="12.75">
      <c r="F135" s="686"/>
    </row>
    <row r="136" ht="12.75">
      <c r="F136" s="686"/>
    </row>
    <row r="137" ht="12.75">
      <c r="F137" s="686"/>
    </row>
    <row r="138" ht="12.75">
      <c r="F138" s="686"/>
    </row>
    <row r="139" ht="12.75">
      <c r="F139" s="686"/>
    </row>
    <row r="140" ht="12.75">
      <c r="F140" s="686"/>
    </row>
    <row r="141" ht="12.75">
      <c r="F141" s="686"/>
    </row>
    <row r="142" ht="12.75">
      <c r="F142" s="686"/>
    </row>
    <row r="143" ht="12.75">
      <c r="F143" s="686"/>
    </row>
    <row r="144" ht="12.75">
      <c r="F144" s="686"/>
    </row>
    <row r="145" ht="12.75">
      <c r="F145" s="686"/>
    </row>
    <row r="146" ht="12.75">
      <c r="F146" s="68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8.625" style="581" customWidth="1"/>
    <col min="2" max="2" width="62.00390625" style="32" customWidth="1"/>
    <col min="3" max="5" width="15.875" style="32" customWidth="1"/>
    <col min="6" max="6" width="0" style="678" hidden="1" customWidth="1"/>
    <col min="7" max="16384" width="9.375" style="32" customWidth="1"/>
  </cols>
  <sheetData>
    <row r="1" spans="1:6" s="516" customFormat="1" ht="21" customHeight="1" thickBot="1">
      <c r="A1" s="515"/>
      <c r="B1" s="517"/>
      <c r="C1" s="562"/>
      <c r="D1" s="562"/>
      <c r="E1" s="658" t="str">
        <f>+CONCATENATE("8.3. melléklet a 6 /",LEFT(ÖSSZEFÜGGÉSEK!A4,4)+1,". (V.30.) önkormányzati rendelethez")</f>
        <v>8.3. melléklet a 6 /2018. (V.30.) önkormányzati rendelethez</v>
      </c>
      <c r="F1" s="681"/>
    </row>
    <row r="2" spans="1:6" s="563" customFormat="1" ht="25.5" customHeight="1">
      <c r="A2" s="543" t="s">
        <v>147</v>
      </c>
      <c r="B2" s="803" t="s">
        <v>822</v>
      </c>
      <c r="C2" s="804"/>
      <c r="D2" s="805"/>
      <c r="E2" s="586" t="s">
        <v>49</v>
      </c>
      <c r="F2" s="682"/>
    </row>
    <row r="3" spans="1:6" s="563" customFormat="1" ht="24.75" thickBot="1">
      <c r="A3" s="561" t="s">
        <v>146</v>
      </c>
      <c r="B3" s="800" t="s">
        <v>691</v>
      </c>
      <c r="C3" s="806"/>
      <c r="D3" s="807"/>
      <c r="E3" s="587" t="s">
        <v>49</v>
      </c>
      <c r="F3" s="682"/>
    </row>
    <row r="4" spans="1:6" s="564" customFormat="1" ht="15.75" customHeight="1" thickBot="1">
      <c r="A4" s="518"/>
      <c r="B4" s="518"/>
      <c r="C4" s="519"/>
      <c r="D4" s="519"/>
      <c r="E4" s="519" t="s">
        <v>881</v>
      </c>
      <c r="F4" s="683"/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6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  <c r="F6" s="684"/>
    </row>
    <row r="7" spans="1:6" s="565" customFormat="1" ht="15.75" customHeight="1" thickBot="1">
      <c r="A7" s="797" t="s">
        <v>43</v>
      </c>
      <c r="B7" s="798"/>
      <c r="C7" s="798"/>
      <c r="D7" s="798"/>
      <c r="E7" s="799"/>
      <c r="F7" s="684"/>
    </row>
    <row r="8" spans="1:6" s="539" customFormat="1" ht="12" customHeight="1" thickBot="1">
      <c r="A8" s="513" t="s">
        <v>6</v>
      </c>
      <c r="B8" s="577" t="s">
        <v>567</v>
      </c>
      <c r="C8" s="444">
        <f>SUM(C9:C18)</f>
        <v>0</v>
      </c>
      <c r="D8" s="444">
        <f>SUM(D9:D18)</f>
        <v>0</v>
      </c>
      <c r="E8" s="444">
        <f>SUM(E9:E18)</f>
        <v>0</v>
      </c>
      <c r="F8" s="684" t="s">
        <v>740</v>
      </c>
    </row>
    <row r="9" spans="1:6" s="539" customFormat="1" ht="12" customHeight="1">
      <c r="A9" s="588" t="s">
        <v>71</v>
      </c>
      <c r="B9" s="366" t="s">
        <v>346</v>
      </c>
      <c r="C9" s="106">
        <v>0</v>
      </c>
      <c r="D9" s="605">
        <v>0</v>
      </c>
      <c r="E9" s="572">
        <v>0</v>
      </c>
      <c r="F9" s="684" t="s">
        <v>741</v>
      </c>
    </row>
    <row r="10" spans="1:6" s="539" customFormat="1" ht="12" customHeight="1">
      <c r="A10" s="589" t="s">
        <v>72</v>
      </c>
      <c r="B10" s="364" t="s">
        <v>347</v>
      </c>
      <c r="C10" s="441"/>
      <c r="D10" s="606">
        <v>0</v>
      </c>
      <c r="E10" s="115">
        <v>0</v>
      </c>
      <c r="F10" s="684" t="s">
        <v>742</v>
      </c>
    </row>
    <row r="11" spans="1:6" s="539" customFormat="1" ht="12" customHeight="1">
      <c r="A11" s="589" t="s">
        <v>73</v>
      </c>
      <c r="B11" s="364" t="s">
        <v>348</v>
      </c>
      <c r="C11" s="441"/>
      <c r="D11" s="606">
        <v>0</v>
      </c>
      <c r="E11" s="115">
        <v>0</v>
      </c>
      <c r="F11" s="684" t="s">
        <v>743</v>
      </c>
    </row>
    <row r="12" spans="1:6" s="539" customFormat="1" ht="12" customHeight="1">
      <c r="A12" s="589" t="s">
        <v>74</v>
      </c>
      <c r="B12" s="364" t="s">
        <v>349</v>
      </c>
      <c r="C12" s="441"/>
      <c r="D12" s="606">
        <v>0</v>
      </c>
      <c r="E12" s="115">
        <v>0</v>
      </c>
      <c r="F12" s="684" t="s">
        <v>744</v>
      </c>
    </row>
    <row r="13" spans="1:6" s="539" customFormat="1" ht="12" customHeight="1">
      <c r="A13" s="589" t="s">
        <v>107</v>
      </c>
      <c r="B13" s="364" t="s">
        <v>350</v>
      </c>
      <c r="C13" s="441"/>
      <c r="D13" s="606">
        <v>0</v>
      </c>
      <c r="E13" s="115">
        <v>0</v>
      </c>
      <c r="F13" s="684" t="s">
        <v>745</v>
      </c>
    </row>
    <row r="14" spans="1:6" s="539" customFormat="1" ht="12" customHeight="1">
      <c r="A14" s="589" t="s">
        <v>75</v>
      </c>
      <c r="B14" s="364" t="s">
        <v>568</v>
      </c>
      <c r="C14" s="441"/>
      <c r="D14" s="606">
        <v>0</v>
      </c>
      <c r="E14" s="115">
        <v>0</v>
      </c>
      <c r="F14" s="684" t="s">
        <v>746</v>
      </c>
    </row>
    <row r="15" spans="1:6" s="566" customFormat="1" ht="12" customHeight="1">
      <c r="A15" s="589" t="s">
        <v>76</v>
      </c>
      <c r="B15" s="363" t="s">
        <v>569</v>
      </c>
      <c r="C15" s="441"/>
      <c r="D15" s="606">
        <v>0</v>
      </c>
      <c r="E15" s="115">
        <v>0</v>
      </c>
      <c r="F15" s="684" t="s">
        <v>747</v>
      </c>
    </row>
    <row r="16" spans="1:6" s="566" customFormat="1" ht="12" customHeight="1">
      <c r="A16" s="589" t="s">
        <v>84</v>
      </c>
      <c r="B16" s="364" t="s">
        <v>353</v>
      </c>
      <c r="C16" s="107"/>
      <c r="D16" s="607"/>
      <c r="E16" s="571"/>
      <c r="F16" s="684" t="s">
        <v>748</v>
      </c>
    </row>
    <row r="17" spans="1:6" s="539" customFormat="1" ht="12" customHeight="1">
      <c r="A17" s="589" t="s">
        <v>85</v>
      </c>
      <c r="B17" s="364" t="s">
        <v>355</v>
      </c>
      <c r="C17" s="441"/>
      <c r="D17" s="606">
        <v>0</v>
      </c>
      <c r="E17" s="115">
        <v>0</v>
      </c>
      <c r="F17" s="684" t="s">
        <v>749</v>
      </c>
    </row>
    <row r="18" spans="1:6" s="566" customFormat="1" ht="12" customHeight="1" thickBot="1">
      <c r="A18" s="589" t="s">
        <v>86</v>
      </c>
      <c r="B18" s="363" t="s">
        <v>357</v>
      </c>
      <c r="C18" s="443"/>
      <c r="D18" s="116">
        <v>0</v>
      </c>
      <c r="E18" s="567">
        <v>0</v>
      </c>
      <c r="F18" s="684" t="s">
        <v>750</v>
      </c>
    </row>
    <row r="19" spans="1:6" s="566" customFormat="1" ht="12" customHeight="1" thickBot="1">
      <c r="A19" s="513" t="s">
        <v>7</v>
      </c>
      <c r="B19" s="577" t="s">
        <v>570</v>
      </c>
      <c r="C19" s="444">
        <f>SUM(C20:C23)</f>
        <v>0</v>
      </c>
      <c r="D19" s="444">
        <f>SUM(D20:D23)</f>
        <v>0</v>
      </c>
      <c r="E19" s="444">
        <f>SUM(E20:E23)</f>
        <v>0</v>
      </c>
      <c r="F19" s="684" t="s">
        <v>751</v>
      </c>
    </row>
    <row r="20" spans="1:6" s="566" customFormat="1" ht="12" customHeight="1">
      <c r="A20" s="589" t="s">
        <v>77</v>
      </c>
      <c r="B20" s="365" t="s">
        <v>319</v>
      </c>
      <c r="C20" s="441">
        <v>0</v>
      </c>
      <c r="D20" s="606">
        <v>0</v>
      </c>
      <c r="E20" s="115">
        <v>0</v>
      </c>
      <c r="F20" s="684" t="s">
        <v>752</v>
      </c>
    </row>
    <row r="21" spans="1:6" s="566" customFormat="1" ht="12" customHeight="1">
      <c r="A21" s="589" t="s">
        <v>78</v>
      </c>
      <c r="B21" s="364" t="s">
        <v>571</v>
      </c>
      <c r="C21" s="441">
        <v>0</v>
      </c>
      <c r="D21" s="606">
        <v>0</v>
      </c>
      <c r="E21" s="115">
        <v>0</v>
      </c>
      <c r="F21" s="684" t="s">
        <v>753</v>
      </c>
    </row>
    <row r="22" spans="1:6" s="566" customFormat="1" ht="12" customHeight="1">
      <c r="A22" s="589" t="s">
        <v>79</v>
      </c>
      <c r="B22" s="364" t="s">
        <v>572</v>
      </c>
      <c r="C22" s="441"/>
      <c r="D22" s="606">
        <v>0</v>
      </c>
      <c r="E22" s="115">
        <v>0</v>
      </c>
      <c r="F22" s="684" t="s">
        <v>754</v>
      </c>
    </row>
    <row r="23" spans="1:6" s="539" customFormat="1" ht="12" customHeight="1" thickBot="1">
      <c r="A23" s="589" t="s">
        <v>80</v>
      </c>
      <c r="B23" s="364" t="s">
        <v>692</v>
      </c>
      <c r="C23" s="441">
        <v>0</v>
      </c>
      <c r="D23" s="606">
        <v>0</v>
      </c>
      <c r="E23" s="115">
        <v>0</v>
      </c>
      <c r="F23" s="684" t="s">
        <v>755</v>
      </c>
    </row>
    <row r="24" spans="1:6" s="539" customFormat="1" ht="12" customHeight="1" thickBot="1">
      <c r="A24" s="576" t="s">
        <v>8</v>
      </c>
      <c r="B24" s="384" t="s">
        <v>124</v>
      </c>
      <c r="C24" s="41">
        <v>0</v>
      </c>
      <c r="D24" s="608">
        <v>0</v>
      </c>
      <c r="E24" s="582">
        <v>0</v>
      </c>
      <c r="F24" s="684" t="s">
        <v>756</v>
      </c>
    </row>
    <row r="25" spans="1:6" s="539" customFormat="1" ht="12" customHeight="1" thickBot="1">
      <c r="A25" s="576" t="s">
        <v>9</v>
      </c>
      <c r="B25" s="384" t="s">
        <v>573</v>
      </c>
      <c r="C25" s="444">
        <f>SUM(C26:C27)</f>
        <v>0</v>
      </c>
      <c r="D25" s="444">
        <f>SUM(D26:D27)</f>
        <v>0</v>
      </c>
      <c r="E25" s="444">
        <f>SUM(E26:E27)</f>
        <v>0</v>
      </c>
      <c r="F25" s="684" t="s">
        <v>757</v>
      </c>
    </row>
    <row r="26" spans="1:6" s="539" customFormat="1" ht="12" customHeight="1">
      <c r="A26" s="590" t="s">
        <v>333</v>
      </c>
      <c r="B26" s="591" t="s">
        <v>571</v>
      </c>
      <c r="C26" s="103">
        <v>0</v>
      </c>
      <c r="D26" s="597">
        <v>0</v>
      </c>
      <c r="E26" s="570">
        <v>0</v>
      </c>
      <c r="F26" s="684" t="s">
        <v>758</v>
      </c>
    </row>
    <row r="27" spans="1:6" s="539" customFormat="1" ht="12" customHeight="1">
      <c r="A27" s="590" t="s">
        <v>339</v>
      </c>
      <c r="B27" s="592" t="s">
        <v>574</v>
      </c>
      <c r="C27" s="445"/>
      <c r="D27" s="609">
        <v>0</v>
      </c>
      <c r="E27" s="569">
        <v>0</v>
      </c>
      <c r="F27" s="684" t="s">
        <v>759</v>
      </c>
    </row>
    <row r="28" spans="1:6" s="539" customFormat="1" ht="12" customHeight="1" thickBot="1">
      <c r="A28" s="589" t="s">
        <v>341</v>
      </c>
      <c r="B28" s="593" t="s">
        <v>693</v>
      </c>
      <c r="C28" s="573">
        <v>0</v>
      </c>
      <c r="D28" s="610">
        <v>0</v>
      </c>
      <c r="E28" s="568">
        <v>0</v>
      </c>
      <c r="F28" s="684" t="s">
        <v>760</v>
      </c>
    </row>
    <row r="29" spans="1:6" s="539" customFormat="1" ht="12" customHeight="1" thickBot="1">
      <c r="A29" s="576" t="s">
        <v>10</v>
      </c>
      <c r="B29" s="384" t="s">
        <v>575</v>
      </c>
      <c r="C29" s="444">
        <f>SUM(C30:C32)</f>
        <v>0</v>
      </c>
      <c r="D29" s="444">
        <f>SUM(D30:D32)</f>
        <v>0</v>
      </c>
      <c r="E29" s="444">
        <f>SUM(E30:E32)</f>
        <v>0</v>
      </c>
      <c r="F29" s="684" t="s">
        <v>761</v>
      </c>
    </row>
    <row r="30" spans="1:6" s="539" customFormat="1" ht="12" customHeight="1">
      <c r="A30" s="590" t="s">
        <v>64</v>
      </c>
      <c r="B30" s="591" t="s">
        <v>359</v>
      </c>
      <c r="C30" s="103">
        <v>0</v>
      </c>
      <c r="D30" s="597">
        <v>0</v>
      </c>
      <c r="E30" s="570">
        <v>0</v>
      </c>
      <c r="F30" s="684" t="s">
        <v>762</v>
      </c>
    </row>
    <row r="31" spans="1:6" s="539" customFormat="1" ht="12" customHeight="1">
      <c r="A31" s="590" t="s">
        <v>65</v>
      </c>
      <c r="B31" s="592" t="s">
        <v>360</v>
      </c>
      <c r="C31" s="445">
        <v>0</v>
      </c>
      <c r="D31" s="609">
        <v>0</v>
      </c>
      <c r="E31" s="569">
        <v>0</v>
      </c>
      <c r="F31" s="684" t="s">
        <v>763</v>
      </c>
    </row>
    <row r="32" spans="1:6" s="539" customFormat="1" ht="12" customHeight="1" thickBot="1">
      <c r="A32" s="589" t="s">
        <v>66</v>
      </c>
      <c r="B32" s="575" t="s">
        <v>362</v>
      </c>
      <c r="C32" s="573"/>
      <c r="D32" s="610">
        <v>0</v>
      </c>
      <c r="E32" s="568">
        <v>0</v>
      </c>
      <c r="F32" s="684" t="s">
        <v>764</v>
      </c>
    </row>
    <row r="33" spans="1:6" s="539" customFormat="1" ht="12" customHeight="1" thickBot="1">
      <c r="A33" s="576" t="s">
        <v>11</v>
      </c>
      <c r="B33" s="384" t="s">
        <v>487</v>
      </c>
      <c r="C33" s="41">
        <v>0</v>
      </c>
      <c r="D33" s="608">
        <v>0</v>
      </c>
      <c r="E33" s="582">
        <v>0</v>
      </c>
      <c r="F33" s="684" t="s">
        <v>765</v>
      </c>
    </row>
    <row r="34" spans="1:6" s="539" customFormat="1" ht="12" customHeight="1" thickBot="1">
      <c r="A34" s="576" t="s">
        <v>12</v>
      </c>
      <c r="B34" s="384" t="s">
        <v>576</v>
      </c>
      <c r="C34" s="41">
        <v>0</v>
      </c>
      <c r="D34" s="608">
        <v>0</v>
      </c>
      <c r="E34" s="582">
        <v>0</v>
      </c>
      <c r="F34" s="684" t="s">
        <v>766</v>
      </c>
    </row>
    <row r="35" spans="1:6" s="539" customFormat="1" ht="12" customHeight="1" thickBot="1">
      <c r="A35" s="513" t="s">
        <v>13</v>
      </c>
      <c r="B35" s="384" t="s">
        <v>577</v>
      </c>
      <c r="C35" s="444">
        <f>C8+C19+C24+C25+C29+C33+C34</f>
        <v>0</v>
      </c>
      <c r="D35" s="444">
        <f>D8+D19+D24+D25+D29+D33+D34</f>
        <v>0</v>
      </c>
      <c r="E35" s="444">
        <f>E8+E19+E24+E25+E29+E33+E34</f>
        <v>0</v>
      </c>
      <c r="F35" s="684" t="s">
        <v>767</v>
      </c>
    </row>
    <row r="36" spans="1:6" s="566" customFormat="1" ht="12" customHeight="1" thickBot="1">
      <c r="A36" s="578" t="s">
        <v>14</v>
      </c>
      <c r="B36" s="384" t="s">
        <v>578</v>
      </c>
      <c r="C36" s="444">
        <f>SUM(C37:C39)</f>
        <v>0</v>
      </c>
      <c r="D36" s="444">
        <f>SUM(D37:D39)</f>
        <v>0</v>
      </c>
      <c r="E36" s="444">
        <f>SUM(E37:E39)</f>
        <v>0</v>
      </c>
      <c r="F36" s="684" t="s">
        <v>768</v>
      </c>
    </row>
    <row r="37" spans="1:6" s="566" customFormat="1" ht="15" customHeight="1">
      <c r="A37" s="590" t="s">
        <v>579</v>
      </c>
      <c r="B37" s="591" t="s">
        <v>167</v>
      </c>
      <c r="C37" s="103"/>
      <c r="D37" s="597"/>
      <c r="E37" s="570"/>
      <c r="F37" s="684" t="s">
        <v>769</v>
      </c>
    </row>
    <row r="38" spans="1:6" s="566" customFormat="1" ht="15" customHeight="1">
      <c r="A38" s="590" t="s">
        <v>580</v>
      </c>
      <c r="B38" s="592" t="s">
        <v>2</v>
      </c>
      <c r="C38" s="445">
        <v>0</v>
      </c>
      <c r="D38" s="609">
        <v>0</v>
      </c>
      <c r="E38" s="569">
        <v>0</v>
      </c>
      <c r="F38" s="684" t="s">
        <v>770</v>
      </c>
    </row>
    <row r="39" spans="1:6" ht="16.5" thickBot="1">
      <c r="A39" s="589" t="s">
        <v>581</v>
      </c>
      <c r="B39" s="575" t="s">
        <v>582</v>
      </c>
      <c r="C39" s="573"/>
      <c r="D39" s="610"/>
      <c r="E39" s="568"/>
      <c r="F39" s="684" t="s">
        <v>771</v>
      </c>
    </row>
    <row r="40" spans="1:6" s="565" customFormat="1" ht="16.5" customHeight="1" thickBot="1">
      <c r="A40" s="578" t="s">
        <v>15</v>
      </c>
      <c r="B40" s="579" t="s">
        <v>583</v>
      </c>
      <c r="C40" s="109">
        <f>C35+C36</f>
        <v>0</v>
      </c>
      <c r="D40" s="109">
        <f>D35+D36</f>
        <v>0</v>
      </c>
      <c r="E40" s="109">
        <f>E35+E36</f>
        <v>0</v>
      </c>
      <c r="F40" s="684" t="s">
        <v>772</v>
      </c>
    </row>
    <row r="41" spans="1:6" s="339" customFormat="1" ht="12" customHeight="1">
      <c r="A41" s="521"/>
      <c r="B41" s="522"/>
      <c r="C41" s="537"/>
      <c r="D41" s="537"/>
      <c r="E41" s="537"/>
      <c r="F41" s="684"/>
    </row>
    <row r="42" spans="1:6" ht="12" customHeight="1" thickBot="1">
      <c r="A42" s="523"/>
      <c r="B42" s="524"/>
      <c r="C42" s="538"/>
      <c r="D42" s="538"/>
      <c r="E42" s="538"/>
      <c r="F42" s="684"/>
    </row>
    <row r="43" spans="1:6" ht="12" customHeight="1" thickBot="1">
      <c r="A43" s="797" t="s">
        <v>44</v>
      </c>
      <c r="B43" s="798"/>
      <c r="C43" s="798"/>
      <c r="D43" s="798"/>
      <c r="E43" s="799"/>
      <c r="F43" s="565"/>
    </row>
    <row r="44" spans="1:6" ht="12" customHeight="1" thickBot="1">
      <c r="A44" s="576" t="s">
        <v>6</v>
      </c>
      <c r="B44" s="384" t="s">
        <v>584</v>
      </c>
      <c r="C44" s="444">
        <f>SUM(C45:C49)</f>
        <v>0</v>
      </c>
      <c r="D44" s="444">
        <f>SUM(D45:D49)</f>
        <v>0</v>
      </c>
      <c r="E44" s="444">
        <f>SUM(E45:E49)</f>
        <v>0</v>
      </c>
      <c r="F44" s="684" t="s">
        <v>740</v>
      </c>
    </row>
    <row r="45" spans="1:6" ht="12" customHeight="1">
      <c r="A45" s="589" t="s">
        <v>71</v>
      </c>
      <c r="B45" s="365" t="s">
        <v>36</v>
      </c>
      <c r="C45" s="103"/>
      <c r="D45" s="103"/>
      <c r="E45" s="570"/>
      <c r="F45" s="684" t="s">
        <v>741</v>
      </c>
    </row>
    <row r="46" spans="1:6" ht="12" customHeight="1">
      <c r="A46" s="589" t="s">
        <v>72</v>
      </c>
      <c r="B46" s="364" t="s">
        <v>133</v>
      </c>
      <c r="C46" s="438"/>
      <c r="D46" s="438"/>
      <c r="E46" s="594"/>
      <c r="F46" s="684" t="s">
        <v>742</v>
      </c>
    </row>
    <row r="47" spans="1:6" ht="12" customHeight="1">
      <c r="A47" s="589" t="s">
        <v>73</v>
      </c>
      <c r="B47" s="364" t="s">
        <v>100</v>
      </c>
      <c r="C47" s="438"/>
      <c r="D47" s="438"/>
      <c r="E47" s="594"/>
      <c r="F47" s="684" t="s">
        <v>743</v>
      </c>
    </row>
    <row r="48" spans="1:6" s="339" customFormat="1" ht="12" customHeight="1">
      <c r="A48" s="589" t="s">
        <v>74</v>
      </c>
      <c r="B48" s="364" t="s">
        <v>134</v>
      </c>
      <c r="C48" s="438"/>
      <c r="D48" s="438">
        <v>0</v>
      </c>
      <c r="E48" s="594"/>
      <c r="F48" s="684" t="s">
        <v>744</v>
      </c>
    </row>
    <row r="49" spans="1:6" ht="12" customHeight="1" thickBot="1">
      <c r="A49" s="589" t="s">
        <v>107</v>
      </c>
      <c r="B49" s="364" t="s">
        <v>135</v>
      </c>
      <c r="C49" s="438"/>
      <c r="D49" s="438">
        <v>0</v>
      </c>
      <c r="E49" s="594">
        <v>0</v>
      </c>
      <c r="F49" s="684" t="s">
        <v>745</v>
      </c>
    </row>
    <row r="50" spans="1:6" ht="12" customHeight="1" thickBot="1">
      <c r="A50" s="576" t="s">
        <v>7</v>
      </c>
      <c r="B50" s="384" t="s">
        <v>585</v>
      </c>
      <c r="C50" s="444">
        <f>SUM(C51:C53)</f>
        <v>0</v>
      </c>
      <c r="D50" s="444">
        <f>SUM(D51:D53)</f>
        <v>0</v>
      </c>
      <c r="E50" s="444">
        <f>SUM(E51:E53)</f>
        <v>0</v>
      </c>
      <c r="F50" s="444">
        <f>SUM(F51:F53)</f>
        <v>0</v>
      </c>
    </row>
    <row r="51" spans="1:6" ht="12" customHeight="1">
      <c r="A51" s="589" t="s">
        <v>77</v>
      </c>
      <c r="B51" s="365" t="s">
        <v>157</v>
      </c>
      <c r="C51" s="103"/>
      <c r="D51" s="103"/>
      <c r="E51" s="570"/>
      <c r="F51" s="684" t="s">
        <v>747</v>
      </c>
    </row>
    <row r="52" spans="1:6" ht="12" customHeight="1">
      <c r="A52" s="589" t="s">
        <v>78</v>
      </c>
      <c r="B52" s="364" t="s">
        <v>137</v>
      </c>
      <c r="C52" s="438"/>
      <c r="D52" s="438">
        <v>0</v>
      </c>
      <c r="E52" s="594">
        <v>0</v>
      </c>
      <c r="F52" s="684" t="s">
        <v>748</v>
      </c>
    </row>
    <row r="53" spans="1:6" ht="15" customHeight="1">
      <c r="A53" s="589" t="s">
        <v>79</v>
      </c>
      <c r="B53" s="364" t="s">
        <v>45</v>
      </c>
      <c r="C53" s="438">
        <v>0</v>
      </c>
      <c r="D53" s="438">
        <v>0</v>
      </c>
      <c r="E53" s="594">
        <v>0</v>
      </c>
      <c r="F53" s="684" t="s">
        <v>749</v>
      </c>
    </row>
    <row r="54" spans="1:6" ht="16.5" thickBot="1">
      <c r="A54" s="589" t="s">
        <v>80</v>
      </c>
      <c r="B54" s="364" t="s">
        <v>694</v>
      </c>
      <c r="C54" s="438">
        <v>0</v>
      </c>
      <c r="D54" s="438">
        <v>0</v>
      </c>
      <c r="E54" s="594">
        <v>0</v>
      </c>
      <c r="F54" s="684" t="s">
        <v>750</v>
      </c>
    </row>
    <row r="55" spans="1:6" ht="15" customHeight="1" thickBot="1">
      <c r="A55" s="576" t="s">
        <v>8</v>
      </c>
      <c r="B55" s="580" t="s">
        <v>586</v>
      </c>
      <c r="C55" s="109">
        <f>C44+C50</f>
        <v>0</v>
      </c>
      <c r="D55" s="109">
        <f>D44+D50</f>
        <v>0</v>
      </c>
      <c r="E55" s="109">
        <f>E44+E50</f>
        <v>0</v>
      </c>
      <c r="F55" s="684" t="s">
        <v>751</v>
      </c>
    </row>
    <row r="56" spans="3:6" ht="16.5" thickBot="1">
      <c r="C56" s="585"/>
      <c r="D56" s="585"/>
      <c r="E56" s="585"/>
      <c r="F56" s="684"/>
    </row>
    <row r="57" spans="1:6" ht="16.5" thickBot="1">
      <c r="A57" s="525" t="s">
        <v>682</v>
      </c>
      <c r="B57" s="526"/>
      <c r="C57" s="113"/>
      <c r="D57" s="113"/>
      <c r="E57" s="574"/>
      <c r="F57" s="684"/>
    </row>
    <row r="58" spans="1:6" ht="16.5" thickBot="1">
      <c r="A58" s="525" t="s">
        <v>149</v>
      </c>
      <c r="B58" s="526"/>
      <c r="C58" s="113"/>
      <c r="D58" s="113"/>
      <c r="E58" s="574"/>
      <c r="F58" s="684"/>
    </row>
    <row r="59" ht="15.75">
      <c r="F59" s="684"/>
    </row>
    <row r="60" ht="15.75">
      <c r="F60" s="684"/>
    </row>
    <row r="61" ht="15.75">
      <c r="F61" s="684"/>
    </row>
    <row r="62" ht="15.75">
      <c r="F62" s="684"/>
    </row>
    <row r="63" ht="15.75">
      <c r="F63" s="684"/>
    </row>
    <row r="64" ht="15.75">
      <c r="F64" s="684"/>
    </row>
    <row r="65" ht="15.75">
      <c r="F65" s="684"/>
    </row>
    <row r="66" ht="15.75">
      <c r="F66" s="684"/>
    </row>
    <row r="67" ht="15.75">
      <c r="F67" s="684"/>
    </row>
    <row r="68" ht="15.75">
      <c r="F68" s="684"/>
    </row>
    <row r="69" ht="15.75">
      <c r="F69" s="684"/>
    </row>
    <row r="70" ht="15.75">
      <c r="F70" s="684"/>
    </row>
    <row r="71" ht="15.75">
      <c r="F71" s="684"/>
    </row>
    <row r="72" ht="15.75">
      <c r="F72" s="684"/>
    </row>
    <row r="73" ht="15.75">
      <c r="F73" s="684"/>
    </row>
    <row r="74" ht="15.75">
      <c r="F74" s="684"/>
    </row>
    <row r="75" ht="15.75">
      <c r="F75" s="684"/>
    </row>
    <row r="76" ht="15.75">
      <c r="F76" s="684"/>
    </row>
    <row r="77" ht="15.75">
      <c r="F77" s="684"/>
    </row>
    <row r="78" ht="15.75">
      <c r="F78" s="684"/>
    </row>
    <row r="79" ht="15.75">
      <c r="F79" s="684"/>
    </row>
    <row r="80" ht="15.75">
      <c r="F80" s="684"/>
    </row>
    <row r="81" ht="15.75">
      <c r="F81" s="684"/>
    </row>
    <row r="82" ht="15.75">
      <c r="F82" s="684"/>
    </row>
    <row r="83" ht="15.75">
      <c r="F83" s="684"/>
    </row>
    <row r="84" ht="15.75">
      <c r="F84" s="684"/>
    </row>
    <row r="85" ht="15.75">
      <c r="F85" s="684"/>
    </row>
    <row r="86" ht="15.75">
      <c r="F86" s="684"/>
    </row>
    <row r="87" ht="15.75">
      <c r="F87" s="684"/>
    </row>
    <row r="88" ht="15">
      <c r="F88" s="685"/>
    </row>
    <row r="90" ht="15.75">
      <c r="F90" s="684"/>
    </row>
    <row r="91" ht="12.75">
      <c r="F91" s="686"/>
    </row>
    <row r="92" ht="12.75">
      <c r="F92" s="686"/>
    </row>
    <row r="93" ht="12.75">
      <c r="F93" s="686"/>
    </row>
    <row r="94" ht="12.75">
      <c r="F94" s="686"/>
    </row>
    <row r="95" ht="12.75">
      <c r="F95" s="686"/>
    </row>
    <row r="96" ht="12.75">
      <c r="F96" s="686"/>
    </row>
    <row r="97" ht="12.75">
      <c r="F97" s="686"/>
    </row>
    <row r="98" ht="12.75">
      <c r="F98" s="686"/>
    </row>
    <row r="99" ht="12.75">
      <c r="F99" s="686"/>
    </row>
    <row r="100" ht="12.75">
      <c r="F100" s="686"/>
    </row>
    <row r="101" ht="12.75">
      <c r="F101" s="686"/>
    </row>
    <row r="102" ht="12.75">
      <c r="F102" s="686"/>
    </row>
    <row r="103" ht="12.75">
      <c r="F103" s="686"/>
    </row>
    <row r="104" ht="12.75">
      <c r="F104" s="686"/>
    </row>
    <row r="105" ht="12.75">
      <c r="F105" s="686"/>
    </row>
    <row r="106" ht="12.75">
      <c r="F106" s="686"/>
    </row>
    <row r="107" ht="12.75">
      <c r="F107" s="686"/>
    </row>
    <row r="108" ht="12.75">
      <c r="F108" s="686"/>
    </row>
    <row r="109" ht="12.75">
      <c r="F109" s="686"/>
    </row>
    <row r="110" ht="12.75">
      <c r="F110" s="686"/>
    </row>
    <row r="111" ht="12.75">
      <c r="F111" s="686"/>
    </row>
    <row r="112" ht="12.75">
      <c r="F112" s="686"/>
    </row>
    <row r="113" ht="12.75">
      <c r="F113" s="686"/>
    </row>
    <row r="114" ht="12.75">
      <c r="F114" s="686"/>
    </row>
    <row r="115" ht="12.75">
      <c r="F115" s="686"/>
    </row>
    <row r="116" ht="12.75">
      <c r="F116" s="686"/>
    </row>
    <row r="117" ht="12.75">
      <c r="F117" s="686"/>
    </row>
    <row r="118" ht="12.75">
      <c r="F118" s="686"/>
    </row>
    <row r="119" ht="12.75">
      <c r="F119" s="686"/>
    </row>
    <row r="120" ht="12.75">
      <c r="F120" s="686"/>
    </row>
    <row r="121" ht="12.75">
      <c r="F121" s="686"/>
    </row>
    <row r="122" ht="12.75">
      <c r="F122" s="686"/>
    </row>
    <row r="123" ht="12.75">
      <c r="F123" s="686"/>
    </row>
    <row r="124" ht="12.75">
      <c r="F124" s="686"/>
    </row>
    <row r="125" ht="12.75">
      <c r="F125" s="686"/>
    </row>
    <row r="126" ht="12.75">
      <c r="F126" s="686"/>
    </row>
    <row r="127" ht="12.75">
      <c r="F127" s="686"/>
    </row>
    <row r="128" ht="12.75">
      <c r="F128" s="686"/>
    </row>
    <row r="129" ht="12.75">
      <c r="F129" s="686"/>
    </row>
    <row r="130" ht="12.75">
      <c r="F130" s="686"/>
    </row>
    <row r="131" ht="12.75">
      <c r="F131" s="686"/>
    </row>
    <row r="132" ht="12.75">
      <c r="F132" s="686"/>
    </row>
    <row r="133" ht="12.75">
      <c r="F133" s="686"/>
    </row>
    <row r="134" ht="12.75">
      <c r="F134" s="686"/>
    </row>
    <row r="135" ht="12.75">
      <c r="F135" s="686"/>
    </row>
    <row r="136" ht="12.75">
      <c r="F136" s="686"/>
    </row>
    <row r="137" ht="12.75">
      <c r="F137" s="686"/>
    </row>
    <row r="138" ht="12.75">
      <c r="F138" s="686"/>
    </row>
    <row r="139" ht="12.75">
      <c r="F139" s="686"/>
    </row>
    <row r="140" ht="12.75">
      <c r="F140" s="686"/>
    </row>
    <row r="141" ht="12.75">
      <c r="F141" s="686"/>
    </row>
    <row r="142" ht="12.75">
      <c r="F142" s="686"/>
    </row>
    <row r="143" ht="12.75">
      <c r="F143" s="686"/>
    </row>
    <row r="144" ht="12.75">
      <c r="F144" s="686"/>
    </row>
    <row r="145" ht="12.75">
      <c r="F145" s="686"/>
    </row>
    <row r="146" ht="12.75">
      <c r="F146" s="68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45" zoomScalePageLayoutView="0" workbookViewId="0" topLeftCell="A1">
      <selection activeCell="E2" sqref="E2"/>
    </sheetView>
  </sheetViews>
  <sheetFormatPr defaultColWidth="9.00390625" defaultRowHeight="12.75"/>
  <cols>
    <col min="1" max="1" width="18.625" style="581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516" customFormat="1" ht="21" customHeight="1" thickBot="1">
      <c r="A1" s="515"/>
      <c r="B1" s="517"/>
      <c r="C1" s="562"/>
      <c r="D1" s="562"/>
      <c r="E1" s="658" t="str">
        <f>+CONCATENATE("8.4. melléklet a 6 /",LEFT(ÖSSZEFÜGGÉSEK!A4,4)+1,". (V.30.) önkormányzati rendelethez")</f>
        <v>8.4. melléklet a 6 /2018. (V.30.) önkormányzati rendelethez</v>
      </c>
    </row>
    <row r="2" spans="1:5" s="563" customFormat="1" ht="25.5" customHeight="1">
      <c r="A2" s="543" t="s">
        <v>147</v>
      </c>
      <c r="B2" s="803" t="s">
        <v>822</v>
      </c>
      <c r="C2" s="804"/>
      <c r="D2" s="805"/>
      <c r="E2" s="586" t="s">
        <v>49</v>
      </c>
    </row>
    <row r="3" spans="1:5" s="563" customFormat="1" ht="24.75" thickBot="1">
      <c r="A3" s="561" t="s">
        <v>146</v>
      </c>
      <c r="B3" s="800" t="s">
        <v>701</v>
      </c>
      <c r="C3" s="806"/>
      <c r="D3" s="807"/>
      <c r="E3" s="587" t="s">
        <v>50</v>
      </c>
    </row>
    <row r="4" spans="1:5" s="564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148</v>
      </c>
      <c r="B5" s="350" t="s">
        <v>42</v>
      </c>
      <c r="C5" s="97" t="s">
        <v>180</v>
      </c>
      <c r="D5" s="97" t="s">
        <v>185</v>
      </c>
      <c r="E5" s="520" t="s">
        <v>186</v>
      </c>
    </row>
    <row r="6" spans="1:5" s="565" customFormat="1" ht="12.75" customHeight="1" thickBot="1">
      <c r="A6" s="513" t="s">
        <v>427</v>
      </c>
      <c r="B6" s="514" t="s">
        <v>428</v>
      </c>
      <c r="C6" s="514" t="s">
        <v>429</v>
      </c>
      <c r="D6" s="112" t="s">
        <v>430</v>
      </c>
      <c r="E6" s="110" t="s">
        <v>431</v>
      </c>
    </row>
    <row r="7" spans="1:5" s="565" customFormat="1" ht="15.75" customHeight="1" thickBot="1">
      <c r="A7" s="797" t="s">
        <v>43</v>
      </c>
      <c r="B7" s="798"/>
      <c r="C7" s="798"/>
      <c r="D7" s="798"/>
      <c r="E7" s="799"/>
    </row>
    <row r="8" spans="1:5" s="539" customFormat="1" ht="12" customHeight="1" thickBot="1">
      <c r="A8" s="513" t="s">
        <v>6</v>
      </c>
      <c r="B8" s="577" t="s">
        <v>567</v>
      </c>
      <c r="C8" s="444">
        <f>SUM(C9:C18)</f>
        <v>0</v>
      </c>
      <c r="D8" s="604">
        <f>SUM(D9:D18)</f>
        <v>0</v>
      </c>
      <c r="E8" s="583">
        <f>SUM(E9:E18)</f>
        <v>0</v>
      </c>
    </row>
    <row r="9" spans="1:5" s="539" customFormat="1" ht="12" customHeight="1">
      <c r="A9" s="588" t="s">
        <v>71</v>
      </c>
      <c r="B9" s="366" t="s">
        <v>346</v>
      </c>
      <c r="C9" s="106"/>
      <c r="D9" s="605"/>
      <c r="E9" s="572"/>
    </row>
    <row r="10" spans="1:5" s="539" customFormat="1" ht="12" customHeight="1">
      <c r="A10" s="589" t="s">
        <v>72</v>
      </c>
      <c r="B10" s="364" t="s">
        <v>347</v>
      </c>
      <c r="C10" s="441"/>
      <c r="D10" s="606"/>
      <c r="E10" s="115"/>
    </row>
    <row r="11" spans="1:5" s="539" customFormat="1" ht="12" customHeight="1">
      <c r="A11" s="589" t="s">
        <v>73</v>
      </c>
      <c r="B11" s="364" t="s">
        <v>348</v>
      </c>
      <c r="C11" s="441"/>
      <c r="D11" s="606"/>
      <c r="E11" s="115"/>
    </row>
    <row r="12" spans="1:5" s="539" customFormat="1" ht="12" customHeight="1">
      <c r="A12" s="589" t="s">
        <v>74</v>
      </c>
      <c r="B12" s="364" t="s">
        <v>349</v>
      </c>
      <c r="C12" s="441"/>
      <c r="D12" s="606"/>
      <c r="E12" s="115"/>
    </row>
    <row r="13" spans="1:5" s="539" customFormat="1" ht="12" customHeight="1">
      <c r="A13" s="589" t="s">
        <v>107</v>
      </c>
      <c r="B13" s="364" t="s">
        <v>350</v>
      </c>
      <c r="C13" s="441"/>
      <c r="D13" s="606"/>
      <c r="E13" s="115"/>
    </row>
    <row r="14" spans="1:5" s="539" customFormat="1" ht="12" customHeight="1">
      <c r="A14" s="589" t="s">
        <v>75</v>
      </c>
      <c r="B14" s="364" t="s">
        <v>568</v>
      </c>
      <c r="C14" s="441"/>
      <c r="D14" s="606"/>
      <c r="E14" s="115"/>
    </row>
    <row r="15" spans="1:5" s="566" customFormat="1" ht="12" customHeight="1">
      <c r="A15" s="589" t="s">
        <v>76</v>
      </c>
      <c r="B15" s="363" t="s">
        <v>569</v>
      </c>
      <c r="C15" s="441"/>
      <c r="D15" s="606"/>
      <c r="E15" s="115"/>
    </row>
    <row r="16" spans="1:5" s="566" customFormat="1" ht="12" customHeight="1">
      <c r="A16" s="589" t="s">
        <v>84</v>
      </c>
      <c r="B16" s="364" t="s">
        <v>353</v>
      </c>
      <c r="C16" s="107"/>
      <c r="D16" s="607"/>
      <c r="E16" s="571"/>
    </row>
    <row r="17" spans="1:5" s="539" customFormat="1" ht="12" customHeight="1">
      <c r="A17" s="589" t="s">
        <v>85</v>
      </c>
      <c r="B17" s="364" t="s">
        <v>355</v>
      </c>
      <c r="C17" s="441"/>
      <c r="D17" s="606"/>
      <c r="E17" s="115"/>
    </row>
    <row r="18" spans="1:5" s="566" customFormat="1" ht="12" customHeight="1" thickBot="1">
      <c r="A18" s="589" t="s">
        <v>86</v>
      </c>
      <c r="B18" s="363" t="s">
        <v>357</v>
      </c>
      <c r="C18" s="443"/>
      <c r="D18" s="116"/>
      <c r="E18" s="567"/>
    </row>
    <row r="19" spans="1:5" s="566" customFormat="1" ht="12" customHeight="1" thickBot="1">
      <c r="A19" s="513" t="s">
        <v>7</v>
      </c>
      <c r="B19" s="577" t="s">
        <v>570</v>
      </c>
      <c r="C19" s="444">
        <f>SUM(C20:C22)</f>
        <v>0</v>
      </c>
      <c r="D19" s="604">
        <f>SUM(D20:D22)</f>
        <v>0</v>
      </c>
      <c r="E19" s="583">
        <f>SUM(E20:E22)</f>
        <v>0</v>
      </c>
    </row>
    <row r="20" spans="1:5" s="566" customFormat="1" ht="12" customHeight="1">
      <c r="A20" s="589" t="s">
        <v>77</v>
      </c>
      <c r="B20" s="365" t="s">
        <v>319</v>
      </c>
      <c r="C20" s="441"/>
      <c r="D20" s="606"/>
      <c r="E20" s="115"/>
    </row>
    <row r="21" spans="1:5" s="566" customFormat="1" ht="12" customHeight="1">
      <c r="A21" s="589" t="s">
        <v>78</v>
      </c>
      <c r="B21" s="364" t="s">
        <v>571</v>
      </c>
      <c r="C21" s="441"/>
      <c r="D21" s="606"/>
      <c r="E21" s="115"/>
    </row>
    <row r="22" spans="1:5" s="566" customFormat="1" ht="12" customHeight="1">
      <c r="A22" s="589" t="s">
        <v>79</v>
      </c>
      <c r="B22" s="364" t="s">
        <v>572</v>
      </c>
      <c r="C22" s="441"/>
      <c r="D22" s="606"/>
      <c r="E22" s="115"/>
    </row>
    <row r="23" spans="1:5" s="539" customFormat="1" ht="12" customHeight="1" thickBot="1">
      <c r="A23" s="589" t="s">
        <v>80</v>
      </c>
      <c r="B23" s="364" t="s">
        <v>692</v>
      </c>
      <c r="C23" s="441"/>
      <c r="D23" s="606"/>
      <c r="E23" s="115"/>
    </row>
    <row r="24" spans="1:5" s="539" customFormat="1" ht="12" customHeight="1" thickBot="1">
      <c r="A24" s="576" t="s">
        <v>8</v>
      </c>
      <c r="B24" s="384" t="s">
        <v>124</v>
      </c>
      <c r="C24" s="41"/>
      <c r="D24" s="608"/>
      <c r="E24" s="582"/>
    </row>
    <row r="25" spans="1:5" s="539" customFormat="1" ht="12" customHeight="1" thickBot="1">
      <c r="A25" s="576" t="s">
        <v>9</v>
      </c>
      <c r="B25" s="384" t="s">
        <v>573</v>
      </c>
      <c r="C25" s="444">
        <f>+C26+C27</f>
        <v>0</v>
      </c>
      <c r="D25" s="604">
        <f>+D26+D27</f>
        <v>0</v>
      </c>
      <c r="E25" s="583">
        <f>+E26+E27</f>
        <v>0</v>
      </c>
    </row>
    <row r="26" spans="1:5" s="539" customFormat="1" ht="12" customHeight="1">
      <c r="A26" s="590" t="s">
        <v>333</v>
      </c>
      <c r="B26" s="591" t="s">
        <v>571</v>
      </c>
      <c r="C26" s="103"/>
      <c r="D26" s="597"/>
      <c r="E26" s="570"/>
    </row>
    <row r="27" spans="1:5" s="539" customFormat="1" ht="12" customHeight="1">
      <c r="A27" s="590" t="s">
        <v>339</v>
      </c>
      <c r="B27" s="592" t="s">
        <v>574</v>
      </c>
      <c r="C27" s="445"/>
      <c r="D27" s="609"/>
      <c r="E27" s="569"/>
    </row>
    <row r="28" spans="1:5" s="539" customFormat="1" ht="12" customHeight="1" thickBot="1">
      <c r="A28" s="589" t="s">
        <v>341</v>
      </c>
      <c r="B28" s="593" t="s">
        <v>693</v>
      </c>
      <c r="C28" s="573"/>
      <c r="D28" s="610"/>
      <c r="E28" s="568"/>
    </row>
    <row r="29" spans="1:5" s="539" customFormat="1" ht="12" customHeight="1" thickBot="1">
      <c r="A29" s="576" t="s">
        <v>10</v>
      </c>
      <c r="B29" s="384" t="s">
        <v>575</v>
      </c>
      <c r="C29" s="444">
        <f>+C30+C31+C32</f>
        <v>0</v>
      </c>
      <c r="D29" s="604">
        <f>+D30+D31+D32</f>
        <v>0</v>
      </c>
      <c r="E29" s="583">
        <f>+E30+E31+E32</f>
        <v>0</v>
      </c>
    </row>
    <row r="30" spans="1:5" s="539" customFormat="1" ht="12" customHeight="1">
      <c r="A30" s="590" t="s">
        <v>64</v>
      </c>
      <c r="B30" s="591" t="s">
        <v>359</v>
      </c>
      <c r="C30" s="103"/>
      <c r="D30" s="597"/>
      <c r="E30" s="570"/>
    </row>
    <row r="31" spans="1:5" s="539" customFormat="1" ht="12" customHeight="1">
      <c r="A31" s="590" t="s">
        <v>65</v>
      </c>
      <c r="B31" s="592" t="s">
        <v>360</v>
      </c>
      <c r="C31" s="445"/>
      <c r="D31" s="609"/>
      <c r="E31" s="569"/>
    </row>
    <row r="32" spans="1:5" s="539" customFormat="1" ht="12" customHeight="1" thickBot="1">
      <c r="A32" s="589" t="s">
        <v>66</v>
      </c>
      <c r="B32" s="575" t="s">
        <v>362</v>
      </c>
      <c r="C32" s="573"/>
      <c r="D32" s="610"/>
      <c r="E32" s="568"/>
    </row>
    <row r="33" spans="1:5" s="539" customFormat="1" ht="12" customHeight="1" thickBot="1">
      <c r="A33" s="576" t="s">
        <v>11</v>
      </c>
      <c r="B33" s="384" t="s">
        <v>487</v>
      </c>
      <c r="C33" s="41"/>
      <c r="D33" s="608"/>
      <c r="E33" s="582"/>
    </row>
    <row r="34" spans="1:5" s="539" customFormat="1" ht="12" customHeight="1" thickBot="1">
      <c r="A34" s="576" t="s">
        <v>12</v>
      </c>
      <c r="B34" s="384" t="s">
        <v>576</v>
      </c>
      <c r="C34" s="41"/>
      <c r="D34" s="608"/>
      <c r="E34" s="582"/>
    </row>
    <row r="35" spans="1:5" s="539" customFormat="1" ht="12" customHeight="1" thickBot="1">
      <c r="A35" s="513" t="s">
        <v>13</v>
      </c>
      <c r="B35" s="384" t="s">
        <v>577</v>
      </c>
      <c r="C35" s="444">
        <f>+C8+C19+C24+C25+C29+C33+C34</f>
        <v>0</v>
      </c>
      <c r="D35" s="604">
        <f>+D8+D19+D24+D25+D29+D33+D34</f>
        <v>0</v>
      </c>
      <c r="E35" s="583">
        <f>+E8+E19+E24+E25+E29+E33+E34</f>
        <v>0</v>
      </c>
    </row>
    <row r="36" spans="1:5" s="566" customFormat="1" ht="12" customHeight="1" thickBot="1">
      <c r="A36" s="578" t="s">
        <v>14</v>
      </c>
      <c r="B36" s="384" t="s">
        <v>578</v>
      </c>
      <c r="C36" s="444">
        <f>+C37+C38+C39</f>
        <v>0</v>
      </c>
      <c r="D36" s="604">
        <f>+D37+D38+D39</f>
        <v>0</v>
      </c>
      <c r="E36" s="583">
        <f>+E37+E38+E39</f>
        <v>0</v>
      </c>
    </row>
    <row r="37" spans="1:5" s="566" customFormat="1" ht="15" customHeight="1">
      <c r="A37" s="590" t="s">
        <v>579</v>
      </c>
      <c r="B37" s="591" t="s">
        <v>167</v>
      </c>
      <c r="C37" s="103"/>
      <c r="D37" s="597"/>
      <c r="E37" s="570"/>
    </row>
    <row r="38" spans="1:5" s="566" customFormat="1" ht="15" customHeight="1">
      <c r="A38" s="590" t="s">
        <v>580</v>
      </c>
      <c r="B38" s="592" t="s">
        <v>2</v>
      </c>
      <c r="C38" s="445"/>
      <c r="D38" s="609"/>
      <c r="E38" s="569"/>
    </row>
    <row r="39" spans="1:5" ht="13.5" thickBot="1">
      <c r="A39" s="589" t="s">
        <v>581</v>
      </c>
      <c r="B39" s="575" t="s">
        <v>582</v>
      </c>
      <c r="C39" s="573"/>
      <c r="D39" s="610"/>
      <c r="E39" s="568"/>
    </row>
    <row r="40" spans="1:5" s="565" customFormat="1" ht="16.5" customHeight="1" thickBot="1">
      <c r="A40" s="578" t="s">
        <v>15</v>
      </c>
      <c r="B40" s="579" t="s">
        <v>583</v>
      </c>
      <c r="C40" s="109">
        <f>+C35+C36</f>
        <v>0</v>
      </c>
      <c r="D40" s="611">
        <f>+D35+D36</f>
        <v>0</v>
      </c>
      <c r="E40" s="584">
        <f>+E35+E36</f>
        <v>0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97" t="s">
        <v>44</v>
      </c>
      <c r="B43" s="798"/>
      <c r="C43" s="798"/>
      <c r="D43" s="798"/>
      <c r="E43" s="799"/>
    </row>
    <row r="44" spans="1:5" ht="12" customHeight="1" thickBot="1">
      <c r="A44" s="576" t="s">
        <v>6</v>
      </c>
      <c r="B44" s="384" t="s">
        <v>584</v>
      </c>
      <c r="C44" s="444">
        <f>SUM(C45:C49)</f>
        <v>0</v>
      </c>
      <c r="D44" s="444">
        <f>SUM(D45:D49)</f>
        <v>0</v>
      </c>
      <c r="E44" s="583">
        <f>SUM(E45:E49)</f>
        <v>0</v>
      </c>
    </row>
    <row r="45" spans="1:5" ht="12" customHeight="1">
      <c r="A45" s="589" t="s">
        <v>71</v>
      </c>
      <c r="B45" s="365" t="s">
        <v>36</v>
      </c>
      <c r="C45" s="103"/>
      <c r="D45" s="103"/>
      <c r="E45" s="570"/>
    </row>
    <row r="46" spans="1:5" ht="12" customHeight="1">
      <c r="A46" s="589" t="s">
        <v>72</v>
      </c>
      <c r="B46" s="364" t="s">
        <v>133</v>
      </c>
      <c r="C46" s="438"/>
      <c r="D46" s="438"/>
      <c r="E46" s="594"/>
    </row>
    <row r="47" spans="1:5" ht="12" customHeight="1">
      <c r="A47" s="589" t="s">
        <v>73</v>
      </c>
      <c r="B47" s="364" t="s">
        <v>100</v>
      </c>
      <c r="C47" s="438"/>
      <c r="D47" s="438"/>
      <c r="E47" s="594"/>
    </row>
    <row r="48" spans="1:5" s="339" customFormat="1" ht="12" customHeight="1">
      <c r="A48" s="589" t="s">
        <v>74</v>
      </c>
      <c r="B48" s="364" t="s">
        <v>134</v>
      </c>
      <c r="C48" s="438"/>
      <c r="D48" s="438"/>
      <c r="E48" s="594"/>
    </row>
    <row r="49" spans="1:5" ht="12" customHeight="1" thickBot="1">
      <c r="A49" s="589" t="s">
        <v>107</v>
      </c>
      <c r="B49" s="364" t="s">
        <v>135</v>
      </c>
      <c r="C49" s="438"/>
      <c r="D49" s="438"/>
      <c r="E49" s="594"/>
    </row>
    <row r="50" spans="1:5" ht="12" customHeight="1" thickBot="1">
      <c r="A50" s="576" t="s">
        <v>7</v>
      </c>
      <c r="B50" s="384" t="s">
        <v>585</v>
      </c>
      <c r="C50" s="444">
        <f>SUM(C51:C53)</f>
        <v>0</v>
      </c>
      <c r="D50" s="444">
        <f>SUM(D51:D53)</f>
        <v>0</v>
      </c>
      <c r="E50" s="583">
        <f>SUM(E51:E53)</f>
        <v>0</v>
      </c>
    </row>
    <row r="51" spans="1:5" ht="12" customHeight="1">
      <c r="A51" s="589" t="s">
        <v>77</v>
      </c>
      <c r="B51" s="365" t="s">
        <v>157</v>
      </c>
      <c r="C51" s="103"/>
      <c r="D51" s="103"/>
      <c r="E51" s="570"/>
    </row>
    <row r="52" spans="1:5" ht="12" customHeight="1">
      <c r="A52" s="589" t="s">
        <v>78</v>
      </c>
      <c r="B52" s="364" t="s">
        <v>137</v>
      </c>
      <c r="C52" s="438"/>
      <c r="D52" s="438"/>
      <c r="E52" s="594"/>
    </row>
    <row r="53" spans="1:5" ht="15" customHeight="1">
      <c r="A53" s="589" t="s">
        <v>79</v>
      </c>
      <c r="B53" s="364" t="s">
        <v>45</v>
      </c>
      <c r="C53" s="438"/>
      <c r="D53" s="438"/>
      <c r="E53" s="594"/>
    </row>
    <row r="54" spans="1:5" ht="13.5" thickBot="1">
      <c r="A54" s="589" t="s">
        <v>80</v>
      </c>
      <c r="B54" s="364" t="s">
        <v>694</v>
      </c>
      <c r="C54" s="438"/>
      <c r="D54" s="438"/>
      <c r="E54" s="594"/>
    </row>
    <row r="55" spans="1:5" ht="15" customHeight="1" thickBot="1">
      <c r="A55" s="576" t="s">
        <v>8</v>
      </c>
      <c r="B55" s="580" t="s">
        <v>586</v>
      </c>
      <c r="C55" s="109">
        <f>+C44+C50</f>
        <v>0</v>
      </c>
      <c r="D55" s="109">
        <f>+D44+D50</f>
        <v>0</v>
      </c>
      <c r="E55" s="584">
        <f>+E44+E50</f>
        <v>0</v>
      </c>
    </row>
    <row r="56" spans="3:5" ht="13.5" thickBot="1">
      <c r="C56" s="585"/>
      <c r="D56" s="585"/>
      <c r="E56" s="585"/>
    </row>
    <row r="57" spans="1:5" ht="13.5" thickBot="1">
      <c r="A57" s="525" t="s">
        <v>682</v>
      </c>
      <c r="B57" s="526"/>
      <c r="C57" s="113"/>
      <c r="D57" s="113"/>
      <c r="E57" s="574"/>
    </row>
    <row r="58" spans="1:5" ht="13.5" thickBot="1">
      <c r="A58" s="525" t="s">
        <v>149</v>
      </c>
      <c r="B58" s="526"/>
      <c r="C58" s="113"/>
      <c r="D58" s="113"/>
      <c r="E58" s="574"/>
    </row>
  </sheetData>
  <sheetProtection sheet="1" objects="1" scenarios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.00390625" style="337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880</v>
      </c>
    </row>
    <row r="2" spans="1:7" ht="17.25" customHeight="1" thickBot="1">
      <c r="A2" s="814" t="s">
        <v>4</v>
      </c>
      <c r="B2" s="812" t="s">
        <v>310</v>
      </c>
      <c r="C2" s="812" t="s">
        <v>695</v>
      </c>
      <c r="D2" s="812" t="s">
        <v>738</v>
      </c>
      <c r="E2" s="810" t="s">
        <v>696</v>
      </c>
      <c r="F2" s="810"/>
      <c r="G2" s="811"/>
    </row>
    <row r="3" spans="1:7" s="338" customFormat="1" ht="57.75" customHeight="1" thickBot="1">
      <c r="A3" s="815"/>
      <c r="B3" s="813"/>
      <c r="C3" s="813"/>
      <c r="D3" s="813"/>
      <c r="E3" s="30" t="s">
        <v>697</v>
      </c>
      <c r="F3" s="30" t="s">
        <v>698</v>
      </c>
      <c r="G3" s="673" t="s">
        <v>699</v>
      </c>
    </row>
    <row r="4" spans="1:7" s="339" customFormat="1" ht="15" customHeight="1" thickBot="1">
      <c r="A4" s="513" t="s">
        <v>427</v>
      </c>
      <c r="B4" s="514" t="s">
        <v>428</v>
      </c>
      <c r="C4" s="514" t="s">
        <v>429</v>
      </c>
      <c r="D4" s="514" t="s">
        <v>430</v>
      </c>
      <c r="E4" s="514" t="s">
        <v>739</v>
      </c>
      <c r="F4" s="514" t="s">
        <v>508</v>
      </c>
      <c r="G4" s="598" t="s">
        <v>509</v>
      </c>
    </row>
    <row r="5" spans="1:7" ht="15" customHeight="1">
      <c r="A5" s="340" t="s">
        <v>6</v>
      </c>
      <c r="B5" s="341" t="s">
        <v>821</v>
      </c>
      <c r="C5" s="342">
        <v>136352618</v>
      </c>
      <c r="D5" s="342"/>
      <c r="E5" s="343">
        <f aca="true" t="shared" si="0" ref="E5:E29">C5+D5</f>
        <v>136352618</v>
      </c>
      <c r="F5" s="342">
        <v>42292941</v>
      </c>
      <c r="G5" s="344">
        <v>94059677</v>
      </c>
    </row>
    <row r="6" spans="1:7" ht="15" customHeight="1">
      <c r="A6" s="345" t="s">
        <v>7</v>
      </c>
      <c r="B6" s="346" t="s">
        <v>820</v>
      </c>
      <c r="C6" s="2">
        <v>564767</v>
      </c>
      <c r="D6" s="2"/>
      <c r="E6" s="343">
        <f t="shared" si="0"/>
        <v>564767</v>
      </c>
      <c r="F6" s="2"/>
      <c r="G6" s="181">
        <v>564767</v>
      </c>
    </row>
    <row r="7" spans="1:7" ht="15" customHeight="1">
      <c r="A7" s="345" t="s">
        <v>8</v>
      </c>
      <c r="B7" s="346" t="s">
        <v>822</v>
      </c>
      <c r="C7" s="2">
        <v>1065891</v>
      </c>
      <c r="D7" s="2"/>
      <c r="E7" s="343">
        <f t="shared" si="0"/>
        <v>1065891</v>
      </c>
      <c r="F7" s="2">
        <v>680891</v>
      </c>
      <c r="G7" s="181">
        <v>385000</v>
      </c>
    </row>
    <row r="8" spans="1:7" ht="15" customHeight="1">
      <c r="A8" s="345" t="s">
        <v>9</v>
      </c>
      <c r="B8" s="346"/>
      <c r="C8" s="2"/>
      <c r="D8" s="2"/>
      <c r="E8" s="343">
        <f t="shared" si="0"/>
        <v>0</v>
      </c>
      <c r="F8" s="2"/>
      <c r="G8" s="181"/>
    </row>
    <row r="9" spans="1:7" ht="15" customHeight="1">
      <c r="A9" s="345" t="s">
        <v>10</v>
      </c>
      <c r="B9" s="346"/>
      <c r="C9" s="2"/>
      <c r="D9" s="2"/>
      <c r="E9" s="343">
        <f t="shared" si="0"/>
        <v>0</v>
      </c>
      <c r="F9" s="2"/>
      <c r="G9" s="181"/>
    </row>
    <row r="10" spans="1:7" ht="15" customHeight="1">
      <c r="A10" s="345" t="s">
        <v>11</v>
      </c>
      <c r="B10" s="346"/>
      <c r="C10" s="2"/>
      <c r="D10" s="2"/>
      <c r="E10" s="343">
        <f t="shared" si="0"/>
        <v>0</v>
      </c>
      <c r="F10" s="2"/>
      <c r="G10" s="181"/>
    </row>
    <row r="11" spans="1:7" ht="15" customHeight="1">
      <c r="A11" s="345" t="s">
        <v>12</v>
      </c>
      <c r="B11" s="346"/>
      <c r="C11" s="2"/>
      <c r="D11" s="2"/>
      <c r="E11" s="343">
        <f t="shared" si="0"/>
        <v>0</v>
      </c>
      <c r="F11" s="2"/>
      <c r="G11" s="181"/>
    </row>
    <row r="12" spans="1:7" ht="15" customHeight="1">
      <c r="A12" s="345" t="s">
        <v>13</v>
      </c>
      <c r="B12" s="346"/>
      <c r="C12" s="2"/>
      <c r="D12" s="2"/>
      <c r="E12" s="343">
        <f t="shared" si="0"/>
        <v>0</v>
      </c>
      <c r="F12" s="2"/>
      <c r="G12" s="181"/>
    </row>
    <row r="13" spans="1:7" ht="15" customHeight="1">
      <c r="A13" s="345" t="s">
        <v>14</v>
      </c>
      <c r="B13" s="346"/>
      <c r="C13" s="2"/>
      <c r="D13" s="2"/>
      <c r="E13" s="343">
        <f t="shared" si="0"/>
        <v>0</v>
      </c>
      <c r="F13" s="2"/>
      <c r="G13" s="181"/>
    </row>
    <row r="14" spans="1:7" ht="15" customHeight="1">
      <c r="A14" s="345" t="s">
        <v>15</v>
      </c>
      <c r="B14" s="346"/>
      <c r="C14" s="2"/>
      <c r="D14" s="2"/>
      <c r="E14" s="343">
        <f t="shared" si="0"/>
        <v>0</v>
      </c>
      <c r="F14" s="2"/>
      <c r="G14" s="181"/>
    </row>
    <row r="15" spans="1:7" ht="15" customHeight="1">
      <c r="A15" s="345" t="s">
        <v>16</v>
      </c>
      <c r="B15" s="346"/>
      <c r="C15" s="2"/>
      <c r="D15" s="2"/>
      <c r="E15" s="343">
        <f t="shared" si="0"/>
        <v>0</v>
      </c>
      <c r="F15" s="2"/>
      <c r="G15" s="181"/>
    </row>
    <row r="16" spans="1:7" ht="15" customHeight="1">
      <c r="A16" s="345" t="s">
        <v>17</v>
      </c>
      <c r="B16" s="346"/>
      <c r="C16" s="2"/>
      <c r="D16" s="2"/>
      <c r="E16" s="343">
        <f t="shared" si="0"/>
        <v>0</v>
      </c>
      <c r="F16" s="2"/>
      <c r="G16" s="181"/>
    </row>
    <row r="17" spans="1:7" ht="15" customHeight="1">
      <c r="A17" s="345" t="s">
        <v>18</v>
      </c>
      <c r="B17" s="346"/>
      <c r="C17" s="2"/>
      <c r="D17" s="2"/>
      <c r="E17" s="343">
        <f t="shared" si="0"/>
        <v>0</v>
      </c>
      <c r="F17" s="2"/>
      <c r="G17" s="181"/>
    </row>
    <row r="18" spans="1:7" ht="15" customHeight="1">
      <c r="A18" s="345" t="s">
        <v>19</v>
      </c>
      <c r="B18" s="346"/>
      <c r="C18" s="2"/>
      <c r="D18" s="2"/>
      <c r="E18" s="343">
        <f t="shared" si="0"/>
        <v>0</v>
      </c>
      <c r="F18" s="2"/>
      <c r="G18" s="181"/>
    </row>
    <row r="19" spans="1:7" ht="15" customHeight="1">
      <c r="A19" s="345" t="s">
        <v>20</v>
      </c>
      <c r="B19" s="346"/>
      <c r="C19" s="2"/>
      <c r="D19" s="2"/>
      <c r="E19" s="343">
        <f t="shared" si="0"/>
        <v>0</v>
      </c>
      <c r="F19" s="2"/>
      <c r="G19" s="181"/>
    </row>
    <row r="20" spans="1:7" ht="15" customHeight="1">
      <c r="A20" s="345" t="s">
        <v>21</v>
      </c>
      <c r="B20" s="346"/>
      <c r="C20" s="2"/>
      <c r="D20" s="2"/>
      <c r="E20" s="343">
        <f t="shared" si="0"/>
        <v>0</v>
      </c>
      <c r="F20" s="2"/>
      <c r="G20" s="181"/>
    </row>
    <row r="21" spans="1:7" ht="15" customHeight="1">
      <c r="A21" s="345" t="s">
        <v>22</v>
      </c>
      <c r="B21" s="346"/>
      <c r="C21" s="2"/>
      <c r="D21" s="2"/>
      <c r="E21" s="343">
        <f t="shared" si="0"/>
        <v>0</v>
      </c>
      <c r="F21" s="2"/>
      <c r="G21" s="181"/>
    </row>
    <row r="22" spans="1:7" ht="15" customHeight="1">
      <c r="A22" s="345" t="s">
        <v>23</v>
      </c>
      <c r="B22" s="346"/>
      <c r="C22" s="2"/>
      <c r="D22" s="2"/>
      <c r="E22" s="343">
        <f t="shared" si="0"/>
        <v>0</v>
      </c>
      <c r="F22" s="2"/>
      <c r="G22" s="181"/>
    </row>
    <row r="23" spans="1:7" ht="15" customHeight="1">
      <c r="A23" s="345" t="s">
        <v>24</v>
      </c>
      <c r="B23" s="346"/>
      <c r="C23" s="2"/>
      <c r="D23" s="2"/>
      <c r="E23" s="343">
        <f t="shared" si="0"/>
        <v>0</v>
      </c>
      <c r="F23" s="2"/>
      <c r="G23" s="181"/>
    </row>
    <row r="24" spans="1:7" ht="15" customHeight="1">
      <c r="A24" s="345" t="s">
        <v>25</v>
      </c>
      <c r="B24" s="346"/>
      <c r="C24" s="2"/>
      <c r="D24" s="2"/>
      <c r="E24" s="343">
        <f t="shared" si="0"/>
        <v>0</v>
      </c>
      <c r="F24" s="2"/>
      <c r="G24" s="181"/>
    </row>
    <row r="25" spans="1:7" ht="15" customHeight="1">
      <c r="A25" s="345" t="s">
        <v>26</v>
      </c>
      <c r="B25" s="346"/>
      <c r="C25" s="2"/>
      <c r="D25" s="2"/>
      <c r="E25" s="343">
        <f t="shared" si="0"/>
        <v>0</v>
      </c>
      <c r="F25" s="2"/>
      <c r="G25" s="181"/>
    </row>
    <row r="26" spans="1:7" ht="15" customHeight="1">
      <c r="A26" s="345" t="s">
        <v>27</v>
      </c>
      <c r="B26" s="346"/>
      <c r="C26" s="2"/>
      <c r="D26" s="2"/>
      <c r="E26" s="343">
        <f t="shared" si="0"/>
        <v>0</v>
      </c>
      <c r="F26" s="2"/>
      <c r="G26" s="181"/>
    </row>
    <row r="27" spans="1:7" ht="15" customHeight="1">
      <c r="A27" s="345" t="s">
        <v>28</v>
      </c>
      <c r="B27" s="346"/>
      <c r="C27" s="2"/>
      <c r="D27" s="2"/>
      <c r="E27" s="343">
        <f t="shared" si="0"/>
        <v>0</v>
      </c>
      <c r="F27" s="2"/>
      <c r="G27" s="181"/>
    </row>
    <row r="28" spans="1:7" ht="15" customHeight="1">
      <c r="A28" s="345" t="s">
        <v>29</v>
      </c>
      <c r="B28" s="346"/>
      <c r="C28" s="2"/>
      <c r="D28" s="2"/>
      <c r="E28" s="343">
        <f t="shared" si="0"/>
        <v>0</v>
      </c>
      <c r="F28" s="2"/>
      <c r="G28" s="181"/>
    </row>
    <row r="29" spans="1:7" ht="15" customHeight="1">
      <c r="A29" s="345" t="s">
        <v>30</v>
      </c>
      <c r="B29" s="346"/>
      <c r="C29" s="2"/>
      <c r="D29" s="2"/>
      <c r="E29" s="343">
        <f t="shared" si="0"/>
        <v>0</v>
      </c>
      <c r="F29" s="2"/>
      <c r="G29" s="181"/>
    </row>
    <row r="30" spans="1:7" ht="15" customHeight="1">
      <c r="A30" s="345" t="s">
        <v>31</v>
      </c>
      <c r="B30" s="346"/>
      <c r="C30" s="2"/>
      <c r="D30" s="2"/>
      <c r="E30" s="343"/>
      <c r="F30" s="2"/>
      <c r="G30" s="181"/>
    </row>
    <row r="31" spans="1:7" ht="15" customHeight="1">
      <c r="A31" s="345" t="s">
        <v>32</v>
      </c>
      <c r="B31" s="346"/>
      <c r="C31" s="2"/>
      <c r="D31" s="2"/>
      <c r="E31" s="343">
        <f>C31+D31</f>
        <v>0</v>
      </c>
      <c r="F31" s="2"/>
      <c r="G31" s="181"/>
    </row>
    <row r="32" spans="1:7" ht="15" customHeight="1">
      <c r="A32" s="345" t="s">
        <v>33</v>
      </c>
      <c r="B32" s="346"/>
      <c r="C32" s="2"/>
      <c r="D32" s="2"/>
      <c r="E32" s="343">
        <f>C32+D32</f>
        <v>0</v>
      </c>
      <c r="F32" s="2"/>
      <c r="G32" s="181"/>
    </row>
    <row r="33" spans="1:7" ht="15" customHeight="1">
      <c r="A33" s="345" t="s">
        <v>34</v>
      </c>
      <c r="B33" s="346"/>
      <c r="C33" s="2"/>
      <c r="D33" s="2"/>
      <c r="E33" s="343">
        <f>C33+D33</f>
        <v>0</v>
      </c>
      <c r="F33" s="2"/>
      <c r="G33" s="181"/>
    </row>
    <row r="34" spans="1:7" ht="15" customHeight="1">
      <c r="A34" s="345" t="s">
        <v>91</v>
      </c>
      <c r="B34" s="346"/>
      <c r="C34" s="2"/>
      <c r="D34" s="2"/>
      <c r="E34" s="343">
        <f>C34+D34</f>
        <v>0</v>
      </c>
      <c r="F34" s="2"/>
      <c r="G34" s="181"/>
    </row>
    <row r="35" spans="1:7" ht="15" customHeight="1" thickBot="1">
      <c r="A35" s="345" t="s">
        <v>189</v>
      </c>
      <c r="B35" s="347"/>
      <c r="C35" s="3"/>
      <c r="D35" s="3"/>
      <c r="E35" s="343">
        <f>C35+D35</f>
        <v>0</v>
      </c>
      <c r="F35" s="3"/>
      <c r="G35" s="348"/>
    </row>
    <row r="36" spans="1:7" ht="15" customHeight="1" thickBot="1">
      <c r="A36" s="808" t="s">
        <v>39</v>
      </c>
      <c r="B36" s="809"/>
      <c r="C36" s="14">
        <f>SUM(C5:C35)</f>
        <v>137983276</v>
      </c>
      <c r="D36" s="14">
        <f>SUM(D5:D35)</f>
        <v>0</v>
      </c>
      <c r="E36" s="14">
        <f>SUM(E5:E35)</f>
        <v>137983276</v>
      </c>
      <c r="F36" s="14">
        <f>SUM(F5:F35)</f>
        <v>42973832</v>
      </c>
      <c r="G36" s="15">
        <f>SUM(G5:G35)</f>
        <v>95009444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scale="90" r:id="rId1"/>
  <headerFooter alignWithMargins="0">
    <oddHeader>&amp;C&amp;"Times New Roman CE,Félkövér"&amp;12
KÖLTSÉGVETÉSI SZERVEK PÉNZMARADVÁNYÁNAK ALAKULÁSA&amp;R&amp;"Times New Roman CE,Félkövér dőlt"&amp;12 9. melléklet a 6 /2018. (V.30.) önkormányzati rendelethez&amp;"Times New Roman CE,Dőlt"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R29"/>
  <sheetViews>
    <sheetView zoomScalePageLayoutView="0" workbookViewId="0" topLeftCell="B1">
      <selection activeCell="W10" sqref="W10"/>
    </sheetView>
  </sheetViews>
  <sheetFormatPr defaultColWidth="9.00390625" defaultRowHeight="12.75"/>
  <cols>
    <col min="1" max="1" width="4.875" style="694" customWidth="1"/>
    <col min="2" max="2" width="36.625" style="693" customWidth="1"/>
    <col min="3" max="3" width="7.50390625" style="693" customWidth="1"/>
    <col min="4" max="5" width="9.00390625" style="693" customWidth="1"/>
    <col min="6" max="6" width="9.50390625" style="693" customWidth="1"/>
    <col min="7" max="7" width="8.875" style="693" customWidth="1"/>
    <col min="8" max="8" width="8.625" style="693" customWidth="1"/>
    <col min="9" max="9" width="8.875" style="693" customWidth="1"/>
    <col min="10" max="10" width="8.125" style="693" customWidth="1"/>
    <col min="11" max="15" width="9.50390625" style="693" customWidth="1"/>
    <col min="16" max="16" width="12.625" style="694" customWidth="1"/>
    <col min="17" max="17" width="9.875" style="737" hidden="1" customWidth="1"/>
    <col min="18" max="18" width="11.875" style="693" hidden="1" customWidth="1"/>
    <col min="19" max="16384" width="9.375" style="693" customWidth="1"/>
  </cols>
  <sheetData>
    <row r="1" spans="1:16" ht="31.5" customHeight="1">
      <c r="A1" s="816" t="s">
        <v>918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</row>
    <row r="2" ht="18.75" customHeight="1" thickBot="1">
      <c r="P2" s="695" t="s">
        <v>41</v>
      </c>
    </row>
    <row r="3" spans="1:17" s="694" customFormat="1" ht="30.75" customHeight="1" thickBot="1">
      <c r="A3" s="696" t="s">
        <v>4</v>
      </c>
      <c r="B3" s="697" t="s">
        <v>52</v>
      </c>
      <c r="C3" s="697"/>
      <c r="D3" s="697" t="s">
        <v>833</v>
      </c>
      <c r="E3" s="697" t="s">
        <v>834</v>
      </c>
      <c r="F3" s="697" t="s">
        <v>835</v>
      </c>
      <c r="G3" s="697" t="s">
        <v>836</v>
      </c>
      <c r="H3" s="697" t="s">
        <v>837</v>
      </c>
      <c r="I3" s="697" t="s">
        <v>838</v>
      </c>
      <c r="J3" s="697" t="s">
        <v>839</v>
      </c>
      <c r="K3" s="697" t="s">
        <v>840</v>
      </c>
      <c r="L3" s="697" t="s">
        <v>841</v>
      </c>
      <c r="M3" s="697" t="s">
        <v>842</v>
      </c>
      <c r="N3" s="697" t="s">
        <v>843</v>
      </c>
      <c r="O3" s="697" t="s">
        <v>844</v>
      </c>
      <c r="P3" s="698" t="s">
        <v>39</v>
      </c>
      <c r="Q3" s="745" t="s">
        <v>895</v>
      </c>
    </row>
    <row r="4" spans="1:18" s="700" customFormat="1" ht="15" customHeight="1" thickBot="1">
      <c r="A4" s="699" t="s">
        <v>6</v>
      </c>
      <c r="B4" s="818" t="s">
        <v>43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20"/>
      <c r="Q4" s="746"/>
      <c r="R4" s="747" t="s">
        <v>896</v>
      </c>
    </row>
    <row r="5" spans="1:17" s="700" customFormat="1" ht="15" customHeight="1">
      <c r="A5" s="701" t="s">
        <v>7</v>
      </c>
      <c r="B5" s="702" t="s">
        <v>845</v>
      </c>
      <c r="C5" s="702"/>
      <c r="D5" s="738">
        <v>180057</v>
      </c>
      <c r="E5" s="739">
        <f>+D27</f>
        <v>356404</v>
      </c>
      <c r="F5" s="739">
        <f>+E27</f>
        <v>356067</v>
      </c>
      <c r="G5" s="739">
        <f aca="true" t="shared" si="0" ref="G5:O5">+F27</f>
        <v>374544</v>
      </c>
      <c r="H5" s="739">
        <f t="shared" si="0"/>
        <v>386259</v>
      </c>
      <c r="I5" s="739">
        <f t="shared" si="0"/>
        <v>381329</v>
      </c>
      <c r="J5" s="739">
        <f t="shared" si="0"/>
        <v>352946</v>
      </c>
      <c r="K5" s="739">
        <f t="shared" si="0"/>
        <v>296881</v>
      </c>
      <c r="L5" s="739">
        <f t="shared" si="0"/>
        <v>278749</v>
      </c>
      <c r="M5" s="739">
        <f t="shared" si="0"/>
        <v>319990</v>
      </c>
      <c r="N5" s="739">
        <f t="shared" si="0"/>
        <v>315202</v>
      </c>
      <c r="O5" s="739">
        <f t="shared" si="0"/>
        <v>309976</v>
      </c>
      <c r="P5" s="704" t="s">
        <v>846</v>
      </c>
      <c r="Q5" s="746"/>
    </row>
    <row r="6" spans="1:18" s="700" customFormat="1" ht="15.75">
      <c r="A6" s="705" t="s">
        <v>8</v>
      </c>
      <c r="B6" s="706" t="s">
        <v>484</v>
      </c>
      <c r="C6" s="706" t="s">
        <v>847</v>
      </c>
      <c r="D6" s="703">
        <v>15545</v>
      </c>
      <c r="E6" s="703">
        <v>10745</v>
      </c>
      <c r="F6" s="703">
        <v>10729</v>
      </c>
      <c r="G6" s="703">
        <v>10803</v>
      </c>
      <c r="H6" s="703">
        <v>10734</v>
      </c>
      <c r="I6" s="703">
        <v>12071</v>
      </c>
      <c r="J6" s="703">
        <v>11825</v>
      </c>
      <c r="K6" s="703">
        <v>11479</v>
      </c>
      <c r="L6" s="703">
        <v>10944</v>
      </c>
      <c r="M6" s="703">
        <v>12322</v>
      </c>
      <c r="N6" s="703">
        <v>10944</v>
      </c>
      <c r="O6" s="703">
        <v>11837</v>
      </c>
      <c r="P6" s="708">
        <f aca="true" t="shared" si="1" ref="P6:P14">SUM(D6:O6)</f>
        <v>139978</v>
      </c>
      <c r="Q6" s="746">
        <v>135649</v>
      </c>
      <c r="R6" s="748">
        <f>P6-Q6</f>
        <v>4329</v>
      </c>
    </row>
    <row r="7" spans="1:18" s="709" customFormat="1" ht="22.5">
      <c r="A7" s="705" t="s">
        <v>9</v>
      </c>
      <c r="B7" s="706" t="s">
        <v>848</v>
      </c>
      <c r="C7" s="706" t="s">
        <v>849</v>
      </c>
      <c r="D7" s="707">
        <v>721</v>
      </c>
      <c r="E7" s="707">
        <v>792</v>
      </c>
      <c r="F7" s="707">
        <v>1124</v>
      </c>
      <c r="G7" s="707">
        <v>7191</v>
      </c>
      <c r="H7" s="707">
        <v>3945</v>
      </c>
      <c r="I7" s="707">
        <f>1196+2</f>
        <v>1198</v>
      </c>
      <c r="J7" s="707">
        <v>1219</v>
      </c>
      <c r="K7" s="707">
        <v>7102</v>
      </c>
      <c r="L7" s="707">
        <v>2286</v>
      </c>
      <c r="M7" s="707">
        <v>1193</v>
      </c>
      <c r="N7" s="707">
        <v>1155</v>
      </c>
      <c r="O7" s="707">
        <v>1837</v>
      </c>
      <c r="P7" s="708">
        <f t="shared" si="1"/>
        <v>29763</v>
      </c>
      <c r="Q7" s="749">
        <v>31597</v>
      </c>
      <c r="R7" s="748">
        <f aca="true" t="shared" si="2" ref="R7:R25">P7-Q7</f>
        <v>-1834</v>
      </c>
    </row>
    <row r="8" spans="1:18" s="709" customFormat="1" ht="22.5">
      <c r="A8" s="705" t="s">
        <v>10</v>
      </c>
      <c r="B8" s="710" t="s">
        <v>850</v>
      </c>
      <c r="C8" s="710" t="s">
        <v>851</v>
      </c>
      <c r="D8" s="711"/>
      <c r="E8" s="711"/>
      <c r="F8" s="711"/>
      <c r="G8" s="711">
        <v>9800</v>
      </c>
      <c r="H8" s="711">
        <v>3800</v>
      </c>
      <c r="I8" s="711"/>
      <c r="J8" s="711"/>
      <c r="K8" s="711"/>
      <c r="L8" s="711">
        <v>22110</v>
      </c>
      <c r="M8" s="711">
        <v>-72</v>
      </c>
      <c r="N8" s="711"/>
      <c r="O8" s="711">
        <v>2534</v>
      </c>
      <c r="P8" s="712">
        <f t="shared" si="1"/>
        <v>38172</v>
      </c>
      <c r="Q8" s="749">
        <v>69695</v>
      </c>
      <c r="R8" s="748">
        <f t="shared" si="2"/>
        <v>-31523</v>
      </c>
    </row>
    <row r="9" spans="1:18" s="709" customFormat="1" ht="13.5" customHeight="1">
      <c r="A9" s="705" t="s">
        <v>11</v>
      </c>
      <c r="B9" s="713" t="s">
        <v>124</v>
      </c>
      <c r="C9" s="713" t="s">
        <v>852</v>
      </c>
      <c r="D9" s="707">
        <v>582</v>
      </c>
      <c r="E9" s="707">
        <v>3517</v>
      </c>
      <c r="F9" s="707">
        <v>26818</v>
      </c>
      <c r="G9" s="707">
        <v>3913</v>
      </c>
      <c r="H9" s="707">
        <v>557</v>
      </c>
      <c r="I9" s="707">
        <v>-1356</v>
      </c>
      <c r="J9" s="707">
        <v>332</v>
      </c>
      <c r="K9" s="707">
        <v>3782</v>
      </c>
      <c r="L9" s="707">
        <v>27138</v>
      </c>
      <c r="M9" s="707">
        <v>2910</v>
      </c>
      <c r="N9" s="711">
        <v>1310</v>
      </c>
      <c r="O9" s="707">
        <v>10037</v>
      </c>
      <c r="P9" s="708">
        <f t="shared" si="1"/>
        <v>79540</v>
      </c>
      <c r="Q9" s="749">
        <v>78645</v>
      </c>
      <c r="R9" s="748">
        <f t="shared" si="2"/>
        <v>895</v>
      </c>
    </row>
    <row r="10" spans="1:18" s="709" customFormat="1" ht="13.5" customHeight="1">
      <c r="A10" s="705" t="s">
        <v>12</v>
      </c>
      <c r="B10" s="713" t="s">
        <v>853</v>
      </c>
      <c r="C10" s="713" t="s">
        <v>854</v>
      </c>
      <c r="D10" s="707">
        <f>1379+397</f>
        <v>1776</v>
      </c>
      <c r="E10" s="707">
        <f>2431+1055</f>
        <v>3486</v>
      </c>
      <c r="F10" s="707">
        <f>1285+1152</f>
        <v>2437</v>
      </c>
      <c r="G10" s="707">
        <f>3511+1240</f>
        <v>4751</v>
      </c>
      <c r="H10" s="707">
        <f>1817+1183</f>
        <v>3000</v>
      </c>
      <c r="I10" s="707">
        <f>1106+1090</f>
        <v>2196</v>
      </c>
      <c r="J10" s="707">
        <f>1317+1081</f>
        <v>2398</v>
      </c>
      <c r="K10" s="707">
        <f>2781+614+851</f>
        <v>4246</v>
      </c>
      <c r="L10" s="707">
        <f>1748+3+1000</f>
        <v>2751</v>
      </c>
      <c r="M10" s="707">
        <f>1571+1355</f>
        <v>2926</v>
      </c>
      <c r="N10" s="707">
        <f>1733+1630</f>
        <v>3363</v>
      </c>
      <c r="O10" s="707">
        <v>3524</v>
      </c>
      <c r="P10" s="708">
        <f t="shared" si="1"/>
        <v>36854</v>
      </c>
      <c r="Q10" s="749">
        <v>45136</v>
      </c>
      <c r="R10" s="748">
        <f t="shared" si="2"/>
        <v>-8282</v>
      </c>
    </row>
    <row r="11" spans="1:18" s="709" customFormat="1" ht="13.5" customHeight="1">
      <c r="A11" s="705" t="s">
        <v>13</v>
      </c>
      <c r="B11" s="713" t="s">
        <v>501</v>
      </c>
      <c r="C11" s="713" t="s">
        <v>855</v>
      </c>
      <c r="D11" s="707"/>
      <c r="E11" s="707"/>
      <c r="F11" s="707"/>
      <c r="G11" s="707">
        <v>50</v>
      </c>
      <c r="H11" s="707">
        <v>404</v>
      </c>
      <c r="I11" s="707">
        <v>50</v>
      </c>
      <c r="J11" s="707">
        <v>50</v>
      </c>
      <c r="K11" s="707">
        <v>50</v>
      </c>
      <c r="L11" s="707">
        <v>50</v>
      </c>
      <c r="M11" s="707">
        <v>50</v>
      </c>
      <c r="N11" s="707">
        <v>50</v>
      </c>
      <c r="O11" s="707">
        <v>50</v>
      </c>
      <c r="P11" s="708">
        <f t="shared" si="1"/>
        <v>804</v>
      </c>
      <c r="Q11" s="749">
        <v>920</v>
      </c>
      <c r="R11" s="748">
        <f t="shared" si="2"/>
        <v>-116</v>
      </c>
    </row>
    <row r="12" spans="1:18" s="709" customFormat="1" ht="13.5" customHeight="1">
      <c r="A12" s="705" t="s">
        <v>14</v>
      </c>
      <c r="B12" s="713" t="s">
        <v>487</v>
      </c>
      <c r="C12" s="713" t="s">
        <v>856</v>
      </c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8">
        <f t="shared" si="1"/>
        <v>0</v>
      </c>
      <c r="Q12" s="749">
        <v>290</v>
      </c>
      <c r="R12" s="748">
        <f t="shared" si="2"/>
        <v>-290</v>
      </c>
    </row>
    <row r="13" spans="1:18" s="709" customFormat="1" ht="15.75">
      <c r="A13" s="705" t="s">
        <v>15</v>
      </c>
      <c r="B13" s="706" t="s">
        <v>576</v>
      </c>
      <c r="C13" s="706" t="s">
        <v>857</v>
      </c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8">
        <f t="shared" si="1"/>
        <v>0</v>
      </c>
      <c r="Q13" s="749"/>
      <c r="R13" s="748">
        <f t="shared" si="2"/>
        <v>0</v>
      </c>
    </row>
    <row r="14" spans="1:18" s="709" customFormat="1" ht="13.5" customHeight="1" thickBot="1">
      <c r="A14" s="714" t="s">
        <v>16</v>
      </c>
      <c r="B14" s="713" t="s">
        <v>858</v>
      </c>
      <c r="C14" s="713" t="s">
        <v>859</v>
      </c>
      <c r="D14" s="707">
        <v>181480</v>
      </c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>
        <v>5119</v>
      </c>
      <c r="P14" s="708">
        <f t="shared" si="1"/>
        <v>186599</v>
      </c>
      <c r="Q14" s="749">
        <v>131018</v>
      </c>
      <c r="R14" s="748">
        <f t="shared" si="2"/>
        <v>55581</v>
      </c>
    </row>
    <row r="15" spans="1:18" s="700" customFormat="1" ht="15.75" customHeight="1" thickBot="1">
      <c r="A15" s="699" t="s">
        <v>17</v>
      </c>
      <c r="B15" s="715" t="s">
        <v>860</v>
      </c>
      <c r="C15" s="715"/>
      <c r="D15" s="716">
        <f aca="true" t="shared" si="3" ref="D15:O15">SUM(D5:D14)</f>
        <v>380161</v>
      </c>
      <c r="E15" s="716">
        <f t="shared" si="3"/>
        <v>374944</v>
      </c>
      <c r="F15" s="716">
        <f t="shared" si="3"/>
        <v>397175</v>
      </c>
      <c r="G15" s="716">
        <f t="shared" si="3"/>
        <v>411052</v>
      </c>
      <c r="H15" s="716">
        <f t="shared" si="3"/>
        <v>408699</v>
      </c>
      <c r="I15" s="716">
        <f t="shared" si="3"/>
        <v>395488</v>
      </c>
      <c r="J15" s="716">
        <f t="shared" si="3"/>
        <v>368770</v>
      </c>
      <c r="K15" s="716">
        <f t="shared" si="3"/>
        <v>323540</v>
      </c>
      <c r="L15" s="716">
        <f t="shared" si="3"/>
        <v>344028</v>
      </c>
      <c r="M15" s="716">
        <f t="shared" si="3"/>
        <v>339319</v>
      </c>
      <c r="N15" s="716">
        <f t="shared" si="3"/>
        <v>332024</v>
      </c>
      <c r="O15" s="716">
        <f t="shared" si="3"/>
        <v>344914</v>
      </c>
      <c r="P15" s="717">
        <f>SUM(D15:O15)</f>
        <v>4420114</v>
      </c>
      <c r="Q15" s="746">
        <f>SUM(Q6:Q14)</f>
        <v>492950</v>
      </c>
      <c r="R15" s="750">
        <f>SUM(R14)</f>
        <v>55581</v>
      </c>
    </row>
    <row r="16" spans="1:18" s="700" customFormat="1" ht="15" customHeight="1" thickBot="1">
      <c r="A16" s="699" t="s">
        <v>18</v>
      </c>
      <c r="B16" s="818" t="s">
        <v>44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20"/>
      <c r="Q16" s="746"/>
      <c r="R16" s="748">
        <f t="shared" si="2"/>
        <v>0</v>
      </c>
    </row>
    <row r="17" spans="1:18" s="709" customFormat="1" ht="13.5" customHeight="1">
      <c r="A17" s="718" t="s">
        <v>19</v>
      </c>
      <c r="B17" s="719" t="s">
        <v>53</v>
      </c>
      <c r="C17" s="719" t="s">
        <v>861</v>
      </c>
      <c r="D17" s="711">
        <f>3930+2124+1927</f>
        <v>7981</v>
      </c>
      <c r="E17" s="711">
        <f>3541+2110+3052</f>
        <v>8703</v>
      </c>
      <c r="F17" s="711">
        <f>4090+2262+3089</f>
        <v>9441</v>
      </c>
      <c r="G17" s="711">
        <f>6183+2700</f>
        <v>8883</v>
      </c>
      <c r="H17" s="711">
        <f>4345+2281+3423</f>
        <v>10049</v>
      </c>
      <c r="I17" s="711">
        <f>3766+2668+3275</f>
        <v>9709</v>
      </c>
      <c r="J17" s="711">
        <f>3760+2512+3391</f>
        <v>9663</v>
      </c>
      <c r="K17" s="711">
        <f>3424+2274+3034</f>
        <v>8732</v>
      </c>
      <c r="L17" s="711">
        <f>3644+2143+3109</f>
        <v>8896</v>
      </c>
      <c r="M17" s="711">
        <f>3744+2202+3160</f>
        <v>9106</v>
      </c>
      <c r="N17" s="711">
        <f>4580+2333+3436</f>
        <v>10349</v>
      </c>
      <c r="O17" s="711">
        <v>10504</v>
      </c>
      <c r="P17" s="712">
        <f aca="true" t="shared" si="4" ref="P17:P25">SUM(D17:O17)</f>
        <v>112016</v>
      </c>
      <c r="Q17" s="749">
        <v>102871</v>
      </c>
      <c r="R17" s="748">
        <f t="shared" si="2"/>
        <v>9145</v>
      </c>
    </row>
    <row r="18" spans="1:18" s="709" customFormat="1" ht="27" customHeight="1">
      <c r="A18" s="705" t="s">
        <v>20</v>
      </c>
      <c r="B18" s="706" t="s">
        <v>133</v>
      </c>
      <c r="C18" s="706" t="s">
        <v>862</v>
      </c>
      <c r="D18" s="707">
        <f>834+580+491</f>
        <v>1905</v>
      </c>
      <c r="E18" s="707">
        <f>1326+458+699</f>
        <v>2483</v>
      </c>
      <c r="F18" s="707">
        <f>814+504+679</f>
        <v>1997</v>
      </c>
      <c r="G18" s="707">
        <f>790+521+635</f>
        <v>1946</v>
      </c>
      <c r="H18" s="707">
        <f>1175+523+667</f>
        <v>2365</v>
      </c>
      <c r="I18" s="707">
        <f>825+521+865</f>
        <v>2211</v>
      </c>
      <c r="J18" s="707">
        <f>786+646+749</f>
        <v>2181</v>
      </c>
      <c r="K18" s="707">
        <f>754+518+692</f>
        <v>1964</v>
      </c>
      <c r="L18" s="707">
        <f>760+482+717</f>
        <v>1959</v>
      </c>
      <c r="M18" s="707">
        <f>778+519+710</f>
        <v>2007</v>
      </c>
      <c r="N18" s="707">
        <f>990+529+688</f>
        <v>2207</v>
      </c>
      <c r="O18" s="707">
        <v>2409</v>
      </c>
      <c r="P18" s="708">
        <f t="shared" si="4"/>
        <v>25634</v>
      </c>
      <c r="Q18" s="749">
        <v>27889</v>
      </c>
      <c r="R18" s="748">
        <f t="shared" si="2"/>
        <v>-2255</v>
      </c>
    </row>
    <row r="19" spans="1:18" s="709" customFormat="1" ht="13.5" customHeight="1">
      <c r="A19" s="705" t="s">
        <v>21</v>
      </c>
      <c r="B19" s="713" t="s">
        <v>100</v>
      </c>
      <c r="C19" s="713" t="s">
        <v>863</v>
      </c>
      <c r="D19" s="707">
        <f>4855+338+2000</f>
        <v>7193</v>
      </c>
      <c r="E19" s="707">
        <f>3874+311+2932</f>
        <v>7117</v>
      </c>
      <c r="F19" s="707">
        <f>4804+332+3392</f>
        <v>8528</v>
      </c>
      <c r="G19" s="707">
        <f>4469+482+2861</f>
        <v>7812</v>
      </c>
      <c r="H19" s="707">
        <f>5982+392+2534</f>
        <v>8908</v>
      </c>
      <c r="I19" s="707">
        <f>5887+357+2770</f>
        <v>9014</v>
      </c>
      <c r="J19" s="707">
        <f>5973+299+1825</f>
        <v>8097</v>
      </c>
      <c r="K19" s="707">
        <f>4922+261+1893</f>
        <v>7076</v>
      </c>
      <c r="L19" s="707">
        <f>6766+41+2455</f>
        <v>9262</v>
      </c>
      <c r="M19" s="707">
        <f>4856+353+3999</f>
        <v>9208</v>
      </c>
      <c r="N19" s="707">
        <f>4187+496+3367</f>
        <v>8050</v>
      </c>
      <c r="O19" s="707">
        <v>9146</v>
      </c>
      <c r="P19" s="708">
        <f t="shared" si="4"/>
        <v>99411</v>
      </c>
      <c r="Q19" s="749">
        <v>101880</v>
      </c>
      <c r="R19" s="748">
        <f t="shared" si="2"/>
        <v>-2469</v>
      </c>
    </row>
    <row r="20" spans="1:18" s="709" customFormat="1" ht="13.5" customHeight="1">
      <c r="A20" s="705" t="s">
        <v>22</v>
      </c>
      <c r="B20" s="713" t="s">
        <v>134</v>
      </c>
      <c r="C20" s="713" t="s">
        <v>864</v>
      </c>
      <c r="D20" s="707">
        <f>369</f>
        <v>369</v>
      </c>
      <c r="E20" s="707">
        <f>266</f>
        <v>266</v>
      </c>
      <c r="F20" s="707">
        <f>586</f>
        <v>586</v>
      </c>
      <c r="G20" s="707">
        <f>251</f>
        <v>251</v>
      </c>
      <c r="H20" s="707">
        <v>287</v>
      </c>
      <c r="I20" s="707">
        <f>187</f>
        <v>187</v>
      </c>
      <c r="J20" s="707">
        <f>274</f>
        <v>274</v>
      </c>
      <c r="K20" s="707">
        <f>877</f>
        <v>877</v>
      </c>
      <c r="L20" s="707">
        <f>220</f>
        <v>220</v>
      </c>
      <c r="M20" s="707">
        <f>311</f>
        <v>311</v>
      </c>
      <c r="N20" s="707">
        <v>1442</v>
      </c>
      <c r="O20" s="707">
        <v>1714</v>
      </c>
      <c r="P20" s="708">
        <f t="shared" si="4"/>
        <v>6784</v>
      </c>
      <c r="Q20" s="749">
        <v>5211</v>
      </c>
      <c r="R20" s="748">
        <f t="shared" si="2"/>
        <v>1573</v>
      </c>
    </row>
    <row r="21" spans="1:18" s="709" customFormat="1" ht="13.5" customHeight="1">
      <c r="A21" s="705" t="s">
        <v>23</v>
      </c>
      <c r="B21" s="713" t="s">
        <v>135</v>
      </c>
      <c r="C21" s="713" t="s">
        <v>865</v>
      </c>
      <c r="D21" s="707">
        <f>55</f>
        <v>55</v>
      </c>
      <c r="E21" s="707"/>
      <c r="F21" s="707">
        <v>50</v>
      </c>
      <c r="G21" s="707">
        <v>3870</v>
      </c>
      <c r="H21" s="707">
        <v>4608</v>
      </c>
      <c r="I21" s="707"/>
      <c r="J21" s="707">
        <f>737</f>
        <v>737</v>
      </c>
      <c r="K21" s="707"/>
      <c r="L21" s="707"/>
      <c r="M21" s="707"/>
      <c r="N21" s="707"/>
      <c r="O21" s="707">
        <v>0</v>
      </c>
      <c r="P21" s="708">
        <f t="shared" si="4"/>
        <v>9320</v>
      </c>
      <c r="Q21" s="749">
        <v>6220</v>
      </c>
      <c r="R21" s="748">
        <f t="shared" si="2"/>
        <v>3100</v>
      </c>
    </row>
    <row r="22" spans="1:18" s="709" customFormat="1" ht="13.5" customHeight="1">
      <c r="A22" s="705" t="s">
        <v>24</v>
      </c>
      <c r="B22" s="713" t="s">
        <v>157</v>
      </c>
      <c r="C22" s="713" t="s">
        <v>866</v>
      </c>
      <c r="D22" s="707">
        <f>528</f>
        <v>528</v>
      </c>
      <c r="E22" s="707">
        <f>308</f>
        <v>308</v>
      </c>
      <c r="F22" s="707">
        <f>1292</f>
        <v>1292</v>
      </c>
      <c r="G22" s="707">
        <v>2031</v>
      </c>
      <c r="H22" s="707">
        <f>1136+17</f>
        <v>1153</v>
      </c>
      <c r="I22" s="707"/>
      <c r="J22" s="707">
        <f>7870</f>
        <v>7870</v>
      </c>
      <c r="K22" s="707">
        <f>3065</f>
        <v>3065</v>
      </c>
      <c r="L22" s="707">
        <f>3323+178</f>
        <v>3501</v>
      </c>
      <c r="M22" s="707">
        <f>418</f>
        <v>418</v>
      </c>
      <c r="N22" s="707"/>
      <c r="O22" s="707">
        <v>900</v>
      </c>
      <c r="P22" s="708">
        <f t="shared" si="4"/>
        <v>21066</v>
      </c>
      <c r="Q22" s="749">
        <v>13669</v>
      </c>
      <c r="R22" s="748">
        <f t="shared" si="2"/>
        <v>7397</v>
      </c>
    </row>
    <row r="23" spans="1:18" s="709" customFormat="1" ht="15.75">
      <c r="A23" s="705" t="s">
        <v>25</v>
      </c>
      <c r="B23" s="706" t="s">
        <v>137</v>
      </c>
      <c r="C23" s="706" t="s">
        <v>867</v>
      </c>
      <c r="D23" s="707">
        <f>908</f>
        <v>908</v>
      </c>
      <c r="E23" s="707"/>
      <c r="F23" s="707">
        <f>737</f>
        <v>737</v>
      </c>
      <c r="G23" s="707"/>
      <c r="H23" s="707"/>
      <c r="I23" s="707">
        <v>21421</v>
      </c>
      <c r="J23" s="707">
        <f>43067</f>
        <v>43067</v>
      </c>
      <c r="K23" s="707">
        <f>23077</f>
        <v>23077</v>
      </c>
      <c r="L23" s="707"/>
      <c r="M23" s="707">
        <v>2667</v>
      </c>
      <c r="N23" s="707"/>
      <c r="O23" s="707">
        <v>2000</v>
      </c>
      <c r="P23" s="708">
        <f t="shared" si="4"/>
        <v>93877</v>
      </c>
      <c r="Q23" s="749">
        <v>47485</v>
      </c>
      <c r="R23" s="748">
        <f t="shared" si="2"/>
        <v>46392</v>
      </c>
    </row>
    <row r="24" spans="1:18" s="709" customFormat="1" ht="13.5" customHeight="1">
      <c r="A24" s="705" t="s">
        <v>26</v>
      </c>
      <c r="B24" s="713" t="s">
        <v>160</v>
      </c>
      <c r="C24" s="713" t="s">
        <v>868</v>
      </c>
      <c r="D24" s="707"/>
      <c r="E24" s="707"/>
      <c r="F24" s="707"/>
      <c r="G24" s="707"/>
      <c r="H24" s="707"/>
      <c r="I24" s="707"/>
      <c r="J24" s="707"/>
      <c r="K24" s="707"/>
      <c r="L24" s="707">
        <v>200</v>
      </c>
      <c r="M24" s="707">
        <v>400</v>
      </c>
      <c r="N24" s="707"/>
      <c r="O24" s="707">
        <v>200</v>
      </c>
      <c r="P24" s="708">
        <f t="shared" si="4"/>
        <v>800</v>
      </c>
      <c r="Q24" s="749">
        <v>1450</v>
      </c>
      <c r="R24" s="748">
        <f t="shared" si="2"/>
        <v>-650</v>
      </c>
    </row>
    <row r="25" spans="1:18" s="709" customFormat="1" ht="13.5" customHeight="1" thickBot="1">
      <c r="A25" s="705" t="s">
        <v>27</v>
      </c>
      <c r="B25" s="713" t="s">
        <v>869</v>
      </c>
      <c r="C25" s="713" t="s">
        <v>870</v>
      </c>
      <c r="D25" s="707">
        <v>4818</v>
      </c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8">
        <f t="shared" si="4"/>
        <v>4818</v>
      </c>
      <c r="Q25" s="749">
        <v>4795</v>
      </c>
      <c r="R25" s="748">
        <f t="shared" si="2"/>
        <v>23</v>
      </c>
    </row>
    <row r="26" spans="1:18" s="700" customFormat="1" ht="15.75" customHeight="1" thickBot="1">
      <c r="A26" s="720" t="s">
        <v>28</v>
      </c>
      <c r="B26" s="715" t="s">
        <v>82</v>
      </c>
      <c r="C26" s="715"/>
      <c r="D26" s="716">
        <f>SUM(D17:D25)</f>
        <v>23757</v>
      </c>
      <c r="E26" s="716">
        <f aca="true" t="shared" si="5" ref="E26:P26">SUM(E17:E25)</f>
        <v>18877</v>
      </c>
      <c r="F26" s="716">
        <f t="shared" si="5"/>
        <v>22631</v>
      </c>
      <c r="G26" s="716">
        <f t="shared" si="5"/>
        <v>24793</v>
      </c>
      <c r="H26" s="716">
        <f t="shared" si="5"/>
        <v>27370</v>
      </c>
      <c r="I26" s="716">
        <f t="shared" si="5"/>
        <v>42542</v>
      </c>
      <c r="J26" s="716">
        <f t="shared" si="5"/>
        <v>71889</v>
      </c>
      <c r="K26" s="716">
        <f t="shared" si="5"/>
        <v>44791</v>
      </c>
      <c r="L26" s="716">
        <f t="shared" si="5"/>
        <v>24038</v>
      </c>
      <c r="M26" s="716">
        <f t="shared" si="5"/>
        <v>24117</v>
      </c>
      <c r="N26" s="716">
        <f t="shared" si="5"/>
        <v>22048</v>
      </c>
      <c r="O26" s="716">
        <f t="shared" si="5"/>
        <v>26873</v>
      </c>
      <c r="P26" s="716">
        <f t="shared" si="5"/>
        <v>373726</v>
      </c>
      <c r="Q26" s="746">
        <f>SUM(Q17:Q25)</f>
        <v>311470</v>
      </c>
      <c r="R26" s="750">
        <f>SUM(R17:R25)</f>
        <v>62256</v>
      </c>
    </row>
    <row r="27" spans="1:17" ht="16.5" thickBot="1">
      <c r="A27" s="720" t="s">
        <v>29</v>
      </c>
      <c r="B27" s="721" t="s">
        <v>871</v>
      </c>
      <c r="C27" s="721"/>
      <c r="D27" s="722">
        <f aca="true" t="shared" si="6" ref="D27:O27">D15-D26</f>
        <v>356404</v>
      </c>
      <c r="E27" s="722">
        <f t="shared" si="6"/>
        <v>356067</v>
      </c>
      <c r="F27" s="722">
        <f t="shared" si="6"/>
        <v>374544</v>
      </c>
      <c r="G27" s="722">
        <f t="shared" si="6"/>
        <v>386259</v>
      </c>
      <c r="H27" s="722">
        <f t="shared" si="6"/>
        <v>381329</v>
      </c>
      <c r="I27" s="722">
        <f t="shared" si="6"/>
        <v>352946</v>
      </c>
      <c r="J27" s="722">
        <f t="shared" si="6"/>
        <v>296881</v>
      </c>
      <c r="K27" s="722">
        <f t="shared" si="6"/>
        <v>278749</v>
      </c>
      <c r="L27" s="722">
        <f t="shared" si="6"/>
        <v>319990</v>
      </c>
      <c r="M27" s="722">
        <f t="shared" si="6"/>
        <v>315202</v>
      </c>
      <c r="N27" s="722">
        <f t="shared" si="6"/>
        <v>309976</v>
      </c>
      <c r="O27" s="722">
        <f t="shared" si="6"/>
        <v>318041</v>
      </c>
      <c r="P27" s="723" t="s">
        <v>846</v>
      </c>
      <c r="Q27" s="751"/>
    </row>
    <row r="28" ht="15.75">
      <c r="A28" s="724"/>
    </row>
    <row r="29" spans="2:5" ht="15.75">
      <c r="B29" s="725"/>
      <c r="C29" s="725"/>
      <c r="D29" s="726"/>
      <c r="E29" s="726"/>
    </row>
  </sheetData>
  <sheetProtection/>
  <mergeCells count="3">
    <mergeCell ref="A1:P1"/>
    <mergeCell ref="B4:P4"/>
    <mergeCell ref="B16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&amp;R&amp;"Times New Roman CE,Dőlt"10. melléklet a 6 /2018. (V.30.)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zoomScale="120" zoomScaleNormal="120" zoomScaleSheetLayoutView="100" zoomScalePageLayoutView="0" workbookViewId="0" topLeftCell="A1">
      <selection activeCell="I105" sqref="I105"/>
    </sheetView>
  </sheetViews>
  <sheetFormatPr defaultColWidth="9.00390625" defaultRowHeight="12.75"/>
  <cols>
    <col min="1" max="1" width="9.00390625" style="405" customWidth="1"/>
    <col min="2" max="2" width="64.875" style="405" customWidth="1"/>
    <col min="3" max="3" width="17.375" style="405" customWidth="1"/>
    <col min="4" max="5" width="17.375" style="406" customWidth="1"/>
    <col min="6" max="6" width="0" style="674" hidden="1" customWidth="1"/>
    <col min="7" max="16384" width="9.375" style="416" customWidth="1"/>
  </cols>
  <sheetData>
    <row r="1" spans="1:5" ht="15.75" customHeight="1">
      <c r="A1" s="756" t="s">
        <v>3</v>
      </c>
      <c r="B1" s="756"/>
      <c r="C1" s="756"/>
      <c r="D1" s="756"/>
      <c r="E1" s="756"/>
    </row>
    <row r="2" spans="1:5" ht="15.75" customHeight="1" thickBot="1">
      <c r="A2" s="45" t="s">
        <v>111</v>
      </c>
      <c r="B2" s="45"/>
      <c r="C2" s="45"/>
      <c r="D2" s="403"/>
      <c r="E2" s="403" t="s">
        <v>879</v>
      </c>
    </row>
    <row r="3" spans="1:5" ht="15.75" customHeight="1">
      <c r="A3" s="762" t="s">
        <v>59</v>
      </c>
      <c r="B3" s="759" t="s">
        <v>5</v>
      </c>
      <c r="C3" s="821" t="s">
        <v>919</v>
      </c>
      <c r="D3" s="757" t="s">
        <v>900</v>
      </c>
      <c r="E3" s="758"/>
    </row>
    <row r="4" spans="1:5" ht="37.5" customHeight="1" thickBot="1">
      <c r="A4" s="763"/>
      <c r="B4" s="760"/>
      <c r="C4" s="822"/>
      <c r="D4" s="47" t="s">
        <v>185</v>
      </c>
      <c r="E4" s="48" t="s">
        <v>186</v>
      </c>
    </row>
    <row r="5" spans="1:6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431</v>
      </c>
      <c r="E5" s="383" t="s">
        <v>508</v>
      </c>
      <c r="F5" s="675"/>
    </row>
    <row r="6" spans="1:6" s="418" customFormat="1" ht="12" customHeight="1" thickBot="1">
      <c r="A6" s="376" t="s">
        <v>6</v>
      </c>
      <c r="B6" s="612" t="s">
        <v>311</v>
      </c>
      <c r="C6" s="408">
        <f>SUM(C7:C12)</f>
        <v>135648522</v>
      </c>
      <c r="D6" s="408">
        <f>SUM(D7:D12)</f>
        <v>139978789</v>
      </c>
      <c r="E6" s="408">
        <f>SUM(E7:E12)</f>
        <v>139978789</v>
      </c>
      <c r="F6" s="676" t="s">
        <v>740</v>
      </c>
    </row>
    <row r="7" spans="1:6" s="418" customFormat="1" ht="12" customHeight="1">
      <c r="A7" s="371" t="s">
        <v>71</v>
      </c>
      <c r="B7" s="613" t="s">
        <v>312</v>
      </c>
      <c r="C7" s="731">
        <v>57539201</v>
      </c>
      <c r="D7" s="731">
        <v>56233976</v>
      </c>
      <c r="E7" s="731">
        <v>56233976</v>
      </c>
      <c r="F7" s="676" t="s">
        <v>741</v>
      </c>
    </row>
    <row r="8" spans="1:6" s="418" customFormat="1" ht="12" customHeight="1">
      <c r="A8" s="370" t="s">
        <v>72</v>
      </c>
      <c r="B8" s="614" t="s">
        <v>313</v>
      </c>
      <c r="C8" s="732">
        <v>32837334</v>
      </c>
      <c r="D8" s="732">
        <v>37727086</v>
      </c>
      <c r="E8" s="732">
        <v>37727086</v>
      </c>
      <c r="F8" s="676" t="s">
        <v>742</v>
      </c>
    </row>
    <row r="9" spans="1:6" s="418" customFormat="1" ht="12" customHeight="1">
      <c r="A9" s="370" t="s">
        <v>73</v>
      </c>
      <c r="B9" s="614" t="s">
        <v>314</v>
      </c>
      <c r="C9" s="732">
        <v>39467516</v>
      </c>
      <c r="D9" s="732">
        <v>37999568</v>
      </c>
      <c r="E9" s="732">
        <v>37999568</v>
      </c>
      <c r="F9" s="676" t="s">
        <v>743</v>
      </c>
    </row>
    <row r="10" spans="1:6" s="418" customFormat="1" ht="12" customHeight="1">
      <c r="A10" s="370" t="s">
        <v>74</v>
      </c>
      <c r="B10" s="614" t="s">
        <v>315</v>
      </c>
      <c r="C10" s="732">
        <v>2629980</v>
      </c>
      <c r="D10" s="732">
        <v>3307020</v>
      </c>
      <c r="E10" s="732">
        <v>3307020</v>
      </c>
      <c r="F10" s="676" t="s">
        <v>744</v>
      </c>
    </row>
    <row r="11" spans="1:6" s="418" customFormat="1" ht="12" customHeight="1">
      <c r="A11" s="370" t="s">
        <v>107</v>
      </c>
      <c r="B11" s="614" t="s">
        <v>875</v>
      </c>
      <c r="C11" s="732">
        <v>2257933</v>
      </c>
      <c r="D11" s="732">
        <v>3268793</v>
      </c>
      <c r="E11" s="732">
        <v>3268793</v>
      </c>
      <c r="F11" s="676" t="s">
        <v>745</v>
      </c>
    </row>
    <row r="12" spans="1:6" s="418" customFormat="1" ht="12" customHeight="1" thickBot="1">
      <c r="A12" s="372" t="s">
        <v>75</v>
      </c>
      <c r="B12" s="615" t="s">
        <v>876</v>
      </c>
      <c r="C12" s="733">
        <v>916558</v>
      </c>
      <c r="D12" s="733">
        <v>1442346</v>
      </c>
      <c r="E12" s="733">
        <v>1442346</v>
      </c>
      <c r="F12" s="676" t="s">
        <v>746</v>
      </c>
    </row>
    <row r="13" spans="1:6" s="418" customFormat="1" ht="12" customHeight="1" thickBot="1">
      <c r="A13" s="376" t="s">
        <v>7</v>
      </c>
      <c r="B13" s="616" t="s">
        <v>318</v>
      </c>
      <c r="C13" s="408">
        <f>SUM(C14:C19)</f>
        <v>31596573</v>
      </c>
      <c r="D13" s="408">
        <f>SUM(D14:D19)</f>
        <v>29877537</v>
      </c>
      <c r="E13" s="408">
        <f>SUM(E14:E19)</f>
        <v>29762620</v>
      </c>
      <c r="F13" s="676" t="s">
        <v>747</v>
      </c>
    </row>
    <row r="14" spans="1:6" s="418" customFormat="1" ht="12" customHeight="1">
      <c r="A14" s="371" t="s">
        <v>77</v>
      </c>
      <c r="B14" s="613" t="s">
        <v>319</v>
      </c>
      <c r="C14" s="393">
        <v>0</v>
      </c>
      <c r="D14" s="410">
        <v>0</v>
      </c>
      <c r="E14" s="393">
        <v>0</v>
      </c>
      <c r="F14" s="676" t="s">
        <v>748</v>
      </c>
    </row>
    <row r="15" spans="1:6" s="418" customFormat="1" ht="12" customHeight="1">
      <c r="A15" s="370" t="s">
        <v>78</v>
      </c>
      <c r="B15" s="614" t="s">
        <v>320</v>
      </c>
      <c r="C15" s="392">
        <v>0</v>
      </c>
      <c r="D15" s="409">
        <v>0</v>
      </c>
      <c r="E15" s="392">
        <v>0</v>
      </c>
      <c r="F15" s="676" t="s">
        <v>749</v>
      </c>
    </row>
    <row r="16" spans="1:6" s="418" customFormat="1" ht="12" customHeight="1">
      <c r="A16" s="370" t="s">
        <v>79</v>
      </c>
      <c r="B16" s="614" t="s">
        <v>321</v>
      </c>
      <c r="C16" s="392">
        <v>0</v>
      </c>
      <c r="D16" s="409">
        <v>0</v>
      </c>
      <c r="E16" s="392">
        <v>0</v>
      </c>
      <c r="F16" s="676" t="s">
        <v>750</v>
      </c>
    </row>
    <row r="17" spans="1:6" s="418" customFormat="1" ht="12" customHeight="1">
      <c r="A17" s="370" t="s">
        <v>80</v>
      </c>
      <c r="B17" s="614" t="s">
        <v>322</v>
      </c>
      <c r="C17" s="392">
        <v>0</v>
      </c>
      <c r="D17" s="409">
        <v>0</v>
      </c>
      <c r="E17" s="392">
        <v>0</v>
      </c>
      <c r="F17" s="676" t="s">
        <v>751</v>
      </c>
    </row>
    <row r="18" spans="1:6" s="418" customFormat="1" ht="12" customHeight="1">
      <c r="A18" s="370" t="s">
        <v>81</v>
      </c>
      <c r="B18" s="614" t="s">
        <v>323</v>
      </c>
      <c r="C18" s="392">
        <f>30664983+931590</f>
        <v>31596573</v>
      </c>
      <c r="D18" s="409">
        <v>29877537</v>
      </c>
      <c r="E18" s="392">
        <v>29762620</v>
      </c>
      <c r="F18" s="676" t="s">
        <v>752</v>
      </c>
    </row>
    <row r="19" spans="1:6" s="418" customFormat="1" ht="12" customHeight="1" thickBot="1">
      <c r="A19" s="372" t="s">
        <v>88</v>
      </c>
      <c r="B19" s="615" t="s">
        <v>324</v>
      </c>
      <c r="C19" s="394">
        <v>0</v>
      </c>
      <c r="D19" s="411">
        <v>0</v>
      </c>
      <c r="E19" s="394">
        <v>0</v>
      </c>
      <c r="F19" s="676" t="s">
        <v>753</v>
      </c>
    </row>
    <row r="20" spans="1:6" s="418" customFormat="1" ht="12" customHeight="1" thickBot="1">
      <c r="A20" s="376" t="s">
        <v>8</v>
      </c>
      <c r="B20" s="612" t="s">
        <v>325</v>
      </c>
      <c r="C20" s="408">
        <f>SUM(C21:C26)</f>
        <v>69695129</v>
      </c>
      <c r="D20" s="408">
        <f>SUM(D21:D26)</f>
        <v>38171706</v>
      </c>
      <c r="E20" s="408">
        <f>SUM(E21:E26)</f>
        <v>38171706</v>
      </c>
      <c r="F20" s="676" t="s">
        <v>754</v>
      </c>
    </row>
    <row r="21" spans="1:6" s="418" customFormat="1" ht="12" customHeight="1">
      <c r="A21" s="371" t="s">
        <v>60</v>
      </c>
      <c r="B21" s="613" t="s">
        <v>326</v>
      </c>
      <c r="C21" s="393">
        <v>43986468</v>
      </c>
      <c r="D21" s="410"/>
      <c r="E21" s="393"/>
      <c r="F21" s="676" t="s">
        <v>755</v>
      </c>
    </row>
    <row r="22" spans="1:6" s="418" customFormat="1" ht="12" customHeight="1">
      <c r="A22" s="370" t="s">
        <v>61</v>
      </c>
      <c r="B22" s="614" t="s">
        <v>327</v>
      </c>
      <c r="C22" s="392">
        <v>0</v>
      </c>
      <c r="D22" s="409">
        <v>0</v>
      </c>
      <c r="E22" s="392">
        <v>0</v>
      </c>
      <c r="F22" s="676" t="s">
        <v>756</v>
      </c>
    </row>
    <row r="23" spans="1:6" s="418" customFormat="1" ht="12" customHeight="1">
      <c r="A23" s="370" t="s">
        <v>62</v>
      </c>
      <c r="B23" s="614" t="s">
        <v>328</v>
      </c>
      <c r="C23" s="392">
        <v>0</v>
      </c>
      <c r="D23" s="409">
        <v>0</v>
      </c>
      <c r="E23" s="392">
        <v>0</v>
      </c>
      <c r="F23" s="676" t="s">
        <v>757</v>
      </c>
    </row>
    <row r="24" spans="1:6" s="418" customFormat="1" ht="12" customHeight="1">
      <c r="A24" s="370" t="s">
        <v>63</v>
      </c>
      <c r="B24" s="614" t="s">
        <v>329</v>
      </c>
      <c r="C24" s="392">
        <v>0</v>
      </c>
      <c r="D24" s="409">
        <v>0</v>
      </c>
      <c r="E24" s="392">
        <v>0</v>
      </c>
      <c r="F24" s="676" t="s">
        <v>758</v>
      </c>
    </row>
    <row r="25" spans="1:6" s="418" customFormat="1" ht="12" customHeight="1">
      <c r="A25" s="370" t="s">
        <v>121</v>
      </c>
      <c r="B25" s="614" t="s">
        <v>330</v>
      </c>
      <c r="C25" s="392">
        <v>25708661</v>
      </c>
      <c r="D25" s="409">
        <v>38171706</v>
      </c>
      <c r="E25" s="392">
        <v>38171706</v>
      </c>
      <c r="F25" s="676" t="s">
        <v>759</v>
      </c>
    </row>
    <row r="26" spans="1:6" s="418" customFormat="1" ht="12" customHeight="1" thickBot="1">
      <c r="A26" s="372" t="s">
        <v>122</v>
      </c>
      <c r="B26" s="615" t="s">
        <v>331</v>
      </c>
      <c r="C26" s="394">
        <v>0</v>
      </c>
      <c r="D26" s="411">
        <v>0</v>
      </c>
      <c r="E26" s="394">
        <v>0</v>
      </c>
      <c r="F26" s="676" t="s">
        <v>760</v>
      </c>
    </row>
    <row r="27" spans="1:6" s="418" customFormat="1" ht="12" customHeight="1" thickBot="1">
      <c r="A27" s="376" t="s">
        <v>123</v>
      </c>
      <c r="B27" s="612" t="s">
        <v>332</v>
      </c>
      <c r="C27" s="414">
        <f>C28+C31+C32+C33</f>
        <v>78644834</v>
      </c>
      <c r="D27" s="414">
        <f>D28+D31+D32+D33</f>
        <v>83093414</v>
      </c>
      <c r="E27" s="414">
        <f>E28+E31+E32+E33</f>
        <v>79539692</v>
      </c>
      <c r="F27" s="676" t="s">
        <v>761</v>
      </c>
    </row>
    <row r="28" spans="1:6" s="418" customFormat="1" ht="12" customHeight="1">
      <c r="A28" s="371" t="s">
        <v>333</v>
      </c>
      <c r="B28" s="613" t="s">
        <v>334</v>
      </c>
      <c r="C28" s="428">
        <f>C29+C30</f>
        <v>67338559</v>
      </c>
      <c r="D28" s="428">
        <f>D29+D30</f>
        <v>71866088</v>
      </c>
      <c r="E28" s="428">
        <f>E29+E30</f>
        <v>69106149</v>
      </c>
      <c r="F28" s="676" t="s">
        <v>762</v>
      </c>
    </row>
    <row r="29" spans="1:6" s="418" customFormat="1" ht="12" customHeight="1">
      <c r="A29" s="370" t="s">
        <v>335</v>
      </c>
      <c r="B29" s="614" t="s">
        <v>336</v>
      </c>
      <c r="C29" s="392">
        <v>10276004</v>
      </c>
      <c r="D29" s="409">
        <v>11702235</v>
      </c>
      <c r="E29" s="392">
        <v>10700263</v>
      </c>
      <c r="F29" s="676" t="s">
        <v>763</v>
      </c>
    </row>
    <row r="30" spans="1:6" s="418" customFormat="1" ht="12" customHeight="1">
      <c r="A30" s="370" t="s">
        <v>337</v>
      </c>
      <c r="B30" s="614" t="s">
        <v>338</v>
      </c>
      <c r="C30" s="392">
        <v>57062555</v>
      </c>
      <c r="D30" s="409">
        <v>60163853</v>
      </c>
      <c r="E30" s="392">
        <v>58405886</v>
      </c>
      <c r="F30" s="676" t="s">
        <v>764</v>
      </c>
    </row>
    <row r="31" spans="1:6" s="418" customFormat="1" ht="12" customHeight="1">
      <c r="A31" s="370" t="s">
        <v>339</v>
      </c>
      <c r="B31" s="614" t="s">
        <v>340</v>
      </c>
      <c r="C31" s="392">
        <v>4331201</v>
      </c>
      <c r="D31" s="409">
        <v>4406655</v>
      </c>
      <c r="E31" s="392">
        <v>4361845</v>
      </c>
      <c r="F31" s="676" t="s">
        <v>765</v>
      </c>
    </row>
    <row r="32" spans="1:6" s="418" customFormat="1" ht="12" customHeight="1">
      <c r="A32" s="370" t="s">
        <v>341</v>
      </c>
      <c r="B32" s="614" t="s">
        <v>342</v>
      </c>
      <c r="C32" s="392">
        <v>4334700</v>
      </c>
      <c r="D32" s="409">
        <v>2797800</v>
      </c>
      <c r="E32" s="392">
        <v>2797800</v>
      </c>
      <c r="F32" s="676" t="s">
        <v>766</v>
      </c>
    </row>
    <row r="33" spans="1:6" s="418" customFormat="1" ht="12" customHeight="1" thickBot="1">
      <c r="A33" s="372" t="s">
        <v>343</v>
      </c>
      <c r="B33" s="615" t="s">
        <v>344</v>
      </c>
      <c r="C33" s="394">
        <v>2640374</v>
      </c>
      <c r="D33" s="411">
        <v>4022871</v>
      </c>
      <c r="E33" s="394">
        <v>3273898</v>
      </c>
      <c r="F33" s="676" t="s">
        <v>767</v>
      </c>
    </row>
    <row r="34" spans="1:6" s="418" customFormat="1" ht="12" customHeight="1" thickBot="1">
      <c r="A34" s="376" t="s">
        <v>10</v>
      </c>
      <c r="B34" s="612" t="s">
        <v>345</v>
      </c>
      <c r="C34" s="408">
        <f>SUM(C35:C44)</f>
        <v>45135792</v>
      </c>
      <c r="D34" s="408">
        <f>SUM(D35:D44)</f>
        <v>39767391</v>
      </c>
      <c r="E34" s="408">
        <f>SUM(E35:E44)</f>
        <v>36854431</v>
      </c>
      <c r="F34" s="676" t="s">
        <v>768</v>
      </c>
    </row>
    <row r="35" spans="1:6" s="418" customFormat="1" ht="12" customHeight="1">
      <c r="A35" s="371" t="s">
        <v>64</v>
      </c>
      <c r="B35" s="613" t="s">
        <v>346</v>
      </c>
      <c r="C35" s="393">
        <v>0</v>
      </c>
      <c r="D35" s="410">
        <v>0</v>
      </c>
      <c r="E35" s="393">
        <v>0</v>
      </c>
      <c r="F35" s="676" t="s">
        <v>769</v>
      </c>
    </row>
    <row r="36" spans="1:6" s="418" customFormat="1" ht="12" customHeight="1">
      <c r="A36" s="370" t="s">
        <v>65</v>
      </c>
      <c r="B36" s="614" t="s">
        <v>347</v>
      </c>
      <c r="C36" s="392">
        <v>8489927</v>
      </c>
      <c r="D36" s="409">
        <v>9594567</v>
      </c>
      <c r="E36" s="392">
        <v>9337147</v>
      </c>
      <c r="F36" s="676" t="s">
        <v>770</v>
      </c>
    </row>
    <row r="37" spans="1:6" s="418" customFormat="1" ht="12" customHeight="1">
      <c r="A37" s="370" t="s">
        <v>66</v>
      </c>
      <c r="B37" s="614" t="s">
        <v>348</v>
      </c>
      <c r="C37" s="392">
        <f>3046842+199918</f>
        <v>3246760</v>
      </c>
      <c r="D37" s="409">
        <v>4474665</v>
      </c>
      <c r="E37" s="392">
        <v>4081962</v>
      </c>
      <c r="F37" s="676" t="s">
        <v>771</v>
      </c>
    </row>
    <row r="38" spans="1:6" s="418" customFormat="1" ht="12" customHeight="1">
      <c r="A38" s="370" t="s">
        <v>125</v>
      </c>
      <c r="B38" s="614" t="s">
        <v>349</v>
      </c>
      <c r="C38" s="392">
        <v>5405410</v>
      </c>
      <c r="D38" s="409">
        <v>5044245</v>
      </c>
      <c r="E38" s="392">
        <v>4955313</v>
      </c>
      <c r="F38" s="676" t="s">
        <v>772</v>
      </c>
    </row>
    <row r="39" spans="1:6" s="418" customFormat="1" ht="12" customHeight="1">
      <c r="A39" s="370" t="s">
        <v>126</v>
      </c>
      <c r="B39" s="614" t="s">
        <v>350</v>
      </c>
      <c r="C39" s="392">
        <v>11222167</v>
      </c>
      <c r="D39" s="409">
        <v>9507388</v>
      </c>
      <c r="E39" s="392">
        <v>8903238</v>
      </c>
      <c r="F39" s="676" t="s">
        <v>773</v>
      </c>
    </row>
    <row r="40" spans="1:6" s="418" customFormat="1" ht="12" customHeight="1">
      <c r="A40" s="370" t="s">
        <v>127</v>
      </c>
      <c r="B40" s="614" t="s">
        <v>351</v>
      </c>
      <c r="C40" s="392">
        <v>6226415</v>
      </c>
      <c r="D40" s="409">
        <v>4972050</v>
      </c>
      <c r="E40" s="392">
        <v>3541896</v>
      </c>
      <c r="F40" s="676" t="s">
        <v>774</v>
      </c>
    </row>
    <row r="41" spans="1:6" s="418" customFormat="1" ht="12" customHeight="1">
      <c r="A41" s="370" t="s">
        <v>128</v>
      </c>
      <c r="B41" s="614" t="s">
        <v>352</v>
      </c>
      <c r="C41" s="392">
        <v>4166440</v>
      </c>
      <c r="D41" s="409">
        <v>671142</v>
      </c>
      <c r="E41" s="392">
        <v>671142</v>
      </c>
      <c r="F41" s="676" t="s">
        <v>775</v>
      </c>
    </row>
    <row r="42" spans="1:6" s="418" customFormat="1" ht="12" customHeight="1">
      <c r="A42" s="370" t="s">
        <v>129</v>
      </c>
      <c r="B42" s="614" t="s">
        <v>353</v>
      </c>
      <c r="C42" s="392">
        <f>526280+11754+5440</f>
        <v>543474</v>
      </c>
      <c r="D42" s="409">
        <v>1038505</v>
      </c>
      <c r="E42" s="392">
        <v>1038505</v>
      </c>
      <c r="F42" s="676" t="s">
        <v>776</v>
      </c>
    </row>
    <row r="43" spans="1:6" s="418" customFormat="1" ht="12" customHeight="1">
      <c r="A43" s="370" t="s">
        <v>354</v>
      </c>
      <c r="B43" s="614" t="s">
        <v>355</v>
      </c>
      <c r="C43" s="395"/>
      <c r="D43" s="412"/>
      <c r="E43" s="395"/>
      <c r="F43" s="676" t="s">
        <v>777</v>
      </c>
    </row>
    <row r="44" spans="1:6" s="418" customFormat="1" ht="12" customHeight="1" thickBot="1">
      <c r="A44" s="372" t="s">
        <v>356</v>
      </c>
      <c r="B44" s="615" t="s">
        <v>357</v>
      </c>
      <c r="C44" s="396">
        <f>4728673+486086+620440</f>
        <v>5835199</v>
      </c>
      <c r="D44" s="413">
        <v>4464829</v>
      </c>
      <c r="E44" s="396">
        <v>4325228</v>
      </c>
      <c r="F44" s="676" t="s">
        <v>778</v>
      </c>
    </row>
    <row r="45" spans="1:6" s="418" customFormat="1" ht="12" customHeight="1" thickBot="1">
      <c r="A45" s="376" t="s">
        <v>11</v>
      </c>
      <c r="B45" s="612" t="s">
        <v>358</v>
      </c>
      <c r="C45" s="408">
        <f>SUM(C46:C50)</f>
        <v>920078</v>
      </c>
      <c r="D45" s="408">
        <f>SUM(D46:D50)</f>
        <v>804331</v>
      </c>
      <c r="E45" s="408">
        <f>SUM(E46:E50)</f>
        <v>804331</v>
      </c>
      <c r="F45" s="676" t="s">
        <v>779</v>
      </c>
    </row>
    <row r="46" spans="1:6" s="418" customFormat="1" ht="12" customHeight="1">
      <c r="A46" s="371" t="s">
        <v>67</v>
      </c>
      <c r="B46" s="613" t="s">
        <v>359</v>
      </c>
      <c r="C46" s="397">
        <v>0</v>
      </c>
      <c r="D46" s="430">
        <v>0</v>
      </c>
      <c r="E46" s="397">
        <v>0</v>
      </c>
      <c r="F46" s="676" t="s">
        <v>780</v>
      </c>
    </row>
    <row r="47" spans="1:6" s="418" customFormat="1" ht="12" customHeight="1">
      <c r="A47" s="370" t="s">
        <v>68</v>
      </c>
      <c r="B47" s="614" t="s">
        <v>360</v>
      </c>
      <c r="C47" s="395"/>
      <c r="D47" s="412">
        <v>450000</v>
      </c>
      <c r="E47" s="395">
        <v>450000</v>
      </c>
      <c r="F47" s="676" t="s">
        <v>781</v>
      </c>
    </row>
    <row r="48" spans="1:6" s="418" customFormat="1" ht="12" customHeight="1">
      <c r="A48" s="370" t="s">
        <v>361</v>
      </c>
      <c r="B48" s="614" t="s">
        <v>362</v>
      </c>
      <c r="C48" s="395">
        <v>920078</v>
      </c>
      <c r="D48" s="412">
        <v>354331</v>
      </c>
      <c r="E48" s="395">
        <v>354331</v>
      </c>
      <c r="F48" s="676" t="s">
        <v>782</v>
      </c>
    </row>
    <row r="49" spans="1:6" s="418" customFormat="1" ht="12" customHeight="1">
      <c r="A49" s="370" t="s">
        <v>363</v>
      </c>
      <c r="B49" s="614" t="s">
        <v>364</v>
      </c>
      <c r="C49" s="395">
        <v>0</v>
      </c>
      <c r="D49" s="412">
        <v>0</v>
      </c>
      <c r="E49" s="395">
        <v>0</v>
      </c>
      <c r="F49" s="676" t="s">
        <v>783</v>
      </c>
    </row>
    <row r="50" spans="1:6" s="418" customFormat="1" ht="12" customHeight="1" thickBot="1">
      <c r="A50" s="372" t="s">
        <v>365</v>
      </c>
      <c r="B50" s="615" t="s">
        <v>366</v>
      </c>
      <c r="C50" s="396">
        <v>0</v>
      </c>
      <c r="D50" s="413">
        <v>0</v>
      </c>
      <c r="E50" s="396">
        <v>0</v>
      </c>
      <c r="F50" s="676" t="s">
        <v>784</v>
      </c>
    </row>
    <row r="51" spans="1:6" s="418" customFormat="1" ht="13.5" thickBot="1">
      <c r="A51" s="376" t="s">
        <v>130</v>
      </c>
      <c r="B51" s="612" t="s">
        <v>367</v>
      </c>
      <c r="C51" s="408">
        <f>SUM(C52:C55)</f>
        <v>290000</v>
      </c>
      <c r="D51" s="408">
        <f>SUM(D52:D55)</f>
        <v>0</v>
      </c>
      <c r="E51" s="408">
        <f>SUM(E52:E55)</f>
        <v>0</v>
      </c>
      <c r="F51" s="676" t="s">
        <v>785</v>
      </c>
    </row>
    <row r="52" spans="1:6" s="418" customFormat="1" ht="12.75">
      <c r="A52" s="371" t="s">
        <v>69</v>
      </c>
      <c r="B52" s="613" t="s">
        <v>368</v>
      </c>
      <c r="C52" s="393">
        <v>0</v>
      </c>
      <c r="D52" s="410">
        <v>0</v>
      </c>
      <c r="E52" s="393">
        <v>0</v>
      </c>
      <c r="F52" s="676" t="s">
        <v>786</v>
      </c>
    </row>
    <row r="53" spans="1:6" s="418" customFormat="1" ht="14.25" customHeight="1">
      <c r="A53" s="370" t="s">
        <v>70</v>
      </c>
      <c r="B53" s="614" t="s">
        <v>587</v>
      </c>
      <c r="C53" s="392"/>
      <c r="D53" s="409"/>
      <c r="E53" s="392"/>
      <c r="F53" s="676" t="s">
        <v>787</v>
      </c>
    </row>
    <row r="54" spans="1:6" s="418" customFormat="1" ht="12.75">
      <c r="A54" s="370" t="s">
        <v>370</v>
      </c>
      <c r="B54" s="614" t="s">
        <v>371</v>
      </c>
      <c r="C54" s="392">
        <v>290000</v>
      </c>
      <c r="D54" s="409"/>
      <c r="E54" s="392"/>
      <c r="F54" s="676" t="s">
        <v>788</v>
      </c>
    </row>
    <row r="55" spans="1:6" s="418" customFormat="1" ht="13.5" thickBot="1">
      <c r="A55" s="372" t="s">
        <v>372</v>
      </c>
      <c r="B55" s="615" t="s">
        <v>373</v>
      </c>
      <c r="C55" s="394">
        <v>0</v>
      </c>
      <c r="D55" s="411">
        <v>0</v>
      </c>
      <c r="E55" s="394">
        <v>0</v>
      </c>
      <c r="F55" s="676" t="s">
        <v>789</v>
      </c>
    </row>
    <row r="56" spans="1:6" s="418" customFormat="1" ht="13.5" thickBot="1">
      <c r="A56" s="376" t="s">
        <v>13</v>
      </c>
      <c r="B56" s="616" t="s">
        <v>374</v>
      </c>
      <c r="C56" s="408">
        <f>SUM(C57:C60)</f>
        <v>0</v>
      </c>
      <c r="D56" s="408">
        <f>SUM(D57:D60)</f>
        <v>0</v>
      </c>
      <c r="E56" s="408">
        <f>SUM(E57:E60)</f>
        <v>0</v>
      </c>
      <c r="F56" s="676" t="s">
        <v>790</v>
      </c>
    </row>
    <row r="57" spans="1:6" s="418" customFormat="1" ht="12.75">
      <c r="A57" s="370" t="s">
        <v>131</v>
      </c>
      <c r="B57" s="613" t="s">
        <v>375</v>
      </c>
      <c r="C57" s="395">
        <v>0</v>
      </c>
      <c r="D57" s="412">
        <v>0</v>
      </c>
      <c r="E57" s="395">
        <v>0</v>
      </c>
      <c r="F57" s="676" t="s">
        <v>791</v>
      </c>
    </row>
    <row r="58" spans="1:6" s="418" customFormat="1" ht="12.75" customHeight="1">
      <c r="A58" s="370" t="s">
        <v>132</v>
      </c>
      <c r="B58" s="614" t="s">
        <v>588</v>
      </c>
      <c r="C58" s="395">
        <v>0</v>
      </c>
      <c r="D58" s="412">
        <v>0</v>
      </c>
      <c r="E58" s="395">
        <v>0</v>
      </c>
      <c r="F58" s="676" t="s">
        <v>792</v>
      </c>
    </row>
    <row r="59" spans="1:6" s="418" customFormat="1" ht="12.75">
      <c r="A59" s="370" t="s">
        <v>159</v>
      </c>
      <c r="B59" s="614" t="s">
        <v>377</v>
      </c>
      <c r="C59" s="395">
        <v>0</v>
      </c>
      <c r="D59" s="412"/>
      <c r="E59" s="395">
        <v>0</v>
      </c>
      <c r="F59" s="676" t="s">
        <v>793</v>
      </c>
    </row>
    <row r="60" spans="1:6" s="418" customFormat="1" ht="13.5" thickBot="1">
      <c r="A60" s="370" t="s">
        <v>378</v>
      </c>
      <c r="B60" s="615" t="s">
        <v>379</v>
      </c>
      <c r="C60" s="395">
        <v>0</v>
      </c>
      <c r="D60" s="412">
        <v>0</v>
      </c>
      <c r="E60" s="395">
        <v>0</v>
      </c>
      <c r="F60" s="676" t="s">
        <v>794</v>
      </c>
    </row>
    <row r="61" spans="1:6" s="418" customFormat="1" ht="13.5" thickBot="1">
      <c r="A61" s="376" t="s">
        <v>14</v>
      </c>
      <c r="B61" s="612" t="s">
        <v>380</v>
      </c>
      <c r="C61" s="414">
        <f>C6+C13+C20+C27+C34+C45+C51+C56</f>
        <v>361930928</v>
      </c>
      <c r="D61" s="414">
        <f>D6+D13+D20+D27+D34+D45+D51+D56</f>
        <v>331693168</v>
      </c>
      <c r="E61" s="414">
        <f>E6+E13+E20+E27+E34+E45+E51+E56</f>
        <v>325111569</v>
      </c>
      <c r="F61" s="676" t="s">
        <v>795</v>
      </c>
    </row>
    <row r="62" spans="1:6" s="418" customFormat="1" ht="13.5" thickBot="1">
      <c r="A62" s="431" t="s">
        <v>381</v>
      </c>
      <c r="B62" s="616" t="s">
        <v>702</v>
      </c>
      <c r="C62" s="408">
        <f>SUM(C63:C65)</f>
        <v>0</v>
      </c>
      <c r="D62" s="408">
        <f>SUM(D63:D65)</f>
        <v>0</v>
      </c>
      <c r="E62" s="408">
        <f>SUM(E63:E65)</f>
        <v>0</v>
      </c>
      <c r="F62" s="676" t="s">
        <v>796</v>
      </c>
    </row>
    <row r="63" spans="1:6" s="418" customFormat="1" ht="12.75">
      <c r="A63" s="370" t="s">
        <v>383</v>
      </c>
      <c r="B63" s="613" t="s">
        <v>384</v>
      </c>
      <c r="C63" s="395">
        <v>0</v>
      </c>
      <c r="D63" s="412">
        <v>0</v>
      </c>
      <c r="E63" s="395">
        <v>0</v>
      </c>
      <c r="F63" s="676" t="s">
        <v>797</v>
      </c>
    </row>
    <row r="64" spans="1:6" s="418" customFormat="1" ht="12.75">
      <c r="A64" s="370" t="s">
        <v>385</v>
      </c>
      <c r="B64" s="614" t="s">
        <v>386</v>
      </c>
      <c r="C64" s="395">
        <v>0</v>
      </c>
      <c r="D64" s="412">
        <v>0</v>
      </c>
      <c r="E64" s="395">
        <v>0</v>
      </c>
      <c r="F64" s="676" t="s">
        <v>798</v>
      </c>
    </row>
    <row r="65" spans="1:6" s="418" customFormat="1" ht="13.5" thickBot="1">
      <c r="A65" s="370" t="s">
        <v>387</v>
      </c>
      <c r="B65" s="356" t="s">
        <v>432</v>
      </c>
      <c r="C65" s="395">
        <v>0</v>
      </c>
      <c r="D65" s="412">
        <v>0</v>
      </c>
      <c r="E65" s="395">
        <v>0</v>
      </c>
      <c r="F65" s="676" t="s">
        <v>799</v>
      </c>
    </row>
    <row r="66" spans="1:6" s="418" customFormat="1" ht="13.5" thickBot="1">
      <c r="A66" s="431" t="s">
        <v>389</v>
      </c>
      <c r="B66" s="616" t="s">
        <v>390</v>
      </c>
      <c r="C66" s="408">
        <f>SUM(C67:C70)</f>
        <v>0</v>
      </c>
      <c r="D66" s="408">
        <f>SUM(D67:D70)</f>
        <v>0</v>
      </c>
      <c r="E66" s="408">
        <f>SUM(E67:E70)</f>
        <v>0</v>
      </c>
      <c r="F66" s="676" t="s">
        <v>800</v>
      </c>
    </row>
    <row r="67" spans="1:6" s="418" customFormat="1" ht="12.75">
      <c r="A67" s="370" t="s">
        <v>108</v>
      </c>
      <c r="B67" s="613" t="s">
        <v>391</v>
      </c>
      <c r="C67" s="395">
        <v>0</v>
      </c>
      <c r="D67" s="412">
        <v>0</v>
      </c>
      <c r="E67" s="395">
        <v>0</v>
      </c>
      <c r="F67" s="676" t="s">
        <v>801</v>
      </c>
    </row>
    <row r="68" spans="1:6" s="418" customFormat="1" ht="12.75">
      <c r="A68" s="370" t="s">
        <v>109</v>
      </c>
      <c r="B68" s="614" t="s">
        <v>392</v>
      </c>
      <c r="C68" s="395">
        <v>0</v>
      </c>
      <c r="D68" s="412">
        <v>0</v>
      </c>
      <c r="E68" s="395">
        <v>0</v>
      </c>
      <c r="F68" s="676" t="s">
        <v>802</v>
      </c>
    </row>
    <row r="69" spans="1:6" s="418" customFormat="1" ht="12" customHeight="1">
      <c r="A69" s="370" t="s">
        <v>393</v>
      </c>
      <c r="B69" s="614" t="s">
        <v>394</v>
      </c>
      <c r="C69" s="395">
        <v>0</v>
      </c>
      <c r="D69" s="412">
        <v>0</v>
      </c>
      <c r="E69" s="395">
        <v>0</v>
      </c>
      <c r="F69" s="676" t="s">
        <v>803</v>
      </c>
    </row>
    <row r="70" spans="1:6" s="418" customFormat="1" ht="12" customHeight="1" thickBot="1">
      <c r="A70" s="370" t="s">
        <v>395</v>
      </c>
      <c r="B70" s="615" t="s">
        <v>396</v>
      </c>
      <c r="C70" s="395">
        <v>0</v>
      </c>
      <c r="D70" s="412">
        <v>0</v>
      </c>
      <c r="E70" s="395">
        <v>0</v>
      </c>
      <c r="F70" s="676" t="s">
        <v>804</v>
      </c>
    </row>
    <row r="71" spans="1:6" s="418" customFormat="1" ht="12" customHeight="1" thickBot="1">
      <c r="A71" s="431" t="s">
        <v>397</v>
      </c>
      <c r="B71" s="616" t="s">
        <v>398</v>
      </c>
      <c r="C71" s="408">
        <f>SUM(C72:C73)</f>
        <v>126200553</v>
      </c>
      <c r="D71" s="408">
        <f>SUM(D72:D73)</f>
        <v>181479530</v>
      </c>
      <c r="E71" s="408">
        <f>SUM(E72:E73)</f>
        <v>181479530</v>
      </c>
      <c r="F71" s="676" t="s">
        <v>805</v>
      </c>
    </row>
    <row r="72" spans="1:6" s="418" customFormat="1" ht="12" customHeight="1">
      <c r="A72" s="370" t="s">
        <v>399</v>
      </c>
      <c r="B72" s="613" t="s">
        <v>400</v>
      </c>
      <c r="C72" s="395">
        <f>123992187+955518+1252848</f>
        <v>126200553</v>
      </c>
      <c r="D72" s="412">
        <v>181479530</v>
      </c>
      <c r="E72" s="395">
        <v>181479530</v>
      </c>
      <c r="F72" s="676" t="s">
        <v>806</v>
      </c>
    </row>
    <row r="73" spans="1:6" s="418" customFormat="1" ht="12" customHeight="1" thickBot="1">
      <c r="A73" s="370" t="s">
        <v>401</v>
      </c>
      <c r="B73" s="615" t="s">
        <v>402</v>
      </c>
      <c r="C73" s="395">
        <v>0</v>
      </c>
      <c r="D73" s="412">
        <v>0</v>
      </c>
      <c r="E73" s="395">
        <v>0</v>
      </c>
      <c r="F73" s="676" t="s">
        <v>807</v>
      </c>
    </row>
    <row r="74" spans="1:6" s="418" customFormat="1" ht="12" customHeight="1" thickBot="1">
      <c r="A74" s="431" t="s">
        <v>403</v>
      </c>
      <c r="B74" s="616" t="s">
        <v>404</v>
      </c>
      <c r="C74" s="408">
        <f>SUM(C75:C77)</f>
        <v>4818490</v>
      </c>
      <c r="D74" s="408">
        <f>SUM(D75:D77)</f>
        <v>5119012</v>
      </c>
      <c r="E74" s="408">
        <f>SUM(E75:E77)</f>
        <v>5119012</v>
      </c>
      <c r="F74" s="676" t="s">
        <v>808</v>
      </c>
    </row>
    <row r="75" spans="1:6" s="418" customFormat="1" ht="12" customHeight="1">
      <c r="A75" s="370" t="s">
        <v>405</v>
      </c>
      <c r="B75" s="613" t="s">
        <v>406</v>
      </c>
      <c r="C75" s="395">
        <v>4818490</v>
      </c>
      <c r="D75" s="412">
        <v>5119012</v>
      </c>
      <c r="E75" s="395">
        <v>5119012</v>
      </c>
      <c r="F75" s="676" t="s">
        <v>809</v>
      </c>
    </row>
    <row r="76" spans="1:6" s="418" customFormat="1" ht="12" customHeight="1">
      <c r="A76" s="370" t="s">
        <v>407</v>
      </c>
      <c r="B76" s="614" t="s">
        <v>408</v>
      </c>
      <c r="C76" s="395">
        <v>0</v>
      </c>
      <c r="D76" s="412">
        <v>0</v>
      </c>
      <c r="E76" s="395">
        <v>0</v>
      </c>
      <c r="F76" s="676" t="s">
        <v>810</v>
      </c>
    </row>
    <row r="77" spans="1:6" s="418" customFormat="1" ht="12" customHeight="1" thickBot="1">
      <c r="A77" s="370" t="s">
        <v>409</v>
      </c>
      <c r="B77" s="615" t="s">
        <v>410</v>
      </c>
      <c r="C77" s="395">
        <v>0</v>
      </c>
      <c r="D77" s="412">
        <v>0</v>
      </c>
      <c r="E77" s="395">
        <v>0</v>
      </c>
      <c r="F77" s="676" t="s">
        <v>811</v>
      </c>
    </row>
    <row r="78" spans="1:6" s="418" customFormat="1" ht="12" customHeight="1" thickBot="1">
      <c r="A78" s="431" t="s">
        <v>411</v>
      </c>
      <c r="B78" s="616" t="s">
        <v>412</v>
      </c>
      <c r="C78" s="408">
        <f>SUM(C79:C82)</f>
        <v>0</v>
      </c>
      <c r="D78" s="408">
        <f>SUM(D79:D82)</f>
        <v>0</v>
      </c>
      <c r="E78" s="408">
        <f>SUM(E79:E82)</f>
        <v>0</v>
      </c>
      <c r="F78" s="676" t="s">
        <v>812</v>
      </c>
    </row>
    <row r="79" spans="1:6" s="418" customFormat="1" ht="12" customHeight="1">
      <c r="A79" s="602" t="s">
        <v>413</v>
      </c>
      <c r="B79" s="613" t="s">
        <v>414</v>
      </c>
      <c r="C79" s="395">
        <v>0</v>
      </c>
      <c r="D79" s="412">
        <v>0</v>
      </c>
      <c r="E79" s="395">
        <v>0</v>
      </c>
      <c r="F79" s="676" t="s">
        <v>813</v>
      </c>
    </row>
    <row r="80" spans="1:6" s="418" customFormat="1" ht="12" customHeight="1">
      <c r="A80" s="603" t="s">
        <v>415</v>
      </c>
      <c r="B80" s="614" t="s">
        <v>416</v>
      </c>
      <c r="C80" s="395">
        <v>0</v>
      </c>
      <c r="D80" s="412">
        <v>0</v>
      </c>
      <c r="E80" s="395">
        <v>0</v>
      </c>
      <c r="F80" s="676" t="s">
        <v>814</v>
      </c>
    </row>
    <row r="81" spans="1:6" s="418" customFormat="1" ht="12" customHeight="1">
      <c r="A81" s="603" t="s">
        <v>417</v>
      </c>
      <c r="B81" s="614" t="s">
        <v>418</v>
      </c>
      <c r="C81" s="395">
        <v>0</v>
      </c>
      <c r="D81" s="412">
        <v>0</v>
      </c>
      <c r="E81" s="395">
        <v>0</v>
      </c>
      <c r="F81" s="676" t="s">
        <v>815</v>
      </c>
    </row>
    <row r="82" spans="1:6" s="418" customFormat="1" ht="12" customHeight="1" thickBot="1">
      <c r="A82" s="432" t="s">
        <v>419</v>
      </c>
      <c r="B82" s="615" t="s">
        <v>420</v>
      </c>
      <c r="C82" s="395">
        <v>0</v>
      </c>
      <c r="D82" s="412">
        <v>0</v>
      </c>
      <c r="E82" s="395">
        <v>0</v>
      </c>
      <c r="F82" s="676" t="s">
        <v>816</v>
      </c>
    </row>
    <row r="83" spans="1:6" s="418" customFormat="1" ht="12" customHeight="1" thickBot="1">
      <c r="A83" s="431" t="s">
        <v>421</v>
      </c>
      <c r="B83" s="616" t="s">
        <v>422</v>
      </c>
      <c r="C83" s="435">
        <v>0</v>
      </c>
      <c r="D83" s="434">
        <v>0</v>
      </c>
      <c r="E83" s="435">
        <v>0</v>
      </c>
      <c r="F83" s="676" t="s">
        <v>817</v>
      </c>
    </row>
    <row r="84" spans="1:6" s="418" customFormat="1" ht="13.5" customHeight="1" thickBot="1">
      <c r="A84" s="431" t="s">
        <v>423</v>
      </c>
      <c r="B84" s="354" t="s">
        <v>424</v>
      </c>
      <c r="C84" s="414">
        <f>C62+C66+C71+C74+C78+C83</f>
        <v>131019043</v>
      </c>
      <c r="D84" s="414">
        <f>D62+D66+D71+D74+D78+D83</f>
        <v>186598542</v>
      </c>
      <c r="E84" s="414">
        <f>E62+E66+E71+E74+E78+E83</f>
        <v>186598542</v>
      </c>
      <c r="F84" s="676" t="s">
        <v>818</v>
      </c>
    </row>
    <row r="85" spans="1:6" s="418" customFormat="1" ht="12" customHeight="1" thickBot="1">
      <c r="A85" s="433" t="s">
        <v>425</v>
      </c>
      <c r="B85" s="357" t="s">
        <v>426</v>
      </c>
      <c r="C85" s="414">
        <f>C61+C84</f>
        <v>492949971</v>
      </c>
      <c r="D85" s="414">
        <f>D61+D84</f>
        <v>518291710</v>
      </c>
      <c r="E85" s="414">
        <f>E61+E84</f>
        <v>511710111</v>
      </c>
      <c r="F85" s="676" t="s">
        <v>819</v>
      </c>
    </row>
    <row r="86" spans="1:5" ht="16.5" customHeight="1">
      <c r="A86" s="756" t="s">
        <v>35</v>
      </c>
      <c r="B86" s="756"/>
      <c r="C86" s="756"/>
      <c r="D86" s="756"/>
      <c r="E86" s="756"/>
    </row>
    <row r="87" spans="1:6" s="424" customFormat="1" ht="16.5" customHeight="1" thickBot="1">
      <c r="A87" s="46" t="s">
        <v>112</v>
      </c>
      <c r="B87" s="46"/>
      <c r="C87" s="46"/>
      <c r="D87" s="385"/>
      <c r="E87" s="385" t="s">
        <v>879</v>
      </c>
      <c r="F87" s="677"/>
    </row>
    <row r="88" spans="1:6" s="424" customFormat="1" ht="16.5" customHeight="1">
      <c r="A88" s="762" t="s">
        <v>59</v>
      </c>
      <c r="B88" s="759" t="s">
        <v>179</v>
      </c>
      <c r="C88" s="821" t="str">
        <f>+C3</f>
        <v>2016. évi tény</v>
      </c>
      <c r="D88" s="757" t="str">
        <f>+D3</f>
        <v>2017. évi</v>
      </c>
      <c r="E88" s="758"/>
      <c r="F88" s="677"/>
    </row>
    <row r="89" spans="1:5" ht="37.5" customHeight="1" thickBot="1">
      <c r="A89" s="763"/>
      <c r="B89" s="760"/>
      <c r="C89" s="822"/>
      <c r="D89" s="47" t="s">
        <v>185</v>
      </c>
      <c r="E89" s="48" t="s">
        <v>186</v>
      </c>
    </row>
    <row r="90" spans="1:6" s="417" customFormat="1" ht="12" customHeight="1" thickBot="1">
      <c r="A90" s="381" t="s">
        <v>427</v>
      </c>
      <c r="B90" s="382" t="s">
        <v>428</v>
      </c>
      <c r="C90" s="382" t="s">
        <v>429</v>
      </c>
      <c r="D90" s="382" t="s">
        <v>431</v>
      </c>
      <c r="E90" s="429" t="s">
        <v>508</v>
      </c>
      <c r="F90" s="675"/>
    </row>
    <row r="91" spans="1:6" ht="12" customHeight="1" thickBot="1">
      <c r="A91" s="378" t="s">
        <v>6</v>
      </c>
      <c r="B91" s="380" t="s">
        <v>589</v>
      </c>
      <c r="C91" s="362">
        <f>+C92+C93+C94+C95+C96</f>
        <v>244070883</v>
      </c>
      <c r="D91" s="407">
        <f>SUM(D92:D96)</f>
        <v>289699894</v>
      </c>
      <c r="E91" s="407">
        <f>SUM(E92:E96)</f>
        <v>253165078</v>
      </c>
      <c r="F91" s="674" t="s">
        <v>740</v>
      </c>
    </row>
    <row r="92" spans="1:6" ht="12" customHeight="1">
      <c r="A92" s="373" t="s">
        <v>71</v>
      </c>
      <c r="B92" s="617" t="s">
        <v>36</v>
      </c>
      <c r="C92" s="361">
        <f>53789962+25133676+23947100</f>
        <v>102870738</v>
      </c>
      <c r="D92" s="98">
        <v>118906086</v>
      </c>
      <c r="E92" s="361">
        <v>112015989</v>
      </c>
      <c r="F92" s="674" t="s">
        <v>741</v>
      </c>
    </row>
    <row r="93" spans="1:6" ht="12" customHeight="1">
      <c r="A93" s="370" t="s">
        <v>72</v>
      </c>
      <c r="B93" s="618" t="s">
        <v>133</v>
      </c>
      <c r="C93" s="392">
        <f>13560006+7349467+6979333</f>
        <v>27888806</v>
      </c>
      <c r="D93" s="409">
        <v>27841943</v>
      </c>
      <c r="E93" s="392">
        <v>25634182</v>
      </c>
      <c r="F93" s="674" t="s">
        <v>742</v>
      </c>
    </row>
    <row r="94" spans="1:6" ht="12" customHeight="1">
      <c r="A94" s="370" t="s">
        <v>73</v>
      </c>
      <c r="B94" s="618" t="s">
        <v>100</v>
      </c>
      <c r="C94" s="394">
        <f>89846977+7449178+4583761</f>
        <v>101879916</v>
      </c>
      <c r="D94" s="411">
        <v>126181276</v>
      </c>
      <c r="E94" s="394">
        <v>99410668</v>
      </c>
      <c r="F94" s="674" t="s">
        <v>743</v>
      </c>
    </row>
    <row r="95" spans="1:6" ht="12" customHeight="1">
      <c r="A95" s="370" t="s">
        <v>74</v>
      </c>
      <c r="B95" s="619" t="s">
        <v>134</v>
      </c>
      <c r="C95" s="394">
        <v>5210991</v>
      </c>
      <c r="D95" s="411">
        <v>7425420</v>
      </c>
      <c r="E95" s="394">
        <v>6784270</v>
      </c>
      <c r="F95" s="674" t="s">
        <v>744</v>
      </c>
    </row>
    <row r="96" spans="1:6" ht="12" customHeight="1">
      <c r="A96" s="370" t="s">
        <v>83</v>
      </c>
      <c r="B96" s="620" t="s">
        <v>135</v>
      </c>
      <c r="C96" s="411">
        <v>6220432</v>
      </c>
      <c r="D96" s="411">
        <v>9345169</v>
      </c>
      <c r="E96" s="411">
        <v>9319969</v>
      </c>
      <c r="F96" s="674" t="s">
        <v>745</v>
      </c>
    </row>
    <row r="97" spans="1:6" ht="12" customHeight="1">
      <c r="A97" s="370" t="s">
        <v>75</v>
      </c>
      <c r="B97" s="618" t="s">
        <v>434</v>
      </c>
      <c r="C97" s="394">
        <v>0</v>
      </c>
      <c r="D97" s="411">
        <v>5145169</v>
      </c>
      <c r="E97" s="394">
        <v>5145169</v>
      </c>
      <c r="F97" s="674" t="s">
        <v>746</v>
      </c>
    </row>
    <row r="98" spans="1:6" ht="12" customHeight="1">
      <c r="A98" s="370" t="s">
        <v>76</v>
      </c>
      <c r="B98" s="621" t="s">
        <v>435</v>
      </c>
      <c r="C98" s="394">
        <v>0</v>
      </c>
      <c r="D98" s="411">
        <v>0</v>
      </c>
      <c r="E98" s="394">
        <v>0</v>
      </c>
      <c r="F98" s="674" t="s">
        <v>747</v>
      </c>
    </row>
    <row r="99" spans="1:6" ht="12" customHeight="1">
      <c r="A99" s="370" t="s">
        <v>84</v>
      </c>
      <c r="B99" s="618" t="s">
        <v>436</v>
      </c>
      <c r="C99" s="394">
        <v>0</v>
      </c>
      <c r="D99" s="411">
        <v>0</v>
      </c>
      <c r="E99" s="394">
        <v>0</v>
      </c>
      <c r="F99" s="674" t="s">
        <v>748</v>
      </c>
    </row>
    <row r="100" spans="1:6" ht="12" customHeight="1">
      <c r="A100" s="370" t="s">
        <v>85</v>
      </c>
      <c r="B100" s="618" t="s">
        <v>437</v>
      </c>
      <c r="C100" s="394">
        <v>0</v>
      </c>
      <c r="D100" s="411">
        <v>0</v>
      </c>
      <c r="E100" s="394">
        <v>0</v>
      </c>
      <c r="F100" s="674" t="s">
        <v>749</v>
      </c>
    </row>
    <row r="101" spans="1:6" ht="12" customHeight="1">
      <c r="A101" s="370" t="s">
        <v>86</v>
      </c>
      <c r="B101" s="621" t="s">
        <v>438</v>
      </c>
      <c r="C101" s="394">
        <v>0</v>
      </c>
      <c r="D101" s="411">
        <v>0</v>
      </c>
      <c r="E101" s="394">
        <v>0</v>
      </c>
      <c r="F101" s="674" t="s">
        <v>750</v>
      </c>
    </row>
    <row r="102" spans="1:6" ht="12" customHeight="1">
      <c r="A102" s="370" t="s">
        <v>87</v>
      </c>
      <c r="B102" s="621" t="s">
        <v>439</v>
      </c>
      <c r="C102" s="394">
        <v>0</v>
      </c>
      <c r="D102" s="411">
        <v>0</v>
      </c>
      <c r="E102" s="394">
        <v>0</v>
      </c>
      <c r="F102" s="674" t="s">
        <v>751</v>
      </c>
    </row>
    <row r="103" spans="1:6" ht="12" customHeight="1">
      <c r="A103" s="370" t="s">
        <v>89</v>
      </c>
      <c r="B103" s="618" t="s">
        <v>440</v>
      </c>
      <c r="C103" s="394">
        <v>0</v>
      </c>
      <c r="D103" s="411">
        <v>0</v>
      </c>
      <c r="E103" s="394">
        <v>0</v>
      </c>
      <c r="F103" s="674" t="s">
        <v>752</v>
      </c>
    </row>
    <row r="104" spans="1:6" ht="12" customHeight="1">
      <c r="A104" s="369" t="s">
        <v>136</v>
      </c>
      <c r="B104" s="622" t="s">
        <v>441</v>
      </c>
      <c r="C104" s="394">
        <v>0</v>
      </c>
      <c r="D104" s="411">
        <v>0</v>
      </c>
      <c r="E104" s="394">
        <v>0</v>
      </c>
      <c r="F104" s="674" t="s">
        <v>753</v>
      </c>
    </row>
    <row r="105" spans="1:6" ht="12" customHeight="1">
      <c r="A105" s="370" t="s">
        <v>442</v>
      </c>
      <c r="B105" s="622" t="s">
        <v>443</v>
      </c>
      <c r="C105" s="394">
        <v>0</v>
      </c>
      <c r="D105" s="411">
        <v>0</v>
      </c>
      <c r="E105" s="394">
        <v>0</v>
      </c>
      <c r="F105" s="674" t="s">
        <v>754</v>
      </c>
    </row>
    <row r="106" spans="1:6" ht="12" customHeight="1" thickBot="1">
      <c r="A106" s="374" t="s">
        <v>444</v>
      </c>
      <c r="B106" s="623" t="s">
        <v>445</v>
      </c>
      <c r="C106" s="355">
        <v>6220432</v>
      </c>
      <c r="D106" s="99">
        <v>4200000</v>
      </c>
      <c r="E106" s="355">
        <v>4174800</v>
      </c>
      <c r="F106" s="674" t="s">
        <v>755</v>
      </c>
    </row>
    <row r="107" spans="1:6" ht="12" customHeight="1" thickBot="1">
      <c r="A107" s="376" t="s">
        <v>7</v>
      </c>
      <c r="B107" s="379" t="s">
        <v>590</v>
      </c>
      <c r="C107" s="408">
        <f>C108+C110+C112</f>
        <v>62604310</v>
      </c>
      <c r="D107" s="408">
        <f>D108+D110+D112</f>
        <v>123151788</v>
      </c>
      <c r="E107" s="408">
        <f>E108+E110+E112</f>
        <v>115743267</v>
      </c>
      <c r="F107" s="674" t="s">
        <v>756</v>
      </c>
    </row>
    <row r="108" spans="1:6" ht="12" customHeight="1">
      <c r="A108" s="371" t="s">
        <v>77</v>
      </c>
      <c r="B108" s="618" t="s">
        <v>157</v>
      </c>
      <c r="C108" s="393">
        <f>13329873+262329+76999</f>
        <v>13669201</v>
      </c>
      <c r="D108" s="410">
        <v>25775294</v>
      </c>
      <c r="E108" s="393">
        <v>21066388</v>
      </c>
      <c r="F108" s="674" t="s">
        <v>757</v>
      </c>
    </row>
    <row r="109" spans="1:6" ht="12" customHeight="1">
      <c r="A109" s="371" t="s">
        <v>78</v>
      </c>
      <c r="B109" s="622" t="s">
        <v>447</v>
      </c>
      <c r="C109" s="393">
        <v>0</v>
      </c>
      <c r="D109" s="410">
        <v>0</v>
      </c>
      <c r="E109" s="393">
        <v>0</v>
      </c>
      <c r="F109" s="674" t="s">
        <v>758</v>
      </c>
    </row>
    <row r="110" spans="1:6" ht="15.75">
      <c r="A110" s="371" t="s">
        <v>79</v>
      </c>
      <c r="B110" s="622" t="s">
        <v>137</v>
      </c>
      <c r="C110" s="392">
        <v>47485109</v>
      </c>
      <c r="D110" s="409">
        <v>95876494</v>
      </c>
      <c r="E110" s="392">
        <v>93876879</v>
      </c>
      <c r="F110" s="674" t="s">
        <v>759</v>
      </c>
    </row>
    <row r="111" spans="1:6" ht="12" customHeight="1">
      <c r="A111" s="371" t="s">
        <v>80</v>
      </c>
      <c r="B111" s="622" t="s">
        <v>448</v>
      </c>
      <c r="C111" s="392">
        <v>0</v>
      </c>
      <c r="D111" s="409">
        <v>0</v>
      </c>
      <c r="E111" s="392">
        <v>0</v>
      </c>
      <c r="F111" s="674" t="s">
        <v>760</v>
      </c>
    </row>
    <row r="112" spans="1:6" ht="12" customHeight="1">
      <c r="A112" s="371" t="s">
        <v>81</v>
      </c>
      <c r="B112" s="615" t="s">
        <v>160</v>
      </c>
      <c r="C112" s="409">
        <f>SUM(C113:C120)</f>
        <v>1450000</v>
      </c>
      <c r="D112" s="409">
        <f>SUM(D113:D120)</f>
        <v>1500000</v>
      </c>
      <c r="E112" s="409">
        <f>SUM(E113:E120)</f>
        <v>800000</v>
      </c>
      <c r="F112" s="674" t="s">
        <v>761</v>
      </c>
    </row>
    <row r="113" spans="1:6" ht="15.75">
      <c r="A113" s="371" t="s">
        <v>88</v>
      </c>
      <c r="B113" s="614" t="s">
        <v>449</v>
      </c>
      <c r="C113" s="392">
        <v>0</v>
      </c>
      <c r="D113" s="409">
        <v>0</v>
      </c>
      <c r="E113" s="392">
        <v>0</v>
      </c>
      <c r="F113" s="674" t="s">
        <v>762</v>
      </c>
    </row>
    <row r="114" spans="1:6" ht="15.75">
      <c r="A114" s="371" t="s">
        <v>90</v>
      </c>
      <c r="B114" s="624" t="s">
        <v>450</v>
      </c>
      <c r="C114" s="392">
        <v>0</v>
      </c>
      <c r="D114" s="409">
        <v>0</v>
      </c>
      <c r="E114" s="392">
        <v>0</v>
      </c>
      <c r="F114" s="674" t="s">
        <v>763</v>
      </c>
    </row>
    <row r="115" spans="1:6" ht="12" customHeight="1">
      <c r="A115" s="371" t="s">
        <v>138</v>
      </c>
      <c r="B115" s="618" t="s">
        <v>437</v>
      </c>
      <c r="C115" s="392">
        <v>0</v>
      </c>
      <c r="D115" s="409">
        <v>0</v>
      </c>
      <c r="E115" s="392">
        <v>0</v>
      </c>
      <c r="F115" s="674" t="s">
        <v>764</v>
      </c>
    </row>
    <row r="116" spans="1:6" ht="12" customHeight="1">
      <c r="A116" s="371" t="s">
        <v>139</v>
      </c>
      <c r="B116" s="618" t="s">
        <v>451</v>
      </c>
      <c r="C116" s="392">
        <v>0</v>
      </c>
      <c r="D116" s="409">
        <v>0</v>
      </c>
      <c r="E116" s="392">
        <v>0</v>
      </c>
      <c r="F116" s="674" t="s">
        <v>765</v>
      </c>
    </row>
    <row r="117" spans="1:6" ht="12" customHeight="1">
      <c r="A117" s="371" t="s">
        <v>140</v>
      </c>
      <c r="B117" s="618" t="s">
        <v>452</v>
      </c>
      <c r="C117" s="392">
        <v>0</v>
      </c>
      <c r="D117" s="409">
        <v>0</v>
      </c>
      <c r="E117" s="392">
        <v>0</v>
      </c>
      <c r="F117" s="674" t="s">
        <v>766</v>
      </c>
    </row>
    <row r="118" spans="1:6" s="436" customFormat="1" ht="12" customHeight="1">
      <c r="A118" s="371" t="s">
        <v>453</v>
      </c>
      <c r="B118" s="618" t="s">
        <v>440</v>
      </c>
      <c r="C118" s="392">
        <v>0</v>
      </c>
      <c r="D118" s="409">
        <v>0</v>
      </c>
      <c r="E118" s="392">
        <v>0</v>
      </c>
      <c r="F118" s="674" t="s">
        <v>767</v>
      </c>
    </row>
    <row r="119" spans="1:6" ht="12" customHeight="1">
      <c r="A119" s="371" t="s">
        <v>454</v>
      </c>
      <c r="B119" s="618" t="s">
        <v>455</v>
      </c>
      <c r="C119" s="392">
        <v>0</v>
      </c>
      <c r="D119" s="409">
        <v>0</v>
      </c>
      <c r="E119" s="392">
        <v>0</v>
      </c>
      <c r="F119" s="674" t="s">
        <v>768</v>
      </c>
    </row>
    <row r="120" spans="1:6" ht="12" customHeight="1" thickBot="1">
      <c r="A120" s="369" t="s">
        <v>456</v>
      </c>
      <c r="B120" s="618" t="s">
        <v>457</v>
      </c>
      <c r="C120" s="394">
        <v>1450000</v>
      </c>
      <c r="D120" s="411">
        <v>1500000</v>
      </c>
      <c r="E120" s="394">
        <v>800000</v>
      </c>
      <c r="F120" s="674" t="s">
        <v>769</v>
      </c>
    </row>
    <row r="121" spans="1:6" ht="12" customHeight="1" thickBot="1">
      <c r="A121" s="376" t="s">
        <v>8</v>
      </c>
      <c r="B121" s="596" t="s">
        <v>458</v>
      </c>
      <c r="C121" s="408">
        <f>SUM(C122:C123)</f>
        <v>0</v>
      </c>
      <c r="D121" s="408">
        <f>SUM(D122:D123)</f>
        <v>100621538</v>
      </c>
      <c r="E121" s="408">
        <f>SUM(E122:E123)</f>
        <v>0</v>
      </c>
      <c r="F121" s="674" t="s">
        <v>770</v>
      </c>
    </row>
    <row r="122" spans="1:6" ht="12" customHeight="1">
      <c r="A122" s="371" t="s">
        <v>60</v>
      </c>
      <c r="B122" s="624" t="s">
        <v>46</v>
      </c>
      <c r="C122" s="393">
        <v>0</v>
      </c>
      <c r="D122" s="410">
        <v>100621538</v>
      </c>
      <c r="E122" s="393">
        <v>0</v>
      </c>
      <c r="F122" s="674" t="s">
        <v>771</v>
      </c>
    </row>
    <row r="123" spans="1:6" ht="12" customHeight="1" thickBot="1">
      <c r="A123" s="372" t="s">
        <v>61</v>
      </c>
      <c r="B123" s="622" t="s">
        <v>47</v>
      </c>
      <c r="C123" s="394">
        <v>0</v>
      </c>
      <c r="D123" s="411">
        <v>0</v>
      </c>
      <c r="E123" s="394">
        <v>0</v>
      </c>
      <c r="F123" s="674" t="s">
        <v>772</v>
      </c>
    </row>
    <row r="124" spans="1:6" ht="12" customHeight="1" thickBot="1">
      <c r="A124" s="376" t="s">
        <v>9</v>
      </c>
      <c r="B124" s="596" t="s">
        <v>459</v>
      </c>
      <c r="C124" s="408">
        <f>C91+C107+C121</f>
        <v>306675193</v>
      </c>
      <c r="D124" s="408">
        <f>D91+D107+D121</f>
        <v>513473220</v>
      </c>
      <c r="E124" s="408">
        <f>E91+E107+E121</f>
        <v>368908345</v>
      </c>
      <c r="F124" s="674" t="s">
        <v>773</v>
      </c>
    </row>
    <row r="125" spans="1:6" ht="12" customHeight="1" thickBot="1">
      <c r="A125" s="376" t="s">
        <v>10</v>
      </c>
      <c r="B125" s="596" t="s">
        <v>460</v>
      </c>
      <c r="C125" s="408">
        <f>SUM(C126:C128)</f>
        <v>0</v>
      </c>
      <c r="D125" s="408">
        <f>SUM(D126:D128)</f>
        <v>0</v>
      </c>
      <c r="E125" s="408">
        <f>SUM(E126:E128)</f>
        <v>0</v>
      </c>
      <c r="F125" s="674" t="s">
        <v>774</v>
      </c>
    </row>
    <row r="126" spans="1:6" ht="12" customHeight="1">
      <c r="A126" s="371" t="s">
        <v>64</v>
      </c>
      <c r="B126" s="624" t="s">
        <v>591</v>
      </c>
      <c r="C126" s="392">
        <v>0</v>
      </c>
      <c r="D126" s="409">
        <v>0</v>
      </c>
      <c r="E126" s="392">
        <v>0</v>
      </c>
      <c r="F126" s="674" t="s">
        <v>775</v>
      </c>
    </row>
    <row r="127" spans="1:6" ht="12" customHeight="1">
      <c r="A127" s="371" t="s">
        <v>65</v>
      </c>
      <c r="B127" s="624" t="s">
        <v>592</v>
      </c>
      <c r="C127" s="392">
        <v>0</v>
      </c>
      <c r="D127" s="409">
        <v>0</v>
      </c>
      <c r="E127" s="392">
        <v>0</v>
      </c>
      <c r="F127" s="674" t="s">
        <v>776</v>
      </c>
    </row>
    <row r="128" spans="1:6" ht="12" customHeight="1" thickBot="1">
      <c r="A128" s="369" t="s">
        <v>66</v>
      </c>
      <c r="B128" s="625" t="s">
        <v>593</v>
      </c>
      <c r="C128" s="392">
        <v>0</v>
      </c>
      <c r="D128" s="409">
        <v>0</v>
      </c>
      <c r="E128" s="392">
        <v>0</v>
      </c>
      <c r="F128" s="674" t="s">
        <v>777</v>
      </c>
    </row>
    <row r="129" spans="1:6" ht="12" customHeight="1" thickBot="1">
      <c r="A129" s="376" t="s">
        <v>11</v>
      </c>
      <c r="B129" s="596" t="s">
        <v>464</v>
      </c>
      <c r="C129" s="408">
        <f>SUM(C130:C133)</f>
        <v>0</v>
      </c>
      <c r="D129" s="408">
        <f>SUM(D130:D133)</f>
        <v>0</v>
      </c>
      <c r="E129" s="408">
        <f>SUM(E130:E133)</f>
        <v>0</v>
      </c>
      <c r="F129" s="674" t="s">
        <v>778</v>
      </c>
    </row>
    <row r="130" spans="1:6" ht="12" customHeight="1">
      <c r="A130" s="371" t="s">
        <v>67</v>
      </c>
      <c r="B130" s="624" t="s">
        <v>594</v>
      </c>
      <c r="C130" s="392">
        <v>0</v>
      </c>
      <c r="D130" s="409">
        <v>0</v>
      </c>
      <c r="E130" s="392">
        <v>0</v>
      </c>
      <c r="F130" s="674" t="s">
        <v>779</v>
      </c>
    </row>
    <row r="131" spans="1:6" ht="12" customHeight="1">
      <c r="A131" s="371" t="s">
        <v>68</v>
      </c>
      <c r="B131" s="624" t="s">
        <v>595</v>
      </c>
      <c r="C131" s="392">
        <v>0</v>
      </c>
      <c r="D131" s="409">
        <v>0</v>
      </c>
      <c r="E131" s="392">
        <v>0</v>
      </c>
      <c r="F131" s="674" t="s">
        <v>780</v>
      </c>
    </row>
    <row r="132" spans="1:6" ht="12" customHeight="1">
      <c r="A132" s="371" t="s">
        <v>361</v>
      </c>
      <c r="B132" s="624" t="s">
        <v>596</v>
      </c>
      <c r="C132" s="392">
        <v>0</v>
      </c>
      <c r="D132" s="409">
        <v>0</v>
      </c>
      <c r="E132" s="392">
        <v>0</v>
      </c>
      <c r="F132" s="674" t="s">
        <v>781</v>
      </c>
    </row>
    <row r="133" spans="1:6" ht="12" customHeight="1" thickBot="1">
      <c r="A133" s="369" t="s">
        <v>363</v>
      </c>
      <c r="B133" s="625" t="s">
        <v>597</v>
      </c>
      <c r="C133" s="392">
        <v>0</v>
      </c>
      <c r="D133" s="409">
        <v>0</v>
      </c>
      <c r="E133" s="392">
        <v>0</v>
      </c>
      <c r="F133" s="674" t="s">
        <v>782</v>
      </c>
    </row>
    <row r="134" spans="1:6" ht="12" customHeight="1" thickBot="1">
      <c r="A134" s="376" t="s">
        <v>12</v>
      </c>
      <c r="B134" s="596" t="s">
        <v>469</v>
      </c>
      <c r="C134" s="414">
        <f>SUM(C135:C138)</f>
        <v>4795248</v>
      </c>
      <c r="D134" s="414">
        <f>SUM(D135:D138)</f>
        <v>4818490</v>
      </c>
      <c r="E134" s="414">
        <f>SUM(E135:E138)</f>
        <v>4818490</v>
      </c>
      <c r="F134" s="674" t="s">
        <v>783</v>
      </c>
    </row>
    <row r="135" spans="1:6" ht="12" customHeight="1">
      <c r="A135" s="371" t="s">
        <v>69</v>
      </c>
      <c r="B135" s="624" t="s">
        <v>470</v>
      </c>
      <c r="C135" s="392">
        <v>0</v>
      </c>
      <c r="D135" s="409">
        <v>0</v>
      </c>
      <c r="E135" s="392">
        <v>0</v>
      </c>
      <c r="F135" s="674" t="s">
        <v>784</v>
      </c>
    </row>
    <row r="136" spans="1:6" ht="12" customHeight="1">
      <c r="A136" s="371" t="s">
        <v>70</v>
      </c>
      <c r="B136" s="624" t="s">
        <v>471</v>
      </c>
      <c r="C136" s="392">
        <v>4795248</v>
      </c>
      <c r="D136" s="409">
        <v>4818490</v>
      </c>
      <c r="E136" s="392">
        <v>4818490</v>
      </c>
      <c r="F136" s="674" t="s">
        <v>785</v>
      </c>
    </row>
    <row r="137" spans="1:6" ht="12" customHeight="1">
      <c r="A137" s="371" t="s">
        <v>370</v>
      </c>
      <c r="B137" s="624" t="s">
        <v>598</v>
      </c>
      <c r="C137" s="392">
        <v>0</v>
      </c>
      <c r="D137" s="409">
        <v>0</v>
      </c>
      <c r="E137" s="392">
        <v>0</v>
      </c>
      <c r="F137" s="674" t="s">
        <v>786</v>
      </c>
    </row>
    <row r="138" spans="1:6" ht="12" customHeight="1" thickBot="1">
      <c r="A138" s="369" t="s">
        <v>372</v>
      </c>
      <c r="B138" s="625" t="s">
        <v>515</v>
      </c>
      <c r="C138" s="392">
        <v>0</v>
      </c>
      <c r="D138" s="409">
        <v>0</v>
      </c>
      <c r="E138" s="392">
        <v>0</v>
      </c>
      <c r="F138" s="674" t="s">
        <v>787</v>
      </c>
    </row>
    <row r="139" spans="1:9" ht="15" customHeight="1" thickBot="1">
      <c r="A139" s="376" t="s">
        <v>13</v>
      </c>
      <c r="B139" s="596" t="s">
        <v>565</v>
      </c>
      <c r="C139" s="100">
        <f>SUM(C140:C143)</f>
        <v>0</v>
      </c>
      <c r="D139" s="100">
        <f>SUM(D140:D143)</f>
        <v>0</v>
      </c>
      <c r="E139" s="100">
        <f>SUM(E140:E143)</f>
        <v>0</v>
      </c>
      <c r="F139" s="674" t="s">
        <v>788</v>
      </c>
      <c r="G139" s="425"/>
      <c r="H139" s="425"/>
      <c r="I139" s="425"/>
    </row>
    <row r="140" spans="1:6" s="418" customFormat="1" ht="12.75" customHeight="1">
      <c r="A140" s="371" t="s">
        <v>131</v>
      </c>
      <c r="B140" s="624" t="s">
        <v>475</v>
      </c>
      <c r="C140" s="392">
        <v>0</v>
      </c>
      <c r="D140" s="409">
        <v>0</v>
      </c>
      <c r="E140" s="392">
        <v>0</v>
      </c>
      <c r="F140" s="674" t="s">
        <v>789</v>
      </c>
    </row>
    <row r="141" spans="1:6" ht="13.5" customHeight="1">
      <c r="A141" s="371" t="s">
        <v>132</v>
      </c>
      <c r="B141" s="624" t="s">
        <v>476</v>
      </c>
      <c r="C141" s="392">
        <v>0</v>
      </c>
      <c r="D141" s="409">
        <v>0</v>
      </c>
      <c r="E141" s="392">
        <v>0</v>
      </c>
      <c r="F141" s="674" t="s">
        <v>790</v>
      </c>
    </row>
    <row r="142" spans="1:6" ht="13.5" customHeight="1">
      <c r="A142" s="371" t="s">
        <v>159</v>
      </c>
      <c r="B142" s="624" t="s">
        <v>477</v>
      </c>
      <c r="C142" s="392">
        <v>0</v>
      </c>
      <c r="D142" s="409">
        <v>0</v>
      </c>
      <c r="E142" s="392">
        <v>0</v>
      </c>
      <c r="F142" s="674" t="s">
        <v>791</v>
      </c>
    </row>
    <row r="143" spans="1:6" ht="13.5" customHeight="1" thickBot="1">
      <c r="A143" s="371" t="s">
        <v>378</v>
      </c>
      <c r="B143" s="624" t="s">
        <v>478</v>
      </c>
      <c r="C143" s="392">
        <v>0</v>
      </c>
      <c r="D143" s="409">
        <v>0</v>
      </c>
      <c r="E143" s="392">
        <v>0</v>
      </c>
      <c r="F143" s="674" t="s">
        <v>792</v>
      </c>
    </row>
    <row r="144" spans="1:6" ht="12.75" customHeight="1" thickBot="1">
      <c r="A144" s="376" t="s">
        <v>14</v>
      </c>
      <c r="B144" s="596" t="s">
        <v>479</v>
      </c>
      <c r="C144" s="358">
        <f>C125+C129+C134+C139</f>
        <v>4795248</v>
      </c>
      <c r="D144" s="358">
        <f>D125+D129+D134+D139</f>
        <v>4818490</v>
      </c>
      <c r="E144" s="358">
        <f>E125+E129+E134+E139</f>
        <v>4818490</v>
      </c>
      <c r="F144" s="674" t="s">
        <v>793</v>
      </c>
    </row>
    <row r="145" spans="1:6" ht="13.5" customHeight="1" thickBot="1">
      <c r="A145" s="401" t="s">
        <v>15</v>
      </c>
      <c r="B145" s="626" t="s">
        <v>480</v>
      </c>
      <c r="C145" s="358">
        <f>C124+C144</f>
        <v>311470441</v>
      </c>
      <c r="D145" s="358">
        <f>D124+D144</f>
        <v>518291710</v>
      </c>
      <c r="E145" s="358">
        <f>E124+E144</f>
        <v>373726835</v>
      </c>
      <c r="F145" s="674" t="s">
        <v>794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D3:E3"/>
    <mergeCell ref="C3:C4"/>
    <mergeCell ref="B3:B4"/>
    <mergeCell ref="A3:A4"/>
    <mergeCell ref="B88:B89"/>
    <mergeCell ref="D88:E88"/>
    <mergeCell ref="A88:A89"/>
    <mergeCell ref="A86:E86"/>
    <mergeCell ref="C88:C89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5" r:id="rId1"/>
  <headerFooter alignWithMargins="0">
    <oddHeader>&amp;C&amp;"Times New Roman CE,Félkövér"&amp;12
Tengelic Község Önkormányzata 
2017. ÉVI ZÁRSZÁMADÁSÁNAK PÉNZÜGYI MÉRLEGE&amp;10
&amp;R&amp;"Times New Roman CE,Félkövér dőlt"&amp;11 1. tájékoztató tábla a 6 /2018. (V.30.) önkormányzati rendelethez</oddHeader>
  </headerFooter>
  <rowBreaks count="1" manualBreakCount="1">
    <brk id="85" min="1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880</v>
      </c>
      <c r="K1" s="773" t="str">
        <f>+CONCATENATE("2. tájékoztató tábla a 6 /",LEFT(ÖSSZEFÜGGÉSEK!A4,4)+1,". (V.30.) önkormányzati rendelethez")</f>
        <v>2. tájékoztató tábla a 6 /2018. (V.30.) önkormányzati rendelethez</v>
      </c>
    </row>
    <row r="2" spans="1:11" s="124" customFormat="1" ht="26.25" customHeight="1">
      <c r="A2" s="825" t="s">
        <v>59</v>
      </c>
      <c r="B2" s="823" t="s">
        <v>190</v>
      </c>
      <c r="C2" s="823" t="s">
        <v>191</v>
      </c>
      <c r="D2" s="823" t="s">
        <v>192</v>
      </c>
      <c r="E2" s="823" t="s">
        <v>905</v>
      </c>
      <c r="F2" s="121" t="s">
        <v>193</v>
      </c>
      <c r="G2" s="122"/>
      <c r="H2" s="122"/>
      <c r="I2" s="123"/>
      <c r="J2" s="827" t="s">
        <v>194</v>
      </c>
      <c r="K2" s="773"/>
    </row>
    <row r="3" spans="1:11" s="128" customFormat="1" ht="32.25" customHeight="1" thickBot="1">
      <c r="A3" s="826"/>
      <c r="B3" s="824"/>
      <c r="C3" s="824"/>
      <c r="D3" s="829"/>
      <c r="E3" s="829"/>
      <c r="F3" s="125" t="s">
        <v>878</v>
      </c>
      <c r="G3" s="126" t="s">
        <v>882</v>
      </c>
      <c r="H3" s="126" t="s">
        <v>920</v>
      </c>
      <c r="I3" s="127" t="s">
        <v>921</v>
      </c>
      <c r="J3" s="828"/>
      <c r="K3" s="773"/>
    </row>
    <row r="4" spans="1:11" s="130" customFormat="1" ht="13.5" customHeight="1" thickBot="1">
      <c r="A4" s="599" t="s">
        <v>427</v>
      </c>
      <c r="B4" s="129" t="s">
        <v>599</v>
      </c>
      <c r="C4" s="600" t="s">
        <v>429</v>
      </c>
      <c r="D4" s="600" t="s">
        <v>430</v>
      </c>
      <c r="E4" s="600" t="s">
        <v>431</v>
      </c>
      <c r="F4" s="600" t="s">
        <v>508</v>
      </c>
      <c r="G4" s="600" t="s">
        <v>509</v>
      </c>
      <c r="H4" s="600" t="s">
        <v>510</v>
      </c>
      <c r="I4" s="600" t="s">
        <v>511</v>
      </c>
      <c r="J4" s="601" t="s">
        <v>703</v>
      </c>
      <c r="K4" s="773"/>
    </row>
    <row r="5" spans="1:11" ht="33.75" customHeight="1">
      <c r="A5" s="131" t="s">
        <v>6</v>
      </c>
      <c r="B5" s="132" t="s">
        <v>195</v>
      </c>
      <c r="C5" s="133"/>
      <c r="D5" s="134">
        <f aca="true" t="shared" si="0" ref="D5:I5">SUM(D6:D7)</f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773"/>
    </row>
    <row r="6" spans="1:11" ht="21" customHeight="1">
      <c r="A6" s="137" t="s">
        <v>7</v>
      </c>
      <c r="B6" s="138" t="s">
        <v>196</v>
      </c>
      <c r="C6" s="139"/>
      <c r="D6" s="2"/>
      <c r="E6" s="2"/>
      <c r="F6" s="2"/>
      <c r="G6" s="2"/>
      <c r="H6" s="2"/>
      <c r="I6" s="50"/>
      <c r="J6" s="140">
        <f t="shared" si="1"/>
        <v>0</v>
      </c>
      <c r="K6" s="773"/>
    </row>
    <row r="7" spans="1:11" ht="21" customHeight="1">
      <c r="A7" s="137" t="s">
        <v>8</v>
      </c>
      <c r="B7" s="138" t="s">
        <v>196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773"/>
    </row>
    <row r="8" spans="1:11" ht="36" customHeight="1">
      <c r="A8" s="137" t="s">
        <v>9</v>
      </c>
      <c r="B8" s="141" t="s">
        <v>197</v>
      </c>
      <c r="C8" s="142"/>
      <c r="D8" s="143">
        <f aca="true" t="shared" si="2" ref="D8:I8">SUM(D9:D10)</f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773"/>
    </row>
    <row r="9" spans="1:11" ht="21" customHeight="1">
      <c r="A9" s="137" t="s">
        <v>10</v>
      </c>
      <c r="B9" s="138" t="s">
        <v>196</v>
      </c>
      <c r="C9" s="139"/>
      <c r="D9" s="2"/>
      <c r="E9" s="2"/>
      <c r="F9" s="2"/>
      <c r="G9" s="2"/>
      <c r="H9" s="2"/>
      <c r="I9" s="50"/>
      <c r="J9" s="140">
        <f t="shared" si="1"/>
        <v>0</v>
      </c>
      <c r="K9" s="773"/>
    </row>
    <row r="10" spans="1:11" ht="18" customHeight="1">
      <c r="A10" s="137" t="s">
        <v>11</v>
      </c>
      <c r="B10" s="138" t="s">
        <v>196</v>
      </c>
      <c r="C10" s="139"/>
      <c r="D10" s="2"/>
      <c r="E10" s="2"/>
      <c r="F10" s="2"/>
      <c r="G10" s="2"/>
      <c r="H10" s="2"/>
      <c r="I10" s="50"/>
      <c r="J10" s="140">
        <f t="shared" si="1"/>
        <v>0</v>
      </c>
      <c r="K10" s="773"/>
    </row>
    <row r="11" spans="1:11" ht="21" customHeight="1">
      <c r="A11" s="137" t="s">
        <v>12</v>
      </c>
      <c r="B11" s="146" t="s">
        <v>198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773"/>
    </row>
    <row r="12" spans="1:11" ht="21" customHeight="1">
      <c r="A12" s="137" t="s">
        <v>13</v>
      </c>
      <c r="B12" s="138" t="s">
        <v>196</v>
      </c>
      <c r="C12" s="139"/>
      <c r="D12" s="2"/>
      <c r="E12" s="2"/>
      <c r="F12" s="2"/>
      <c r="G12" s="2"/>
      <c r="H12" s="2"/>
      <c r="I12" s="50"/>
      <c r="J12" s="140">
        <f t="shared" si="1"/>
        <v>0</v>
      </c>
      <c r="K12" s="773"/>
    </row>
    <row r="13" spans="1:11" ht="21" customHeight="1">
      <c r="A13" s="137" t="s">
        <v>14</v>
      </c>
      <c r="B13" s="146" t="s">
        <v>199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773"/>
    </row>
    <row r="14" spans="1:11" ht="21" customHeight="1">
      <c r="A14" s="137" t="s">
        <v>15</v>
      </c>
      <c r="B14" s="138" t="s">
        <v>196</v>
      </c>
      <c r="C14" s="139"/>
      <c r="D14" s="2"/>
      <c r="E14" s="2"/>
      <c r="F14" s="2"/>
      <c r="G14" s="2"/>
      <c r="H14" s="2"/>
      <c r="I14" s="50"/>
      <c r="J14" s="140">
        <f t="shared" si="1"/>
        <v>0</v>
      </c>
      <c r="K14" s="773"/>
    </row>
    <row r="15" spans="1:11" ht="21" customHeight="1">
      <c r="A15" s="147" t="s">
        <v>16</v>
      </c>
      <c r="B15" s="148" t="s">
        <v>200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773"/>
    </row>
    <row r="16" spans="1:11" ht="21" customHeight="1">
      <c r="A16" s="147" t="s">
        <v>17</v>
      </c>
      <c r="B16" s="138" t="s">
        <v>196</v>
      </c>
      <c r="C16" s="139"/>
      <c r="D16" s="2"/>
      <c r="E16" s="2"/>
      <c r="F16" s="2"/>
      <c r="G16" s="2"/>
      <c r="H16" s="2"/>
      <c r="I16" s="50"/>
      <c r="J16" s="140">
        <f t="shared" si="1"/>
        <v>0</v>
      </c>
      <c r="K16" s="773"/>
    </row>
    <row r="17" spans="1:11" ht="21" customHeight="1" thickBot="1">
      <c r="A17" s="147" t="s">
        <v>18</v>
      </c>
      <c r="B17" s="138" t="s">
        <v>196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773"/>
    </row>
    <row r="18" spans="1:11" ht="21" customHeight="1" thickBot="1">
      <c r="A18" s="155" t="s">
        <v>19</v>
      </c>
      <c r="B18" s="156" t="s">
        <v>201</v>
      </c>
      <c r="C18" s="157"/>
      <c r="D18" s="158">
        <f aca="true" t="shared" si="6" ref="D18:J18">D5+D8+D11+D13+D15</f>
        <v>0</v>
      </c>
      <c r="E18" s="158">
        <f t="shared" si="6"/>
        <v>0</v>
      </c>
      <c r="F18" s="158">
        <f t="shared" si="6"/>
        <v>0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0</v>
      </c>
      <c r="K18" s="773"/>
    </row>
  </sheetData>
  <sheetProtection/>
  <mergeCells count="7">
    <mergeCell ref="B2:B3"/>
    <mergeCell ref="A2:A3"/>
    <mergeCell ref="J2:J3"/>
    <mergeCell ref="K1:K18"/>
    <mergeCell ref="E2:E3"/>
    <mergeCell ref="D2:D3"/>
    <mergeCell ref="C2:C3"/>
  </mergeCells>
  <printOptions horizontalCentered="1"/>
  <pageMargins left="0.7874015748031497" right="0.7874015748031497" top="1.39" bottom="0.984251968503937" header="0.5" footer="0.5"/>
  <pageSetup horizontalDpi="600" verticalDpi="600" orientation="landscape" paperSize="9" scale="8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61"/>
      <c r="H1" s="162" t="s">
        <v>880</v>
      </c>
      <c r="I1" s="835" t="str">
        <f>+CONCATENATE("3. tájékoztató tábla a 6 /",LEFT(ÖSSZEFÜGGÉSEK!A4,4)+1,". (V.30.) önkormányzati rendelethez")</f>
        <v>3. tájékoztató tábla a 6 /2018. (V.30.) önkormányzati rendelethez</v>
      </c>
    </row>
    <row r="2" spans="1:9" s="124" customFormat="1" ht="26.25" customHeight="1">
      <c r="A2" s="795" t="s">
        <v>59</v>
      </c>
      <c r="B2" s="831" t="s">
        <v>202</v>
      </c>
      <c r="C2" s="795" t="s">
        <v>203</v>
      </c>
      <c r="D2" s="795" t="s">
        <v>204</v>
      </c>
      <c r="E2" s="838" t="s">
        <v>922</v>
      </c>
      <c r="F2" s="836" t="s">
        <v>205</v>
      </c>
      <c r="G2" s="837"/>
      <c r="H2" s="833" t="s">
        <v>883</v>
      </c>
      <c r="I2" s="835"/>
    </row>
    <row r="3" spans="1:9" s="128" customFormat="1" ht="40.5" customHeight="1" thickBot="1">
      <c r="A3" s="832"/>
      <c r="B3" s="830"/>
      <c r="C3" s="830"/>
      <c r="D3" s="832"/>
      <c r="E3" s="839"/>
      <c r="F3" s="163" t="s">
        <v>878</v>
      </c>
      <c r="G3" s="164" t="s">
        <v>882</v>
      </c>
      <c r="H3" s="834"/>
      <c r="I3" s="835"/>
    </row>
    <row r="4" spans="1:9" s="168" customFormat="1" ht="12.75" customHeight="1" thickBot="1">
      <c r="A4" s="165" t="s">
        <v>427</v>
      </c>
      <c r="B4" s="117" t="s">
        <v>428</v>
      </c>
      <c r="C4" s="117" t="s">
        <v>429</v>
      </c>
      <c r="D4" s="166" t="s">
        <v>430</v>
      </c>
      <c r="E4" s="165" t="s">
        <v>431</v>
      </c>
      <c r="F4" s="166" t="s">
        <v>508</v>
      </c>
      <c r="G4" s="166" t="s">
        <v>509</v>
      </c>
      <c r="H4" s="167" t="s">
        <v>510</v>
      </c>
      <c r="I4" s="835"/>
    </row>
    <row r="5" spans="1:9" ht="22.5" customHeight="1" thickBot="1">
      <c r="A5" s="169" t="s">
        <v>6</v>
      </c>
      <c r="B5" s="170" t="s">
        <v>206</v>
      </c>
      <c r="C5" s="171"/>
      <c r="D5" s="172"/>
      <c r="E5" s="173">
        <f>SUM(E6:E11)</f>
        <v>0</v>
      </c>
      <c r="F5" s="174">
        <f>SUM(F6:F11)</f>
        <v>0</v>
      </c>
      <c r="G5" s="174">
        <f>SUM(G6:G11)</f>
        <v>0</v>
      </c>
      <c r="H5" s="175">
        <f>SUM(H6:H11)</f>
        <v>0</v>
      </c>
      <c r="I5" s="835"/>
    </row>
    <row r="6" spans="1:9" ht="22.5" customHeight="1">
      <c r="A6" s="176" t="s">
        <v>7</v>
      </c>
      <c r="B6" s="177" t="s">
        <v>196</v>
      </c>
      <c r="C6" s="178"/>
      <c r="D6" s="179"/>
      <c r="E6" s="180"/>
      <c r="F6" s="2"/>
      <c r="G6" s="2"/>
      <c r="H6" s="181"/>
      <c r="I6" s="835"/>
    </row>
    <row r="7" spans="1:9" ht="22.5" customHeight="1">
      <c r="A7" s="176" t="s">
        <v>8</v>
      </c>
      <c r="B7" s="177" t="s">
        <v>196</v>
      </c>
      <c r="C7" s="178"/>
      <c r="D7" s="179"/>
      <c r="E7" s="180"/>
      <c r="F7" s="2"/>
      <c r="G7" s="2"/>
      <c r="H7" s="181"/>
      <c r="I7" s="835"/>
    </row>
    <row r="8" spans="1:9" ht="22.5" customHeight="1">
      <c r="A8" s="176" t="s">
        <v>9</v>
      </c>
      <c r="B8" s="177" t="s">
        <v>196</v>
      </c>
      <c r="C8" s="178"/>
      <c r="D8" s="179"/>
      <c r="E8" s="180"/>
      <c r="F8" s="2"/>
      <c r="G8" s="2"/>
      <c r="H8" s="181"/>
      <c r="I8" s="835"/>
    </row>
    <row r="9" spans="1:9" ht="22.5" customHeight="1">
      <c r="A9" s="176" t="s">
        <v>10</v>
      </c>
      <c r="B9" s="177" t="s">
        <v>196</v>
      </c>
      <c r="C9" s="178"/>
      <c r="D9" s="179"/>
      <c r="E9" s="180"/>
      <c r="F9" s="2"/>
      <c r="G9" s="2"/>
      <c r="H9" s="181"/>
      <c r="I9" s="835"/>
    </row>
    <row r="10" spans="1:9" ht="22.5" customHeight="1">
      <c r="A10" s="176" t="s">
        <v>11</v>
      </c>
      <c r="B10" s="177" t="s">
        <v>196</v>
      </c>
      <c r="C10" s="178"/>
      <c r="D10" s="179"/>
      <c r="E10" s="180"/>
      <c r="F10" s="2"/>
      <c r="G10" s="2"/>
      <c r="H10" s="181"/>
      <c r="I10" s="835"/>
    </row>
    <row r="11" spans="1:9" ht="22.5" customHeight="1" thickBot="1">
      <c r="A11" s="176" t="s">
        <v>12</v>
      </c>
      <c r="B11" s="177" t="s">
        <v>196</v>
      </c>
      <c r="C11" s="178"/>
      <c r="D11" s="179"/>
      <c r="E11" s="180"/>
      <c r="F11" s="2"/>
      <c r="G11" s="2"/>
      <c r="H11" s="181"/>
      <c r="I11" s="835"/>
    </row>
    <row r="12" spans="1:9" ht="22.5" customHeight="1" thickBot="1">
      <c r="A12" s="169" t="s">
        <v>13</v>
      </c>
      <c r="B12" s="170" t="s">
        <v>207</v>
      </c>
      <c r="C12" s="182"/>
      <c r="D12" s="183"/>
      <c r="E12" s="173">
        <f>SUM(E13:E18)</f>
        <v>0</v>
      </c>
      <c r="F12" s="174">
        <f>SUM(F13:F18)</f>
        <v>0</v>
      </c>
      <c r="G12" s="174">
        <f>SUM(G13:G18)</f>
        <v>0</v>
      </c>
      <c r="H12" s="175">
        <f>SUM(H13:H18)</f>
        <v>0</v>
      </c>
      <c r="I12" s="835"/>
    </row>
    <row r="13" spans="1:9" ht="22.5" customHeight="1">
      <c r="A13" s="176" t="s">
        <v>14</v>
      </c>
      <c r="B13" s="177" t="s">
        <v>196</v>
      </c>
      <c r="C13" s="178"/>
      <c r="D13" s="179"/>
      <c r="E13" s="180"/>
      <c r="F13" s="2"/>
      <c r="G13" s="2"/>
      <c r="H13" s="181"/>
      <c r="I13" s="835"/>
    </row>
    <row r="14" spans="1:9" ht="22.5" customHeight="1">
      <c r="A14" s="176" t="s">
        <v>15</v>
      </c>
      <c r="B14" s="177" t="s">
        <v>196</v>
      </c>
      <c r="C14" s="178"/>
      <c r="D14" s="179"/>
      <c r="E14" s="180"/>
      <c r="F14" s="2"/>
      <c r="G14" s="2"/>
      <c r="H14" s="181"/>
      <c r="I14" s="835"/>
    </row>
    <row r="15" spans="1:9" ht="22.5" customHeight="1">
      <c r="A15" s="176" t="s">
        <v>16</v>
      </c>
      <c r="B15" s="177" t="s">
        <v>196</v>
      </c>
      <c r="C15" s="178"/>
      <c r="D15" s="179"/>
      <c r="E15" s="180"/>
      <c r="F15" s="2"/>
      <c r="G15" s="2"/>
      <c r="H15" s="181"/>
      <c r="I15" s="835"/>
    </row>
    <row r="16" spans="1:9" ht="22.5" customHeight="1">
      <c r="A16" s="176" t="s">
        <v>17</v>
      </c>
      <c r="B16" s="177" t="s">
        <v>196</v>
      </c>
      <c r="C16" s="178"/>
      <c r="D16" s="179"/>
      <c r="E16" s="180"/>
      <c r="F16" s="2"/>
      <c r="G16" s="2"/>
      <c r="H16" s="181"/>
      <c r="I16" s="835"/>
    </row>
    <row r="17" spans="1:9" ht="22.5" customHeight="1">
      <c r="A17" s="176" t="s">
        <v>18</v>
      </c>
      <c r="B17" s="177" t="s">
        <v>196</v>
      </c>
      <c r="C17" s="178"/>
      <c r="D17" s="179"/>
      <c r="E17" s="180"/>
      <c r="F17" s="2"/>
      <c r="G17" s="2"/>
      <c r="H17" s="181"/>
      <c r="I17" s="835"/>
    </row>
    <row r="18" spans="1:9" ht="22.5" customHeight="1" thickBot="1">
      <c r="A18" s="176" t="s">
        <v>19</v>
      </c>
      <c r="B18" s="177" t="s">
        <v>196</v>
      </c>
      <c r="C18" s="178"/>
      <c r="D18" s="179"/>
      <c r="E18" s="180"/>
      <c r="F18" s="2"/>
      <c r="G18" s="2"/>
      <c r="H18" s="181"/>
      <c r="I18" s="835"/>
    </row>
    <row r="19" spans="1:9" ht="22.5" customHeight="1" thickBot="1">
      <c r="A19" s="169" t="s">
        <v>20</v>
      </c>
      <c r="B19" s="170" t="s">
        <v>704</v>
      </c>
      <c r="C19" s="171"/>
      <c r="D19" s="172"/>
      <c r="E19" s="173">
        <f>E5+E12</f>
        <v>0</v>
      </c>
      <c r="F19" s="174">
        <f>F5+F12</f>
        <v>0</v>
      </c>
      <c r="G19" s="174">
        <f>G5+G12</f>
        <v>0</v>
      </c>
      <c r="H19" s="175">
        <f>H5+H12</f>
        <v>0</v>
      </c>
      <c r="I19" s="835"/>
    </row>
    <row r="20" ht="19.5" customHeight="1"/>
  </sheetData>
  <sheetProtection/>
  <mergeCells count="8">
    <mergeCell ref="C2:C3"/>
    <mergeCell ref="B2:B3"/>
    <mergeCell ref="A2:A3"/>
    <mergeCell ref="H2:H3"/>
    <mergeCell ref="I1:I19"/>
    <mergeCell ref="F2:G2"/>
    <mergeCell ref="E2:E3"/>
    <mergeCell ref="D2:D3"/>
  </mergeCells>
  <printOptions horizontalCentered="1"/>
  <pageMargins left="0.7874015748031497" right="0.7874015748031497" top="1.5748031496062993" bottom="0.984251968503937" header="0.5" footer="0.5"/>
  <pageSetup horizontalDpi="600" verticalDpi="600" orientation="landscape" paperSize="9" scale="9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8" t="s">
        <v>923</v>
      </c>
      <c r="B1" s="859"/>
      <c r="C1" s="859"/>
      <c r="D1" s="859"/>
      <c r="E1" s="859"/>
      <c r="F1" s="859"/>
      <c r="G1" s="859"/>
      <c r="H1" s="859"/>
      <c r="I1" s="859"/>
      <c r="J1" s="835" t="str">
        <f>+CONCATENATE("4. tájékoztató tábla a 6 /",LEFT(ÖSSZEFÜGGÉSEK!A4,4)+1,". (V.30.) önkormányzati rendelethez")</f>
        <v>4. tájékoztató tábla a 6 /2018. (V.30.) önkormányzati rendelethez</v>
      </c>
    </row>
    <row r="2" spans="8:10" ht="14.25" thickBot="1">
      <c r="H2" s="862" t="s">
        <v>884</v>
      </c>
      <c r="I2" s="862"/>
      <c r="J2" s="835"/>
    </row>
    <row r="3" spans="1:10" ht="13.5" thickBot="1">
      <c r="A3" s="860" t="s">
        <v>4</v>
      </c>
      <c r="B3" s="851" t="s">
        <v>209</v>
      </c>
      <c r="C3" s="849" t="s">
        <v>210</v>
      </c>
      <c r="D3" s="847" t="s">
        <v>211</v>
      </c>
      <c r="E3" s="848"/>
      <c r="F3" s="848"/>
      <c r="G3" s="848"/>
      <c r="H3" s="848"/>
      <c r="I3" s="845" t="s">
        <v>212</v>
      </c>
      <c r="J3" s="835"/>
    </row>
    <row r="4" spans="1:10" s="20" customFormat="1" ht="42" customHeight="1" thickBot="1">
      <c r="A4" s="861"/>
      <c r="B4" s="852"/>
      <c r="C4" s="850"/>
      <c r="D4" s="184" t="s">
        <v>213</v>
      </c>
      <c r="E4" s="184" t="s">
        <v>214</v>
      </c>
      <c r="F4" s="184" t="s">
        <v>215</v>
      </c>
      <c r="G4" s="185" t="s">
        <v>216</v>
      </c>
      <c r="H4" s="185" t="s">
        <v>217</v>
      </c>
      <c r="I4" s="846"/>
      <c r="J4" s="835"/>
    </row>
    <row r="5" spans="1:10" s="20" customFormat="1" ht="12" customHeight="1" thickBot="1">
      <c r="A5" s="595" t="s">
        <v>427</v>
      </c>
      <c r="B5" s="186" t="s">
        <v>428</v>
      </c>
      <c r="C5" s="186" t="s">
        <v>429</v>
      </c>
      <c r="D5" s="186" t="s">
        <v>430</v>
      </c>
      <c r="E5" s="186" t="s">
        <v>431</v>
      </c>
      <c r="F5" s="186" t="s">
        <v>508</v>
      </c>
      <c r="G5" s="186" t="s">
        <v>509</v>
      </c>
      <c r="H5" s="186" t="s">
        <v>600</v>
      </c>
      <c r="I5" s="187" t="s">
        <v>601</v>
      </c>
      <c r="J5" s="835"/>
    </row>
    <row r="6" spans="1:10" s="20" customFormat="1" ht="18" customHeight="1">
      <c r="A6" s="853" t="s">
        <v>218</v>
      </c>
      <c r="B6" s="854"/>
      <c r="C6" s="854"/>
      <c r="D6" s="854"/>
      <c r="E6" s="854"/>
      <c r="F6" s="854"/>
      <c r="G6" s="854"/>
      <c r="H6" s="854"/>
      <c r="I6" s="855"/>
      <c r="J6" s="835"/>
    </row>
    <row r="7" spans="1:10" ht="15.75" customHeight="1">
      <c r="A7" s="33" t="s">
        <v>6</v>
      </c>
      <c r="B7" s="31" t="s">
        <v>219</v>
      </c>
      <c r="C7" s="23"/>
      <c r="D7" s="23"/>
      <c r="E7" s="23"/>
      <c r="F7" s="23"/>
      <c r="G7" s="189"/>
      <c r="H7" s="190">
        <f aca="true" t="shared" si="0" ref="H7:H13">SUM(D7:G7)</f>
        <v>0</v>
      </c>
      <c r="I7" s="34">
        <f aca="true" t="shared" si="1" ref="I7:I13">C7+H7</f>
        <v>0</v>
      </c>
      <c r="J7" s="835"/>
    </row>
    <row r="8" spans="1:10" ht="22.5">
      <c r="A8" s="33" t="s">
        <v>7</v>
      </c>
      <c r="B8" s="31" t="s">
        <v>150</v>
      </c>
      <c r="C8" s="23"/>
      <c r="D8" s="23"/>
      <c r="E8" s="23"/>
      <c r="F8" s="23"/>
      <c r="G8" s="189"/>
      <c r="H8" s="190">
        <f t="shared" si="0"/>
        <v>0</v>
      </c>
      <c r="I8" s="34">
        <f t="shared" si="1"/>
        <v>0</v>
      </c>
      <c r="J8" s="835"/>
    </row>
    <row r="9" spans="1:10" ht="22.5">
      <c r="A9" s="33" t="s">
        <v>8</v>
      </c>
      <c r="B9" s="31" t="s">
        <v>151</v>
      </c>
      <c r="C9" s="23"/>
      <c r="D9" s="23"/>
      <c r="E9" s="23"/>
      <c r="F9" s="23"/>
      <c r="G9" s="189"/>
      <c r="H9" s="190">
        <f t="shared" si="0"/>
        <v>0</v>
      </c>
      <c r="I9" s="34">
        <f t="shared" si="1"/>
        <v>0</v>
      </c>
      <c r="J9" s="835"/>
    </row>
    <row r="10" spans="1:10" ht="15.75" customHeight="1">
      <c r="A10" s="33" t="s">
        <v>9</v>
      </c>
      <c r="B10" s="31" t="s">
        <v>152</v>
      </c>
      <c r="C10" s="23"/>
      <c r="D10" s="23"/>
      <c r="E10" s="23"/>
      <c r="F10" s="23"/>
      <c r="G10" s="189"/>
      <c r="H10" s="190">
        <f t="shared" si="0"/>
        <v>0</v>
      </c>
      <c r="I10" s="34">
        <f t="shared" si="1"/>
        <v>0</v>
      </c>
      <c r="J10" s="835"/>
    </row>
    <row r="11" spans="1:10" ht="22.5">
      <c r="A11" s="33" t="s">
        <v>10</v>
      </c>
      <c r="B11" s="31" t="s">
        <v>153</v>
      </c>
      <c r="C11" s="23"/>
      <c r="D11" s="23"/>
      <c r="E11" s="23"/>
      <c r="F11" s="23"/>
      <c r="G11" s="189"/>
      <c r="H11" s="190">
        <f t="shared" si="0"/>
        <v>0</v>
      </c>
      <c r="I11" s="34">
        <f t="shared" si="1"/>
        <v>0</v>
      </c>
      <c r="J11" s="835"/>
    </row>
    <row r="12" spans="1:10" ht="15.75" customHeight="1">
      <c r="A12" s="35" t="s">
        <v>11</v>
      </c>
      <c r="B12" s="36" t="s">
        <v>220</v>
      </c>
      <c r="C12" s="24">
        <v>0</v>
      </c>
      <c r="D12" s="24">
        <v>0</v>
      </c>
      <c r="E12" s="24"/>
      <c r="F12" s="24"/>
      <c r="G12" s="191"/>
      <c r="H12" s="190">
        <f t="shared" si="0"/>
        <v>0</v>
      </c>
      <c r="I12" s="34">
        <f t="shared" si="1"/>
        <v>0</v>
      </c>
      <c r="J12" s="835"/>
    </row>
    <row r="13" spans="1:10" ht="15.75" customHeight="1" thickBot="1">
      <c r="A13" s="192" t="s">
        <v>12</v>
      </c>
      <c r="B13" s="193" t="s">
        <v>221</v>
      </c>
      <c r="C13" s="195"/>
      <c r="D13" s="195"/>
      <c r="E13" s="195"/>
      <c r="F13" s="195"/>
      <c r="G13" s="196"/>
      <c r="H13" s="190">
        <f t="shared" si="0"/>
        <v>0</v>
      </c>
      <c r="I13" s="34">
        <f t="shared" si="1"/>
        <v>0</v>
      </c>
      <c r="J13" s="835"/>
    </row>
    <row r="14" spans="1:10" s="25" customFormat="1" ht="18" customHeight="1" thickBot="1">
      <c r="A14" s="856" t="s">
        <v>222</v>
      </c>
      <c r="B14" s="857"/>
      <c r="C14" s="37">
        <f aca="true" t="shared" si="2" ref="C14:I14">SUM(C7:C13)</f>
        <v>0</v>
      </c>
      <c r="D14" s="37">
        <f t="shared" si="2"/>
        <v>0</v>
      </c>
      <c r="E14" s="37">
        <f t="shared" si="2"/>
        <v>0</v>
      </c>
      <c r="F14" s="37">
        <f t="shared" si="2"/>
        <v>0</v>
      </c>
      <c r="G14" s="197">
        <f t="shared" si="2"/>
        <v>0</v>
      </c>
      <c r="H14" s="197">
        <f t="shared" si="2"/>
        <v>0</v>
      </c>
      <c r="I14" s="38">
        <f t="shared" si="2"/>
        <v>0</v>
      </c>
      <c r="J14" s="835"/>
    </row>
    <row r="15" spans="1:10" s="22" customFormat="1" ht="18" customHeight="1">
      <c r="A15" s="840" t="s">
        <v>223</v>
      </c>
      <c r="B15" s="841"/>
      <c r="C15" s="841"/>
      <c r="D15" s="841"/>
      <c r="E15" s="841"/>
      <c r="F15" s="841"/>
      <c r="G15" s="841"/>
      <c r="H15" s="841"/>
      <c r="I15" s="842"/>
      <c r="J15" s="835"/>
    </row>
    <row r="16" spans="1:10" s="22" customFormat="1" ht="12.75">
      <c r="A16" s="33" t="s">
        <v>6</v>
      </c>
      <c r="B16" s="31" t="s">
        <v>224</v>
      </c>
      <c r="C16" s="23"/>
      <c r="D16" s="23"/>
      <c r="E16" s="23"/>
      <c r="F16" s="23"/>
      <c r="G16" s="189"/>
      <c r="H16" s="190">
        <f>SUM(D16:G16)</f>
        <v>0</v>
      </c>
      <c r="I16" s="34">
        <f>C16+H16</f>
        <v>0</v>
      </c>
      <c r="J16" s="835"/>
    </row>
    <row r="17" spans="1:10" ht="13.5" thickBot="1">
      <c r="A17" s="192" t="s">
        <v>7</v>
      </c>
      <c r="B17" s="193" t="s">
        <v>221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835"/>
    </row>
    <row r="18" spans="1:10" ht="15.75" customHeight="1" thickBot="1">
      <c r="A18" s="856" t="s">
        <v>225</v>
      </c>
      <c r="B18" s="857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7">
        <f t="shared" si="3"/>
        <v>0</v>
      </c>
      <c r="H18" s="197">
        <f t="shared" si="3"/>
        <v>0</v>
      </c>
      <c r="I18" s="38">
        <f t="shared" si="3"/>
        <v>0</v>
      </c>
      <c r="J18" s="835"/>
    </row>
    <row r="19" spans="1:10" ht="18" customHeight="1" thickBot="1">
      <c r="A19" s="843" t="s">
        <v>226</v>
      </c>
      <c r="B19" s="844"/>
      <c r="C19" s="199">
        <f aca="true" t="shared" si="4" ref="C19:I19">C14+C18</f>
        <v>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38">
        <f t="shared" si="4"/>
        <v>0</v>
      </c>
      <c r="J19" s="835"/>
    </row>
  </sheetData>
  <sheetProtection/>
  <mergeCells count="13">
    <mergeCell ref="J1:J19"/>
    <mergeCell ref="A6:I6"/>
    <mergeCell ref="A14:B14"/>
    <mergeCell ref="A18:B18"/>
    <mergeCell ref="A1:I1"/>
    <mergeCell ref="A3:A4"/>
    <mergeCell ref="H2:I2"/>
    <mergeCell ref="A15:I15"/>
    <mergeCell ref="A19:B19"/>
    <mergeCell ref="I3:I4"/>
    <mergeCell ref="D3:H3"/>
    <mergeCell ref="C3:C4"/>
    <mergeCell ref="B3:B4"/>
  </mergeCells>
  <printOptions horizontalCentered="1"/>
  <pageMargins left="0.7874015748031497" right="0.7874015748031497" top="1.18" bottom="0.984251968503937" header="0.5" footer="0.5"/>
  <pageSetup horizontalDpi="600" verticalDpi="600" orientation="landscape" paperSize="9" scale="85" r:id="rId1"/>
  <headerFooter alignWithMargins="0">
    <oddHeader>&amp;C&amp;"Times New Roman CE,Félkövér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BreakPreview" zoomScaleNormal="130" zoomScaleSheetLayoutView="100" zoomScalePageLayoutView="0" workbookViewId="0" topLeftCell="A73">
      <selection activeCell="L96" sqref="L96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6" width="9.375" style="416" hidden="1" customWidth="1"/>
    <col min="7" max="16384" width="9.375" style="416" customWidth="1"/>
  </cols>
  <sheetData>
    <row r="1" spans="1:5" ht="15.75" customHeight="1">
      <c r="A1" s="756" t="s">
        <v>3</v>
      </c>
      <c r="B1" s="756"/>
      <c r="C1" s="756"/>
      <c r="D1" s="756"/>
      <c r="E1" s="756"/>
    </row>
    <row r="2" spans="1:5" ht="15.75" customHeight="1" thickBot="1">
      <c r="A2" s="45" t="s">
        <v>111</v>
      </c>
      <c r="B2" s="45"/>
      <c r="C2" s="403"/>
      <c r="D2" s="403"/>
      <c r="E2" s="403" t="s">
        <v>879</v>
      </c>
    </row>
    <row r="3" spans="1:6" ht="15.75" customHeight="1">
      <c r="A3" s="762" t="s">
        <v>59</v>
      </c>
      <c r="B3" s="759" t="s">
        <v>5</v>
      </c>
      <c r="C3" s="757" t="str">
        <f>+'1.1.sz.mell.'!C3:E3</f>
        <v>2017. évi</v>
      </c>
      <c r="D3" s="757"/>
      <c r="E3" s="758"/>
      <c r="F3" s="674"/>
    </row>
    <row r="4" spans="1:6" ht="37.5" customHeight="1" thickBot="1">
      <c r="A4" s="763"/>
      <c r="B4" s="760"/>
      <c r="C4" s="47" t="s">
        <v>180</v>
      </c>
      <c r="D4" s="47" t="s">
        <v>185</v>
      </c>
      <c r="E4" s="48" t="s">
        <v>186</v>
      </c>
      <c r="F4" s="674"/>
    </row>
    <row r="5" spans="1:6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29" t="s">
        <v>431</v>
      </c>
      <c r="F5" s="675"/>
    </row>
    <row r="6" spans="1:6" s="418" customFormat="1" ht="12" customHeight="1" thickBot="1">
      <c r="A6" s="376" t="s">
        <v>6</v>
      </c>
      <c r="B6" s="377" t="s">
        <v>311</v>
      </c>
      <c r="C6" s="408">
        <f>SUM(C7:C12)</f>
        <v>132835967</v>
      </c>
      <c r="D6" s="408">
        <f>SUM(D7:D12)</f>
        <v>139978789</v>
      </c>
      <c r="E6" s="408">
        <f>SUM(E7:E12)</f>
        <v>139978789</v>
      </c>
      <c r="F6" s="676" t="s">
        <v>740</v>
      </c>
    </row>
    <row r="7" spans="1:6" s="418" customFormat="1" ht="12" customHeight="1">
      <c r="A7" s="371" t="s">
        <v>71</v>
      </c>
      <c r="B7" s="419" t="s">
        <v>312</v>
      </c>
      <c r="C7" s="98">
        <v>55233976</v>
      </c>
      <c r="D7" s="731">
        <v>56233976</v>
      </c>
      <c r="E7" s="731">
        <v>56233976</v>
      </c>
      <c r="F7" s="676" t="s">
        <v>741</v>
      </c>
    </row>
    <row r="8" spans="1:6" s="418" customFormat="1" ht="12" customHeight="1">
      <c r="A8" s="370" t="s">
        <v>72</v>
      </c>
      <c r="B8" s="420" t="s">
        <v>313</v>
      </c>
      <c r="C8" s="409">
        <v>35878653</v>
      </c>
      <c r="D8" s="732">
        <v>37727086</v>
      </c>
      <c r="E8" s="732">
        <v>37727086</v>
      </c>
      <c r="F8" s="676" t="s">
        <v>742</v>
      </c>
    </row>
    <row r="9" spans="1:6" s="418" customFormat="1" ht="12" customHeight="1">
      <c r="A9" s="370" t="s">
        <v>73</v>
      </c>
      <c r="B9" s="420" t="s">
        <v>314</v>
      </c>
      <c r="C9" s="409">
        <v>39121858</v>
      </c>
      <c r="D9" s="732">
        <v>37999568</v>
      </c>
      <c r="E9" s="732">
        <v>37999568</v>
      </c>
      <c r="F9" s="676" t="s">
        <v>743</v>
      </c>
    </row>
    <row r="10" spans="1:6" s="418" customFormat="1" ht="12" customHeight="1">
      <c r="A10" s="370" t="s">
        <v>74</v>
      </c>
      <c r="B10" s="420" t="s">
        <v>315</v>
      </c>
      <c r="C10" s="409">
        <v>2601480</v>
      </c>
      <c r="D10" s="732">
        <v>3307020</v>
      </c>
      <c r="E10" s="732">
        <v>3307020</v>
      </c>
      <c r="F10" s="676" t="s">
        <v>744</v>
      </c>
    </row>
    <row r="11" spans="1:6" s="418" customFormat="1" ht="12" customHeight="1">
      <c r="A11" s="370" t="s">
        <v>107</v>
      </c>
      <c r="B11" s="420" t="s">
        <v>316</v>
      </c>
      <c r="C11" s="734"/>
      <c r="D11" s="732">
        <v>3268793</v>
      </c>
      <c r="E11" s="732">
        <v>3268793</v>
      </c>
      <c r="F11" s="676" t="s">
        <v>745</v>
      </c>
    </row>
    <row r="12" spans="1:6" s="418" customFormat="1" ht="12" customHeight="1" thickBot="1">
      <c r="A12" s="372" t="s">
        <v>75</v>
      </c>
      <c r="B12" s="421" t="s">
        <v>317</v>
      </c>
      <c r="C12" s="735"/>
      <c r="D12" s="733">
        <v>1442346</v>
      </c>
      <c r="E12" s="733">
        <v>1442346</v>
      </c>
      <c r="F12" s="676" t="s">
        <v>746</v>
      </c>
    </row>
    <row r="13" spans="1:6" s="418" customFormat="1" ht="20.25" customHeight="1" thickBot="1">
      <c r="A13" s="376" t="s">
        <v>7</v>
      </c>
      <c r="B13" s="398" t="s">
        <v>318</v>
      </c>
      <c r="C13" s="408">
        <f>SUM(C14:C19)</f>
        <v>15213374</v>
      </c>
      <c r="D13" s="408">
        <f>SUM(D14:D19)</f>
        <v>29877537</v>
      </c>
      <c r="E13" s="408">
        <f>SUM(E14:E19)</f>
        <v>29762620</v>
      </c>
      <c r="F13" s="676" t="s">
        <v>747</v>
      </c>
    </row>
    <row r="14" spans="1:6" s="418" customFormat="1" ht="12" customHeight="1">
      <c r="A14" s="371" t="s">
        <v>77</v>
      </c>
      <c r="B14" s="419" t="s">
        <v>319</v>
      </c>
      <c r="C14" s="410">
        <v>0</v>
      </c>
      <c r="D14" s="410">
        <v>0</v>
      </c>
      <c r="E14" s="393">
        <v>0</v>
      </c>
      <c r="F14" s="676" t="s">
        <v>748</v>
      </c>
    </row>
    <row r="15" spans="1:6" s="418" customFormat="1" ht="12" customHeight="1">
      <c r="A15" s="370" t="s">
        <v>78</v>
      </c>
      <c r="B15" s="420" t="s">
        <v>320</v>
      </c>
      <c r="C15" s="409">
        <v>0</v>
      </c>
      <c r="D15" s="409">
        <v>0</v>
      </c>
      <c r="E15" s="392">
        <v>0</v>
      </c>
      <c r="F15" s="676" t="s">
        <v>749</v>
      </c>
    </row>
    <row r="16" spans="1:6" s="418" customFormat="1" ht="12" customHeight="1">
      <c r="A16" s="370" t="s">
        <v>79</v>
      </c>
      <c r="B16" s="420" t="s">
        <v>321</v>
      </c>
      <c r="C16" s="409">
        <v>0</v>
      </c>
      <c r="D16" s="409">
        <v>0</v>
      </c>
      <c r="E16" s="392">
        <v>0</v>
      </c>
      <c r="F16" s="676" t="s">
        <v>750</v>
      </c>
    </row>
    <row r="17" spans="1:6" s="418" customFormat="1" ht="12" customHeight="1">
      <c r="A17" s="370" t="s">
        <v>80</v>
      </c>
      <c r="B17" s="420" t="s">
        <v>322</v>
      </c>
      <c r="C17" s="409">
        <v>0</v>
      </c>
      <c r="D17" s="409">
        <v>0</v>
      </c>
      <c r="E17" s="392">
        <v>0</v>
      </c>
      <c r="F17" s="676" t="s">
        <v>751</v>
      </c>
    </row>
    <row r="18" spans="1:6" s="418" customFormat="1" ht="12" customHeight="1">
      <c r="A18" s="370" t="s">
        <v>81</v>
      </c>
      <c r="B18" s="420" t="s">
        <v>323</v>
      </c>
      <c r="C18" s="409">
        <v>15213374</v>
      </c>
      <c r="D18" s="409">
        <v>29877537</v>
      </c>
      <c r="E18" s="392">
        <v>29762620</v>
      </c>
      <c r="F18" s="676" t="s">
        <v>752</v>
      </c>
    </row>
    <row r="19" spans="1:6" s="418" customFormat="1" ht="12" customHeight="1" thickBot="1">
      <c r="A19" s="372" t="s">
        <v>88</v>
      </c>
      <c r="B19" s="421" t="s">
        <v>324</v>
      </c>
      <c r="C19" s="411">
        <v>0</v>
      </c>
      <c r="D19" s="411">
        <v>0</v>
      </c>
      <c r="E19" s="394">
        <v>0</v>
      </c>
      <c r="F19" s="676" t="s">
        <v>753</v>
      </c>
    </row>
    <row r="20" spans="1:6" s="418" customFormat="1" ht="21.75" customHeight="1" thickBot="1">
      <c r="A20" s="376" t="s">
        <v>8</v>
      </c>
      <c r="B20" s="377" t="s">
        <v>325</v>
      </c>
      <c r="C20" s="408">
        <f>SUM(C21:C26)</f>
        <v>9800000</v>
      </c>
      <c r="D20" s="408">
        <f>SUM(D21:D26)</f>
        <v>38171706</v>
      </c>
      <c r="E20" s="408">
        <f>SUM(E21:E26)</f>
        <v>38171706</v>
      </c>
      <c r="F20" s="676" t="s">
        <v>754</v>
      </c>
    </row>
    <row r="21" spans="1:6" s="418" customFormat="1" ht="12" customHeight="1">
      <c r="A21" s="371" t="s">
        <v>60</v>
      </c>
      <c r="B21" s="419" t="s">
        <v>326</v>
      </c>
      <c r="C21" s="410"/>
      <c r="D21" s="410"/>
      <c r="E21" s="393"/>
      <c r="F21" s="676" t="s">
        <v>755</v>
      </c>
    </row>
    <row r="22" spans="1:6" s="418" customFormat="1" ht="12" customHeight="1">
      <c r="A22" s="370" t="s">
        <v>61</v>
      </c>
      <c r="B22" s="420" t="s">
        <v>327</v>
      </c>
      <c r="C22" s="409">
        <v>0</v>
      </c>
      <c r="D22" s="409">
        <v>0</v>
      </c>
      <c r="E22" s="392">
        <v>0</v>
      </c>
      <c r="F22" s="676" t="s">
        <v>756</v>
      </c>
    </row>
    <row r="23" spans="1:6" s="418" customFormat="1" ht="12" customHeight="1">
      <c r="A23" s="370" t="s">
        <v>62</v>
      </c>
      <c r="B23" s="420" t="s">
        <v>328</v>
      </c>
      <c r="C23" s="409">
        <v>0</v>
      </c>
      <c r="D23" s="409">
        <v>0</v>
      </c>
      <c r="E23" s="392">
        <v>0</v>
      </c>
      <c r="F23" s="676" t="s">
        <v>757</v>
      </c>
    </row>
    <row r="24" spans="1:6" s="418" customFormat="1" ht="12" customHeight="1">
      <c r="A24" s="370" t="s">
        <v>63</v>
      </c>
      <c r="B24" s="420" t="s">
        <v>329</v>
      </c>
      <c r="C24" s="409">
        <v>0</v>
      </c>
      <c r="D24" s="409">
        <v>0</v>
      </c>
      <c r="E24" s="392">
        <v>0</v>
      </c>
      <c r="F24" s="676" t="s">
        <v>758</v>
      </c>
    </row>
    <row r="25" spans="1:6" s="418" customFormat="1" ht="12" customHeight="1">
      <c r="A25" s="370" t="s">
        <v>121</v>
      </c>
      <c r="B25" s="420" t="s">
        <v>330</v>
      </c>
      <c r="C25" s="409">
        <v>9800000</v>
      </c>
      <c r="D25" s="409">
        <v>38171706</v>
      </c>
      <c r="E25" s="392">
        <v>38171706</v>
      </c>
      <c r="F25" s="676" t="s">
        <v>759</v>
      </c>
    </row>
    <row r="26" spans="1:6" s="418" customFormat="1" ht="12" customHeight="1" thickBot="1">
      <c r="A26" s="372" t="s">
        <v>122</v>
      </c>
      <c r="B26" s="421" t="s">
        <v>331</v>
      </c>
      <c r="C26" s="411">
        <v>0</v>
      </c>
      <c r="D26" s="411">
        <v>0</v>
      </c>
      <c r="E26" s="394">
        <v>0</v>
      </c>
      <c r="F26" s="676" t="s">
        <v>760</v>
      </c>
    </row>
    <row r="27" spans="1:6" s="418" customFormat="1" ht="12" customHeight="1" thickBot="1">
      <c r="A27" s="376" t="s">
        <v>123</v>
      </c>
      <c r="B27" s="377" t="s">
        <v>332</v>
      </c>
      <c r="C27" s="414">
        <f>C28+C31+C32+C33</f>
        <v>60950000</v>
      </c>
      <c r="D27" s="414">
        <f>D28+D31+D32+D33</f>
        <v>83093414</v>
      </c>
      <c r="E27" s="414">
        <f>E28+E31+E32+E33</f>
        <v>79539692</v>
      </c>
      <c r="F27" s="676" t="s">
        <v>761</v>
      </c>
    </row>
    <row r="28" spans="1:6" s="418" customFormat="1" ht="12" customHeight="1">
      <c r="A28" s="371" t="s">
        <v>333</v>
      </c>
      <c r="B28" s="419" t="s">
        <v>334</v>
      </c>
      <c r="C28" s="727">
        <f>C29+C30</f>
        <v>50000000</v>
      </c>
      <c r="D28" s="428">
        <f>D29+D30</f>
        <v>71866088</v>
      </c>
      <c r="E28" s="428">
        <f>E29+E30</f>
        <v>69106149</v>
      </c>
      <c r="F28" s="676" t="s">
        <v>762</v>
      </c>
    </row>
    <row r="29" spans="1:6" s="418" customFormat="1" ht="12" customHeight="1">
      <c r="A29" s="370" t="s">
        <v>335</v>
      </c>
      <c r="B29" s="420" t="s">
        <v>336</v>
      </c>
      <c r="C29" s="530">
        <v>10000000</v>
      </c>
      <c r="D29" s="409">
        <v>11702235</v>
      </c>
      <c r="E29" s="392">
        <v>10700263</v>
      </c>
      <c r="F29" s="676" t="s">
        <v>763</v>
      </c>
    </row>
    <row r="30" spans="1:6" s="418" customFormat="1" ht="12" customHeight="1">
      <c r="A30" s="370" t="s">
        <v>337</v>
      </c>
      <c r="B30" s="420" t="s">
        <v>338</v>
      </c>
      <c r="C30" s="530">
        <v>40000000</v>
      </c>
      <c r="D30" s="409">
        <v>60163853</v>
      </c>
      <c r="E30" s="392">
        <v>58405886</v>
      </c>
      <c r="F30" s="676" t="s">
        <v>764</v>
      </c>
    </row>
    <row r="31" spans="1:6" s="418" customFormat="1" ht="12" customHeight="1">
      <c r="A31" s="370" t="s">
        <v>339</v>
      </c>
      <c r="B31" s="420" t="s">
        <v>340</v>
      </c>
      <c r="C31" s="530">
        <v>4000000</v>
      </c>
      <c r="D31" s="409">
        <v>4406655</v>
      </c>
      <c r="E31" s="392">
        <v>4361845</v>
      </c>
      <c r="F31" s="676" t="s">
        <v>765</v>
      </c>
    </row>
    <row r="32" spans="1:6" s="418" customFormat="1" ht="12" customHeight="1">
      <c r="A32" s="370" t="s">
        <v>341</v>
      </c>
      <c r="B32" s="420" t="s">
        <v>342</v>
      </c>
      <c r="C32" s="530">
        <v>4150000</v>
      </c>
      <c r="D32" s="409">
        <v>2797800</v>
      </c>
      <c r="E32" s="392">
        <v>2797800</v>
      </c>
      <c r="F32" s="676" t="s">
        <v>766</v>
      </c>
    </row>
    <row r="33" spans="1:6" s="418" customFormat="1" ht="12" customHeight="1" thickBot="1">
      <c r="A33" s="372" t="s">
        <v>343</v>
      </c>
      <c r="B33" s="421" t="s">
        <v>344</v>
      </c>
      <c r="C33" s="532">
        <v>2800000</v>
      </c>
      <c r="D33" s="411">
        <v>4022871</v>
      </c>
      <c r="E33" s="394">
        <v>3273898</v>
      </c>
      <c r="F33" s="676" t="s">
        <v>767</v>
      </c>
    </row>
    <row r="34" spans="1:6" s="418" customFormat="1" ht="12" customHeight="1" thickBot="1">
      <c r="A34" s="376" t="s">
        <v>10</v>
      </c>
      <c r="B34" s="377" t="s">
        <v>345</v>
      </c>
      <c r="C34" s="408">
        <f>SUM(C35:C44)</f>
        <v>33880863</v>
      </c>
      <c r="D34" s="408">
        <f>SUM(D35:D44)</f>
        <v>39767391</v>
      </c>
      <c r="E34" s="408">
        <f>SUM(E35:E44)</f>
        <v>36854431</v>
      </c>
      <c r="F34" s="676" t="s">
        <v>768</v>
      </c>
    </row>
    <row r="35" spans="1:6" s="418" customFormat="1" ht="12" customHeight="1">
      <c r="A35" s="371" t="s">
        <v>64</v>
      </c>
      <c r="B35" s="419" t="s">
        <v>346</v>
      </c>
      <c r="C35" s="410">
        <v>0</v>
      </c>
      <c r="D35" s="410">
        <v>0</v>
      </c>
      <c r="E35" s="393">
        <v>0</v>
      </c>
      <c r="F35" s="676" t="s">
        <v>769</v>
      </c>
    </row>
    <row r="36" spans="1:6" s="418" customFormat="1" ht="12" customHeight="1">
      <c r="A36" s="370" t="s">
        <v>65</v>
      </c>
      <c r="B36" s="420" t="s">
        <v>347</v>
      </c>
      <c r="C36" s="530">
        <v>11799735</v>
      </c>
      <c r="D36" s="409">
        <f>5229610+4364957</f>
        <v>9594567</v>
      </c>
      <c r="E36" s="392">
        <f>5024890+4312257</f>
        <v>9337147</v>
      </c>
      <c r="F36" s="676" t="s">
        <v>770</v>
      </c>
    </row>
    <row r="37" spans="1:6" s="418" customFormat="1" ht="12" customHeight="1">
      <c r="A37" s="370" t="s">
        <v>66</v>
      </c>
      <c r="B37" s="420" t="s">
        <v>348</v>
      </c>
      <c r="C37" s="530">
        <v>1500000</v>
      </c>
      <c r="D37" s="409">
        <v>4474665</v>
      </c>
      <c r="E37" s="392">
        <v>4081962</v>
      </c>
      <c r="F37" s="676" t="s">
        <v>771</v>
      </c>
    </row>
    <row r="38" spans="1:6" s="418" customFormat="1" ht="12" customHeight="1">
      <c r="A38" s="370" t="s">
        <v>125</v>
      </c>
      <c r="B38" s="420" t="s">
        <v>349</v>
      </c>
      <c r="C38" s="530">
        <v>1586056</v>
      </c>
      <c r="D38" s="409">
        <v>5044245</v>
      </c>
      <c r="E38" s="392">
        <v>4955313</v>
      </c>
      <c r="F38" s="676" t="s">
        <v>772</v>
      </c>
    </row>
    <row r="39" spans="1:6" s="418" customFormat="1" ht="12" customHeight="1">
      <c r="A39" s="370" t="s">
        <v>126</v>
      </c>
      <c r="B39" s="420" t="s">
        <v>350</v>
      </c>
      <c r="C39" s="530">
        <v>12095246</v>
      </c>
      <c r="D39" s="409">
        <f>1289427+8217961</f>
        <v>9507388</v>
      </c>
      <c r="E39" s="392">
        <f>1209385+7693853</f>
        <v>8903238</v>
      </c>
      <c r="F39" s="676" t="s">
        <v>773</v>
      </c>
    </row>
    <row r="40" spans="1:6" s="418" customFormat="1" ht="12" customHeight="1">
      <c r="A40" s="370" t="s">
        <v>127</v>
      </c>
      <c r="B40" s="420" t="s">
        <v>351</v>
      </c>
      <c r="C40" s="530">
        <f>1834110+3265716</f>
        <v>5099826</v>
      </c>
      <c r="D40" s="409">
        <f>2656381+2315669</f>
        <v>4972050</v>
      </c>
      <c r="E40" s="392">
        <f>2441466+1100430</f>
        <v>3541896</v>
      </c>
      <c r="F40" s="676" t="s">
        <v>774</v>
      </c>
    </row>
    <row r="41" spans="1:6" s="418" customFormat="1" ht="12" customHeight="1">
      <c r="A41" s="370" t="s">
        <v>128</v>
      </c>
      <c r="B41" s="420" t="s">
        <v>352</v>
      </c>
      <c r="C41" s="530"/>
      <c r="D41" s="409">
        <f>280715+390427</f>
        <v>671142</v>
      </c>
      <c r="E41" s="392">
        <f>280715+390427</f>
        <v>671142</v>
      </c>
      <c r="F41" s="676" t="s">
        <v>775</v>
      </c>
    </row>
    <row r="42" spans="1:6" s="418" customFormat="1" ht="12" customHeight="1">
      <c r="A42" s="370" t="s">
        <v>129</v>
      </c>
      <c r="B42" s="420" t="s">
        <v>353</v>
      </c>
      <c r="C42" s="530">
        <v>600000</v>
      </c>
      <c r="D42" s="409">
        <f>1015716+9119+13670</f>
        <v>1038505</v>
      </c>
      <c r="E42" s="392">
        <f>1015716+9119+13670</f>
        <v>1038505</v>
      </c>
      <c r="F42" s="676" t="s">
        <v>776</v>
      </c>
    </row>
    <row r="43" spans="1:6" s="418" customFormat="1" ht="12" customHeight="1">
      <c r="A43" s="370" t="s">
        <v>354</v>
      </c>
      <c r="B43" s="420" t="s">
        <v>355</v>
      </c>
      <c r="C43" s="728"/>
      <c r="D43" s="412"/>
      <c r="E43" s="395"/>
      <c r="F43" s="676" t="s">
        <v>777</v>
      </c>
    </row>
    <row r="44" spans="1:6" s="418" customFormat="1" ht="12" customHeight="1" thickBot="1">
      <c r="A44" s="372" t="s">
        <v>356</v>
      </c>
      <c r="B44" s="421" t="s">
        <v>357</v>
      </c>
      <c r="C44" s="729">
        <v>1200000</v>
      </c>
      <c r="D44" s="413">
        <f>3793048+613503+58278</f>
        <v>4464829</v>
      </c>
      <c r="E44" s="396">
        <f>3653447+613503+58278</f>
        <v>4325228</v>
      </c>
      <c r="F44" s="676" t="s">
        <v>778</v>
      </c>
    </row>
    <row r="45" spans="1:6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804331</v>
      </c>
      <c r="E45" s="408">
        <f>SUM(E46:E50)</f>
        <v>804331</v>
      </c>
      <c r="F45" s="676" t="s">
        <v>779</v>
      </c>
    </row>
    <row r="46" spans="1:6" s="418" customFormat="1" ht="12" customHeight="1">
      <c r="A46" s="371" t="s">
        <v>67</v>
      </c>
      <c r="B46" s="419" t="s">
        <v>359</v>
      </c>
      <c r="C46" s="430">
        <v>0</v>
      </c>
      <c r="D46" s="430">
        <v>0</v>
      </c>
      <c r="E46" s="397">
        <v>0</v>
      </c>
      <c r="F46" s="676" t="s">
        <v>780</v>
      </c>
    </row>
    <row r="47" spans="1:6" s="418" customFormat="1" ht="12" customHeight="1">
      <c r="A47" s="370" t="s">
        <v>68</v>
      </c>
      <c r="B47" s="420" t="s">
        <v>360</v>
      </c>
      <c r="C47" s="412">
        <v>0</v>
      </c>
      <c r="D47" s="412">
        <v>450000</v>
      </c>
      <c r="E47" s="395">
        <v>450000</v>
      </c>
      <c r="F47" s="676" t="s">
        <v>781</v>
      </c>
    </row>
    <row r="48" spans="1:6" s="418" customFormat="1" ht="12" customHeight="1">
      <c r="A48" s="370" t="s">
        <v>361</v>
      </c>
      <c r="B48" s="420" t="s">
        <v>362</v>
      </c>
      <c r="C48" s="412"/>
      <c r="D48" s="412">
        <v>354331</v>
      </c>
      <c r="E48" s="395">
        <v>354331</v>
      </c>
      <c r="F48" s="676" t="s">
        <v>782</v>
      </c>
    </row>
    <row r="49" spans="1:6" s="418" customFormat="1" ht="12" customHeight="1">
      <c r="A49" s="370" t="s">
        <v>363</v>
      </c>
      <c r="B49" s="420" t="s">
        <v>364</v>
      </c>
      <c r="C49" s="412">
        <v>0</v>
      </c>
      <c r="D49" s="412">
        <v>0</v>
      </c>
      <c r="E49" s="395">
        <v>0</v>
      </c>
      <c r="F49" s="676" t="s">
        <v>783</v>
      </c>
    </row>
    <row r="50" spans="1:6" s="418" customFormat="1" ht="12" customHeight="1" thickBot="1">
      <c r="A50" s="372" t="s">
        <v>365</v>
      </c>
      <c r="B50" s="421" t="s">
        <v>366</v>
      </c>
      <c r="C50" s="413">
        <v>0</v>
      </c>
      <c r="D50" s="413">
        <v>0</v>
      </c>
      <c r="E50" s="396">
        <v>0</v>
      </c>
      <c r="F50" s="676" t="s">
        <v>784</v>
      </c>
    </row>
    <row r="51" spans="1:6" s="418" customFormat="1" ht="17.25" customHeight="1" thickBot="1">
      <c r="A51" s="376" t="s">
        <v>130</v>
      </c>
      <c r="B51" s="377" t="s">
        <v>367</v>
      </c>
      <c r="C51" s="408">
        <f>SUM(C52:C55)</f>
        <v>0</v>
      </c>
      <c r="D51" s="408">
        <f>SUM(D52:D55)</f>
        <v>0</v>
      </c>
      <c r="E51" s="408">
        <f>SUM(E52:E55)</f>
        <v>0</v>
      </c>
      <c r="F51" s="676" t="s">
        <v>785</v>
      </c>
    </row>
    <row r="52" spans="1:6" s="418" customFormat="1" ht="12" customHeight="1">
      <c r="A52" s="371" t="s">
        <v>69</v>
      </c>
      <c r="B52" s="419" t="s">
        <v>368</v>
      </c>
      <c r="C52" s="410">
        <v>0</v>
      </c>
      <c r="D52" s="410">
        <v>0</v>
      </c>
      <c r="E52" s="393">
        <v>0</v>
      </c>
      <c r="F52" s="676" t="s">
        <v>786</v>
      </c>
    </row>
    <row r="53" spans="1:6" s="418" customFormat="1" ht="12" customHeight="1">
      <c r="A53" s="370" t="s">
        <v>70</v>
      </c>
      <c r="B53" s="420" t="s">
        <v>369</v>
      </c>
      <c r="C53" s="409">
        <v>0</v>
      </c>
      <c r="D53" s="409"/>
      <c r="E53" s="392"/>
      <c r="F53" s="676" t="s">
        <v>787</v>
      </c>
    </row>
    <row r="54" spans="1:6" s="418" customFormat="1" ht="12" customHeight="1">
      <c r="A54" s="370" t="s">
        <v>370</v>
      </c>
      <c r="B54" s="420" t="s">
        <v>371</v>
      </c>
      <c r="C54" s="409"/>
      <c r="D54" s="409"/>
      <c r="E54" s="392"/>
      <c r="F54" s="676" t="s">
        <v>788</v>
      </c>
    </row>
    <row r="55" spans="1:6" s="418" customFormat="1" ht="12" customHeight="1" thickBot="1">
      <c r="A55" s="372" t="s">
        <v>372</v>
      </c>
      <c r="B55" s="421" t="s">
        <v>373</v>
      </c>
      <c r="C55" s="411">
        <v>0</v>
      </c>
      <c r="D55" s="411">
        <v>0</v>
      </c>
      <c r="E55" s="394">
        <v>0</v>
      </c>
      <c r="F55" s="676" t="s">
        <v>789</v>
      </c>
    </row>
    <row r="56" spans="1:6" s="418" customFormat="1" ht="12" customHeight="1" thickBot="1">
      <c r="A56" s="376" t="s">
        <v>13</v>
      </c>
      <c r="B56" s="398" t="s">
        <v>374</v>
      </c>
      <c r="C56" s="408">
        <f>SUM(C57:C60)</f>
        <v>0</v>
      </c>
      <c r="D56" s="408">
        <f>SUM(D57:D60)</f>
        <v>0</v>
      </c>
      <c r="E56" s="408">
        <f>SUM(E57:E60)</f>
        <v>0</v>
      </c>
      <c r="F56" s="676" t="s">
        <v>790</v>
      </c>
    </row>
    <row r="57" spans="1:6" s="418" customFormat="1" ht="12" customHeight="1">
      <c r="A57" s="371" t="s">
        <v>131</v>
      </c>
      <c r="B57" s="419" t="s">
        <v>375</v>
      </c>
      <c r="C57" s="412">
        <v>0</v>
      </c>
      <c r="D57" s="412">
        <v>0</v>
      </c>
      <c r="E57" s="395">
        <v>0</v>
      </c>
      <c r="F57" s="676" t="s">
        <v>791</v>
      </c>
    </row>
    <row r="58" spans="1:6" s="418" customFormat="1" ht="12" customHeight="1">
      <c r="A58" s="370" t="s">
        <v>132</v>
      </c>
      <c r="B58" s="420" t="s">
        <v>376</v>
      </c>
      <c r="C58" s="412"/>
      <c r="D58" s="412">
        <v>0</v>
      </c>
      <c r="E58" s="395">
        <v>0</v>
      </c>
      <c r="F58" s="676" t="s">
        <v>792</v>
      </c>
    </row>
    <row r="59" spans="1:6" s="418" customFormat="1" ht="12" customHeight="1">
      <c r="A59" s="370" t="s">
        <v>159</v>
      </c>
      <c r="B59" s="420" t="s">
        <v>377</v>
      </c>
      <c r="C59" s="412">
        <v>0</v>
      </c>
      <c r="D59" s="412"/>
      <c r="E59" s="395">
        <v>0</v>
      </c>
      <c r="F59" s="676" t="s">
        <v>793</v>
      </c>
    </row>
    <row r="60" spans="1:6" s="418" customFormat="1" ht="12" customHeight="1" thickBot="1">
      <c r="A60" s="372" t="s">
        <v>378</v>
      </c>
      <c r="B60" s="421" t="s">
        <v>379</v>
      </c>
      <c r="C60" s="412">
        <v>0</v>
      </c>
      <c r="D60" s="412">
        <v>0</v>
      </c>
      <c r="E60" s="395">
        <v>0</v>
      </c>
      <c r="F60" s="676" t="s">
        <v>794</v>
      </c>
    </row>
    <row r="61" spans="1:6" s="418" customFormat="1" ht="12" customHeight="1" thickBot="1">
      <c r="A61" s="376" t="s">
        <v>14</v>
      </c>
      <c r="B61" s="377" t="s">
        <v>380</v>
      </c>
      <c r="C61" s="414">
        <f>C6+C13+C20+C27+C34+C45+C51+C56</f>
        <v>252680204</v>
      </c>
      <c r="D61" s="414">
        <f>D6+D13+D20+D27+D34+D45+D51+D56</f>
        <v>331693168</v>
      </c>
      <c r="E61" s="414">
        <f>E6+E13+E20+E27+E34+E45+E51+E56</f>
        <v>325111569</v>
      </c>
      <c r="F61" s="676" t="s">
        <v>795</v>
      </c>
    </row>
    <row r="62" spans="1:6" s="418" customFormat="1" ht="12" customHeight="1" thickBot="1">
      <c r="A62" s="431" t="s">
        <v>381</v>
      </c>
      <c r="B62" s="398" t="s">
        <v>382</v>
      </c>
      <c r="C62" s="408">
        <f>SUM(C63:C65)</f>
        <v>0</v>
      </c>
      <c r="D62" s="408">
        <f>SUM(D63:D65)</f>
        <v>0</v>
      </c>
      <c r="E62" s="408">
        <f>SUM(E63:E65)</f>
        <v>0</v>
      </c>
      <c r="F62" s="676" t="s">
        <v>796</v>
      </c>
    </row>
    <row r="63" spans="1:6" s="418" customFormat="1" ht="12" customHeight="1">
      <c r="A63" s="371" t="s">
        <v>383</v>
      </c>
      <c r="B63" s="419" t="s">
        <v>384</v>
      </c>
      <c r="C63" s="412">
        <v>0</v>
      </c>
      <c r="D63" s="412">
        <v>0</v>
      </c>
      <c r="E63" s="395">
        <v>0</v>
      </c>
      <c r="F63" s="676" t="s">
        <v>797</v>
      </c>
    </row>
    <row r="64" spans="1:6" s="418" customFormat="1" ht="12" customHeight="1">
      <c r="A64" s="370" t="s">
        <v>385</v>
      </c>
      <c r="B64" s="420" t="s">
        <v>386</v>
      </c>
      <c r="C64" s="412">
        <v>0</v>
      </c>
      <c r="D64" s="412">
        <v>0</v>
      </c>
      <c r="E64" s="395">
        <v>0</v>
      </c>
      <c r="F64" s="676" t="s">
        <v>798</v>
      </c>
    </row>
    <row r="65" spans="1:6" s="418" customFormat="1" ht="12" customHeight="1" thickBot="1">
      <c r="A65" s="372" t="s">
        <v>387</v>
      </c>
      <c r="B65" s="356" t="s">
        <v>432</v>
      </c>
      <c r="C65" s="412">
        <v>0</v>
      </c>
      <c r="D65" s="412">
        <v>0</v>
      </c>
      <c r="E65" s="395">
        <v>0</v>
      </c>
      <c r="F65" s="676" t="s">
        <v>799</v>
      </c>
    </row>
    <row r="66" spans="1:6" s="418" customFormat="1" ht="12" customHeight="1" thickBot="1">
      <c r="A66" s="431" t="s">
        <v>389</v>
      </c>
      <c r="B66" s="398" t="s">
        <v>390</v>
      </c>
      <c r="C66" s="408">
        <f>SUM(C67:C70)</f>
        <v>0</v>
      </c>
      <c r="D66" s="408">
        <f>SUM(D67:D70)</f>
        <v>0</v>
      </c>
      <c r="E66" s="408">
        <f>SUM(E67:E70)</f>
        <v>0</v>
      </c>
      <c r="F66" s="408">
        <f>SUM(F67:F70)</f>
        <v>0</v>
      </c>
    </row>
    <row r="67" spans="1:6" s="418" customFormat="1" ht="13.5" customHeight="1">
      <c r="A67" s="371" t="s">
        <v>108</v>
      </c>
      <c r="B67" s="419" t="s">
        <v>391</v>
      </c>
      <c r="C67" s="412">
        <v>0</v>
      </c>
      <c r="D67" s="412">
        <v>0</v>
      </c>
      <c r="E67" s="395">
        <v>0</v>
      </c>
      <c r="F67" s="676" t="s">
        <v>801</v>
      </c>
    </row>
    <row r="68" spans="1:6" s="418" customFormat="1" ht="12" customHeight="1">
      <c r="A68" s="370" t="s">
        <v>109</v>
      </c>
      <c r="B68" s="420" t="s">
        <v>392</v>
      </c>
      <c r="C68" s="412">
        <v>0</v>
      </c>
      <c r="D68" s="412">
        <v>0</v>
      </c>
      <c r="E68" s="395">
        <v>0</v>
      </c>
      <c r="F68" s="676" t="s">
        <v>802</v>
      </c>
    </row>
    <row r="69" spans="1:6" s="418" customFormat="1" ht="12" customHeight="1">
      <c r="A69" s="370" t="s">
        <v>393</v>
      </c>
      <c r="B69" s="420" t="s">
        <v>394</v>
      </c>
      <c r="C69" s="412">
        <v>0</v>
      </c>
      <c r="D69" s="412">
        <v>0</v>
      </c>
      <c r="E69" s="395">
        <v>0</v>
      </c>
      <c r="F69" s="676" t="s">
        <v>803</v>
      </c>
    </row>
    <row r="70" spans="1:6" s="418" customFormat="1" ht="12" customHeight="1" thickBot="1">
      <c r="A70" s="372" t="s">
        <v>395</v>
      </c>
      <c r="B70" s="421" t="s">
        <v>396</v>
      </c>
      <c r="C70" s="412">
        <v>0</v>
      </c>
      <c r="D70" s="412">
        <v>0</v>
      </c>
      <c r="E70" s="395">
        <v>0</v>
      </c>
      <c r="F70" s="676" t="s">
        <v>804</v>
      </c>
    </row>
    <row r="71" spans="1:6" s="418" customFormat="1" ht="12" customHeight="1" thickBot="1">
      <c r="A71" s="431" t="s">
        <v>397</v>
      </c>
      <c r="B71" s="398" t="s">
        <v>398</v>
      </c>
      <c r="C71" s="408">
        <f>SUM(C72:C73)</f>
        <v>181735560</v>
      </c>
      <c r="D71" s="408">
        <f>SUM(D72:D73)</f>
        <v>181479530</v>
      </c>
      <c r="E71" s="408">
        <f>SUM(E72:E73)</f>
        <v>181479530</v>
      </c>
      <c r="F71" s="676" t="s">
        <v>805</v>
      </c>
    </row>
    <row r="72" spans="1:6" s="418" customFormat="1" ht="12" customHeight="1">
      <c r="A72" s="371" t="s">
        <v>399</v>
      </c>
      <c r="B72" s="419" t="s">
        <v>400</v>
      </c>
      <c r="C72" s="412">
        <f>180056979+486482+1192099</f>
        <v>181735560</v>
      </c>
      <c r="D72" s="412">
        <f>179906404+977894+595232</f>
        <v>181479530</v>
      </c>
      <c r="E72" s="395">
        <f>179906404+977894+595232</f>
        <v>181479530</v>
      </c>
      <c r="F72" s="676" t="s">
        <v>806</v>
      </c>
    </row>
    <row r="73" spans="1:6" s="418" customFormat="1" ht="12" customHeight="1" thickBot="1">
      <c r="A73" s="372" t="s">
        <v>401</v>
      </c>
      <c r="B73" s="421" t="s">
        <v>402</v>
      </c>
      <c r="C73" s="412">
        <v>0</v>
      </c>
      <c r="D73" s="412">
        <v>0</v>
      </c>
      <c r="E73" s="395">
        <v>0</v>
      </c>
      <c r="F73" s="676" t="s">
        <v>807</v>
      </c>
    </row>
    <row r="74" spans="1:6" s="418" customFormat="1" ht="12" customHeight="1" thickBot="1">
      <c r="A74" s="431" t="s">
        <v>403</v>
      </c>
      <c r="B74" s="398" t="s">
        <v>404</v>
      </c>
      <c r="C74" s="408">
        <f>SUM(C75:C77)</f>
        <v>0</v>
      </c>
      <c r="D74" s="408">
        <f>SUM(D75:D77)</f>
        <v>5119012</v>
      </c>
      <c r="E74" s="408">
        <f>SUM(E75:E77)</f>
        <v>5119012</v>
      </c>
      <c r="F74" s="676" t="s">
        <v>808</v>
      </c>
    </row>
    <row r="75" spans="1:6" s="418" customFormat="1" ht="12" customHeight="1">
      <c r="A75" s="371" t="s">
        <v>405</v>
      </c>
      <c r="B75" s="419" t="s">
        <v>406</v>
      </c>
      <c r="C75" s="412"/>
      <c r="D75" s="412">
        <v>5119012</v>
      </c>
      <c r="E75" s="395">
        <v>5119012</v>
      </c>
      <c r="F75" s="676" t="s">
        <v>809</v>
      </c>
    </row>
    <row r="76" spans="1:6" s="418" customFormat="1" ht="12" customHeight="1">
      <c r="A76" s="370" t="s">
        <v>407</v>
      </c>
      <c r="B76" s="420" t="s">
        <v>408</v>
      </c>
      <c r="C76" s="412">
        <v>0</v>
      </c>
      <c r="D76" s="412">
        <v>0</v>
      </c>
      <c r="E76" s="395">
        <v>0</v>
      </c>
      <c r="F76" s="676" t="s">
        <v>810</v>
      </c>
    </row>
    <row r="77" spans="1:6" s="418" customFormat="1" ht="12" customHeight="1" thickBot="1">
      <c r="A77" s="372" t="s">
        <v>409</v>
      </c>
      <c r="B77" s="400" t="s">
        <v>410</v>
      </c>
      <c r="C77" s="412">
        <v>0</v>
      </c>
      <c r="D77" s="412">
        <v>0</v>
      </c>
      <c r="E77" s="395">
        <v>0</v>
      </c>
      <c r="F77" s="676" t="s">
        <v>811</v>
      </c>
    </row>
    <row r="78" spans="1:6" s="418" customFormat="1" ht="12" customHeight="1" thickBot="1">
      <c r="A78" s="431" t="s">
        <v>411</v>
      </c>
      <c r="B78" s="398" t="s">
        <v>412</v>
      </c>
      <c r="C78" s="408">
        <f>SUM(C79:C82)</f>
        <v>0</v>
      </c>
      <c r="D78" s="408">
        <f>SUM(D79:D82)</f>
        <v>0</v>
      </c>
      <c r="E78" s="408">
        <f>SUM(E79:E82)</f>
        <v>0</v>
      </c>
      <c r="F78" s="676" t="s">
        <v>812</v>
      </c>
    </row>
    <row r="79" spans="1:6" s="418" customFormat="1" ht="12" customHeight="1">
      <c r="A79" s="422" t="s">
        <v>413</v>
      </c>
      <c r="B79" s="419" t="s">
        <v>414</v>
      </c>
      <c r="C79" s="412">
        <v>0</v>
      </c>
      <c r="D79" s="412">
        <v>0</v>
      </c>
      <c r="E79" s="395">
        <v>0</v>
      </c>
      <c r="F79" s="676" t="s">
        <v>813</v>
      </c>
    </row>
    <row r="80" spans="1:6" s="418" customFormat="1" ht="12" customHeight="1">
      <c r="A80" s="423" t="s">
        <v>415</v>
      </c>
      <c r="B80" s="420" t="s">
        <v>416</v>
      </c>
      <c r="C80" s="412">
        <v>0</v>
      </c>
      <c r="D80" s="412">
        <v>0</v>
      </c>
      <c r="E80" s="395">
        <v>0</v>
      </c>
      <c r="F80" s="676" t="s">
        <v>814</v>
      </c>
    </row>
    <row r="81" spans="1:6" s="418" customFormat="1" ht="12" customHeight="1">
      <c r="A81" s="423" t="s">
        <v>417</v>
      </c>
      <c r="B81" s="420" t="s">
        <v>418</v>
      </c>
      <c r="C81" s="412">
        <v>0</v>
      </c>
      <c r="D81" s="412">
        <v>0</v>
      </c>
      <c r="E81" s="395">
        <v>0</v>
      </c>
      <c r="F81" s="676" t="s">
        <v>815</v>
      </c>
    </row>
    <row r="82" spans="1:6" s="418" customFormat="1" ht="12" customHeight="1" thickBot="1">
      <c r="A82" s="432" t="s">
        <v>419</v>
      </c>
      <c r="B82" s="400" t="s">
        <v>420</v>
      </c>
      <c r="C82" s="412">
        <v>0</v>
      </c>
      <c r="D82" s="412">
        <v>0</v>
      </c>
      <c r="E82" s="395">
        <v>0</v>
      </c>
      <c r="F82" s="676" t="s">
        <v>816</v>
      </c>
    </row>
    <row r="83" spans="1:6" s="418" customFormat="1" ht="12" customHeight="1" thickBot="1">
      <c r="A83" s="431" t="s">
        <v>421</v>
      </c>
      <c r="B83" s="398" t="s">
        <v>422</v>
      </c>
      <c r="C83" s="434">
        <v>0</v>
      </c>
      <c r="D83" s="434">
        <v>0</v>
      </c>
      <c r="E83" s="435">
        <v>0</v>
      </c>
      <c r="F83" s="676" t="s">
        <v>817</v>
      </c>
    </row>
    <row r="84" spans="1:6" s="418" customFormat="1" ht="12" customHeight="1" thickBot="1">
      <c r="A84" s="431" t="s">
        <v>423</v>
      </c>
      <c r="B84" s="354" t="s">
        <v>424</v>
      </c>
      <c r="C84" s="414">
        <f>C62+C66+C71+C74+C78+C83</f>
        <v>181735560</v>
      </c>
      <c r="D84" s="414">
        <f>D62+D66+D71+D74+D78+D83</f>
        <v>186598542</v>
      </c>
      <c r="E84" s="414">
        <f>E62+E66+E71+E74+E78+E83</f>
        <v>186598542</v>
      </c>
      <c r="F84" s="676" t="s">
        <v>818</v>
      </c>
    </row>
    <row r="85" spans="1:6" s="418" customFormat="1" ht="21" customHeight="1" thickBot="1">
      <c r="A85" s="433" t="s">
        <v>425</v>
      </c>
      <c r="B85" s="357" t="s">
        <v>426</v>
      </c>
      <c r="C85" s="414">
        <f>C61+C84</f>
        <v>434415764</v>
      </c>
      <c r="D85" s="414">
        <f>D61+D84</f>
        <v>518291710</v>
      </c>
      <c r="E85" s="414">
        <f>E61+E84</f>
        <v>511710111</v>
      </c>
      <c r="F85" s="676" t="s">
        <v>819</v>
      </c>
    </row>
    <row r="86" spans="1:6" s="418" customFormat="1" ht="12" customHeight="1">
      <c r="A86" s="352"/>
      <c r="B86" s="352"/>
      <c r="C86" s="353"/>
      <c r="D86" s="353"/>
      <c r="E86" s="353"/>
      <c r="F86" s="676"/>
    </row>
    <row r="87" spans="1:6" ht="16.5" customHeight="1">
      <c r="A87" s="756" t="s">
        <v>35</v>
      </c>
      <c r="B87" s="756"/>
      <c r="C87" s="756"/>
      <c r="D87" s="756"/>
      <c r="E87" s="756"/>
      <c r="F87" s="674"/>
    </row>
    <row r="88" spans="1:6" s="424" customFormat="1" ht="16.5" customHeight="1" thickBot="1">
      <c r="A88" s="46" t="s">
        <v>112</v>
      </c>
      <c r="B88" s="46"/>
      <c r="C88" s="385"/>
      <c r="D88" s="385"/>
      <c r="E88" s="385" t="s">
        <v>879</v>
      </c>
      <c r="F88" s="677"/>
    </row>
    <row r="89" spans="1:6" s="424" customFormat="1" ht="16.5" customHeight="1">
      <c r="A89" s="762" t="s">
        <v>59</v>
      </c>
      <c r="B89" s="759" t="s">
        <v>179</v>
      </c>
      <c r="C89" s="757" t="str">
        <f>+C3</f>
        <v>2017. évi</v>
      </c>
      <c r="D89" s="757"/>
      <c r="E89" s="758"/>
      <c r="F89" s="677"/>
    </row>
    <row r="90" spans="1:6" ht="37.5" customHeight="1" thickBot="1">
      <c r="A90" s="763"/>
      <c r="B90" s="760"/>
      <c r="C90" s="47" t="s">
        <v>180</v>
      </c>
      <c r="D90" s="47" t="s">
        <v>185</v>
      </c>
      <c r="E90" s="48" t="s">
        <v>186</v>
      </c>
      <c r="F90" s="674"/>
    </row>
    <row r="91" spans="1:6" s="417" customFormat="1" ht="12" customHeight="1" thickBot="1">
      <c r="A91" s="381" t="s">
        <v>427</v>
      </c>
      <c r="B91" s="382" t="s">
        <v>428</v>
      </c>
      <c r="C91" s="382" t="s">
        <v>429</v>
      </c>
      <c r="D91" s="382" t="s">
        <v>430</v>
      </c>
      <c r="E91" s="383" t="s">
        <v>431</v>
      </c>
      <c r="F91" s="675"/>
    </row>
    <row r="92" spans="1:6" ht="12" customHeight="1" thickBot="1">
      <c r="A92" s="378" t="s">
        <v>6</v>
      </c>
      <c r="B92" s="380" t="s">
        <v>433</v>
      </c>
      <c r="C92" s="407">
        <f>SUM(C93:C97)</f>
        <v>262676980</v>
      </c>
      <c r="D92" s="407">
        <f>SUM(D93:D97)</f>
        <v>289699894</v>
      </c>
      <c r="E92" s="407">
        <f>SUM(E93:E97)</f>
        <v>253165078</v>
      </c>
      <c r="F92" s="674" t="s">
        <v>740</v>
      </c>
    </row>
    <row r="93" spans="1:6" ht="12" customHeight="1">
      <c r="A93" s="373" t="s">
        <v>71</v>
      </c>
      <c r="B93" s="366" t="s">
        <v>36</v>
      </c>
      <c r="C93" s="529">
        <f>40379956+37903424+28462900</f>
        <v>106746280</v>
      </c>
      <c r="D93" s="98">
        <f>50602237+30052900+38250949</f>
        <v>118906086</v>
      </c>
      <c r="E93" s="361">
        <f>47862153+36569343+27584493</f>
        <v>112015989</v>
      </c>
      <c r="F93" s="674" t="s">
        <v>741</v>
      </c>
    </row>
    <row r="94" spans="1:6" ht="12" customHeight="1">
      <c r="A94" s="370" t="s">
        <v>72</v>
      </c>
      <c r="B94" s="364" t="s">
        <v>133</v>
      </c>
      <c r="C94" s="530">
        <f>8803230+7896383+8753713</f>
        <v>25453326</v>
      </c>
      <c r="D94" s="409">
        <f>11034997+8018649+8788297</f>
        <v>27841943</v>
      </c>
      <c r="E94" s="392">
        <f>11034997+6324349+8274836</f>
        <v>25634182</v>
      </c>
      <c r="F94" s="674" t="s">
        <v>742</v>
      </c>
    </row>
    <row r="95" spans="1:6" ht="12" customHeight="1">
      <c r="A95" s="370" t="s">
        <v>73</v>
      </c>
      <c r="B95" s="364" t="s">
        <v>100</v>
      </c>
      <c r="C95" s="532">
        <f>73487658+5757500+41772216</f>
        <v>121017374</v>
      </c>
      <c r="D95" s="411">
        <f>77795774+6625039+41760463</f>
        <v>126181276</v>
      </c>
      <c r="E95" s="394">
        <f>63311200+4142248+31957220</f>
        <v>99410668</v>
      </c>
      <c r="F95" s="674" t="s">
        <v>743</v>
      </c>
    </row>
    <row r="96" spans="1:6" ht="12" customHeight="1">
      <c r="A96" s="370" t="s">
        <v>74</v>
      </c>
      <c r="B96" s="367" t="s">
        <v>134</v>
      </c>
      <c r="C96" s="532">
        <v>5460000</v>
      </c>
      <c r="D96" s="411">
        <v>7425420</v>
      </c>
      <c r="E96" s="394">
        <v>6784270</v>
      </c>
      <c r="F96" s="674" t="s">
        <v>744</v>
      </c>
    </row>
    <row r="97" spans="1:6" ht="12" customHeight="1">
      <c r="A97" s="370" t="s">
        <v>83</v>
      </c>
      <c r="B97" s="375" t="s">
        <v>135</v>
      </c>
      <c r="C97" s="532">
        <f>C98+C107</f>
        <v>4000000</v>
      </c>
      <c r="D97" s="532">
        <f>D98+D107</f>
        <v>9345169</v>
      </c>
      <c r="E97" s="532">
        <f>E98+E107</f>
        <v>9319969</v>
      </c>
      <c r="F97" s="674" t="s">
        <v>745</v>
      </c>
    </row>
    <row r="98" spans="1:6" ht="12" customHeight="1">
      <c r="A98" s="370" t="s">
        <v>75</v>
      </c>
      <c r="B98" s="364" t="s">
        <v>434</v>
      </c>
      <c r="C98" s="532"/>
      <c r="D98" s="411">
        <v>5145169</v>
      </c>
      <c r="E98" s="394">
        <v>5145169</v>
      </c>
      <c r="F98" s="674" t="s">
        <v>746</v>
      </c>
    </row>
    <row r="99" spans="1:6" ht="12" customHeight="1">
      <c r="A99" s="370" t="s">
        <v>76</v>
      </c>
      <c r="B99" s="387" t="s">
        <v>435</v>
      </c>
      <c r="C99" s="532"/>
      <c r="D99" s="411">
        <v>0</v>
      </c>
      <c r="E99" s="394">
        <v>0</v>
      </c>
      <c r="F99" s="674" t="s">
        <v>747</v>
      </c>
    </row>
    <row r="100" spans="1:6" ht="12" customHeight="1">
      <c r="A100" s="370" t="s">
        <v>84</v>
      </c>
      <c r="B100" s="388" t="s">
        <v>436</v>
      </c>
      <c r="C100" s="532"/>
      <c r="D100" s="411">
        <v>0</v>
      </c>
      <c r="E100" s="394">
        <v>0</v>
      </c>
      <c r="F100" s="674" t="s">
        <v>748</v>
      </c>
    </row>
    <row r="101" spans="1:6" ht="12" customHeight="1">
      <c r="A101" s="370" t="s">
        <v>85</v>
      </c>
      <c r="B101" s="388" t="s">
        <v>437</v>
      </c>
      <c r="C101" s="532"/>
      <c r="D101" s="411">
        <v>0</v>
      </c>
      <c r="E101" s="394">
        <v>0</v>
      </c>
      <c r="F101" s="674" t="s">
        <v>749</v>
      </c>
    </row>
    <row r="102" spans="1:6" ht="12" customHeight="1">
      <c r="A102" s="370" t="s">
        <v>86</v>
      </c>
      <c r="B102" s="387" t="s">
        <v>438</v>
      </c>
      <c r="C102" s="532"/>
      <c r="D102" s="411">
        <v>0</v>
      </c>
      <c r="E102" s="394">
        <v>0</v>
      </c>
      <c r="F102" s="674" t="s">
        <v>750</v>
      </c>
    </row>
    <row r="103" spans="1:6" ht="12" customHeight="1">
      <c r="A103" s="370" t="s">
        <v>87</v>
      </c>
      <c r="B103" s="387" t="s">
        <v>439</v>
      </c>
      <c r="C103" s="532"/>
      <c r="D103" s="411">
        <v>0</v>
      </c>
      <c r="E103" s="394">
        <v>0</v>
      </c>
      <c r="F103" s="674" t="s">
        <v>751</v>
      </c>
    </row>
    <row r="104" spans="1:6" ht="12" customHeight="1">
      <c r="A104" s="370" t="s">
        <v>89</v>
      </c>
      <c r="B104" s="388" t="s">
        <v>440</v>
      </c>
      <c r="C104" s="532"/>
      <c r="D104" s="411">
        <v>0</v>
      </c>
      <c r="E104" s="394">
        <v>0</v>
      </c>
      <c r="F104" s="674" t="s">
        <v>752</v>
      </c>
    </row>
    <row r="105" spans="1:6" ht="12" customHeight="1">
      <c r="A105" s="369" t="s">
        <v>136</v>
      </c>
      <c r="B105" s="389" t="s">
        <v>441</v>
      </c>
      <c r="C105" s="532"/>
      <c r="D105" s="411">
        <v>0</v>
      </c>
      <c r="E105" s="394">
        <v>0</v>
      </c>
      <c r="F105" s="674" t="s">
        <v>753</v>
      </c>
    </row>
    <row r="106" spans="1:6" ht="12" customHeight="1">
      <c r="A106" s="370" t="s">
        <v>442</v>
      </c>
      <c r="B106" s="389" t="s">
        <v>443</v>
      </c>
      <c r="C106" s="532"/>
      <c r="D106" s="411">
        <v>0</v>
      </c>
      <c r="E106" s="394">
        <v>0</v>
      </c>
      <c r="F106" s="674" t="s">
        <v>754</v>
      </c>
    </row>
    <row r="107" spans="1:6" ht="12" customHeight="1" thickBot="1">
      <c r="A107" s="374" t="s">
        <v>444</v>
      </c>
      <c r="B107" s="390" t="s">
        <v>445</v>
      </c>
      <c r="C107" s="534">
        <v>4000000</v>
      </c>
      <c r="D107" s="99">
        <v>4200000</v>
      </c>
      <c r="E107" s="355">
        <v>4174800</v>
      </c>
      <c r="F107" s="674" t="s">
        <v>755</v>
      </c>
    </row>
    <row r="108" spans="1:6" ht="12" customHeight="1" thickBot="1">
      <c r="A108" s="376" t="s">
        <v>7</v>
      </c>
      <c r="B108" s="379" t="s">
        <v>446</v>
      </c>
      <c r="C108" s="408">
        <f>C109+C111+C113</f>
        <v>90175501</v>
      </c>
      <c r="D108" s="408">
        <f>D109+D111+D113</f>
        <v>123151788</v>
      </c>
      <c r="E108" s="408">
        <f>E109+E111+E113</f>
        <v>115743267</v>
      </c>
      <c r="F108" s="674" t="s">
        <v>756</v>
      </c>
    </row>
    <row r="109" spans="1:6" ht="12" customHeight="1">
      <c r="A109" s="371" t="s">
        <v>77</v>
      </c>
      <c r="B109" s="364" t="s">
        <v>157</v>
      </c>
      <c r="C109" s="531">
        <f>16101978+300000+600000</f>
        <v>17001978</v>
      </c>
      <c r="D109" s="410">
        <f>24875294+300000+600000</f>
        <v>25775294</v>
      </c>
      <c r="E109" s="393">
        <f>20871185+178303+16900</f>
        <v>21066388</v>
      </c>
      <c r="F109" s="674" t="s">
        <v>757</v>
      </c>
    </row>
    <row r="110" spans="1:6" ht="12" customHeight="1">
      <c r="A110" s="371" t="s">
        <v>78</v>
      </c>
      <c r="B110" s="368" t="s">
        <v>447</v>
      </c>
      <c r="C110" s="531"/>
      <c r="D110" s="410">
        <v>0</v>
      </c>
      <c r="E110" s="393">
        <v>0</v>
      </c>
      <c r="F110" s="674" t="s">
        <v>758</v>
      </c>
    </row>
    <row r="111" spans="1:6" ht="15.75">
      <c r="A111" s="371" t="s">
        <v>79</v>
      </c>
      <c r="B111" s="368" t="s">
        <v>137</v>
      </c>
      <c r="C111" s="530">
        <v>71673523</v>
      </c>
      <c r="D111" s="409">
        <v>95876494</v>
      </c>
      <c r="E111" s="392">
        <v>93876879</v>
      </c>
      <c r="F111" s="674" t="s">
        <v>759</v>
      </c>
    </row>
    <row r="112" spans="1:6" ht="12" customHeight="1">
      <c r="A112" s="371" t="s">
        <v>80</v>
      </c>
      <c r="B112" s="368" t="s">
        <v>448</v>
      </c>
      <c r="C112" s="392"/>
      <c r="D112" s="409">
        <v>0</v>
      </c>
      <c r="E112" s="392">
        <v>0</v>
      </c>
      <c r="F112" s="674" t="s">
        <v>760</v>
      </c>
    </row>
    <row r="113" spans="1:6" ht="12" customHeight="1">
      <c r="A113" s="371" t="s">
        <v>81</v>
      </c>
      <c r="B113" s="400" t="s">
        <v>160</v>
      </c>
      <c r="C113" s="392">
        <v>1500000</v>
      </c>
      <c r="D113" s="409">
        <v>1500000</v>
      </c>
      <c r="E113" s="409">
        <f>SUM(E114:E121)</f>
        <v>800000</v>
      </c>
      <c r="F113" s="674" t="s">
        <v>761</v>
      </c>
    </row>
    <row r="114" spans="1:6" ht="21.75" customHeight="1">
      <c r="A114" s="371" t="s">
        <v>88</v>
      </c>
      <c r="B114" s="399" t="s">
        <v>449</v>
      </c>
      <c r="C114" s="392"/>
      <c r="D114" s="409">
        <v>0</v>
      </c>
      <c r="E114" s="392">
        <v>0</v>
      </c>
      <c r="F114" s="674" t="s">
        <v>762</v>
      </c>
    </row>
    <row r="115" spans="1:6" ht="24" customHeight="1">
      <c r="A115" s="371" t="s">
        <v>90</v>
      </c>
      <c r="B115" s="415" t="s">
        <v>450</v>
      </c>
      <c r="C115" s="392"/>
      <c r="D115" s="409">
        <v>0</v>
      </c>
      <c r="E115" s="392">
        <v>0</v>
      </c>
      <c r="F115" s="674" t="s">
        <v>763</v>
      </c>
    </row>
    <row r="116" spans="1:6" ht="12" customHeight="1">
      <c r="A116" s="371" t="s">
        <v>138</v>
      </c>
      <c r="B116" s="388" t="s">
        <v>437</v>
      </c>
      <c r="C116" s="392"/>
      <c r="D116" s="409">
        <v>0</v>
      </c>
      <c r="E116" s="392">
        <v>0</v>
      </c>
      <c r="F116" s="674" t="s">
        <v>764</v>
      </c>
    </row>
    <row r="117" spans="1:6" ht="12" customHeight="1">
      <c r="A117" s="371" t="s">
        <v>139</v>
      </c>
      <c r="B117" s="388" t="s">
        <v>451</v>
      </c>
      <c r="C117" s="392"/>
      <c r="D117" s="409">
        <v>0</v>
      </c>
      <c r="E117" s="392">
        <v>0</v>
      </c>
      <c r="F117" s="674" t="s">
        <v>765</v>
      </c>
    </row>
    <row r="118" spans="1:6" ht="12" customHeight="1">
      <c r="A118" s="371" t="s">
        <v>140</v>
      </c>
      <c r="B118" s="388" t="s">
        <v>452</v>
      </c>
      <c r="C118" s="392"/>
      <c r="D118" s="409">
        <v>0</v>
      </c>
      <c r="E118" s="392">
        <v>0</v>
      </c>
      <c r="F118" s="674" t="s">
        <v>766</v>
      </c>
    </row>
    <row r="119" spans="1:6" s="436" customFormat="1" ht="12" customHeight="1">
      <c r="A119" s="371" t="s">
        <v>453</v>
      </c>
      <c r="B119" s="388" t="s">
        <v>440</v>
      </c>
      <c r="C119" s="392"/>
      <c r="D119" s="409">
        <v>0</v>
      </c>
      <c r="E119" s="392">
        <v>0</v>
      </c>
      <c r="F119" s="674" t="s">
        <v>767</v>
      </c>
    </row>
    <row r="120" spans="1:6" ht="12" customHeight="1">
      <c r="A120" s="371" t="s">
        <v>454</v>
      </c>
      <c r="B120" s="388" t="s">
        <v>455</v>
      </c>
      <c r="C120" s="392"/>
      <c r="D120" s="409">
        <v>0</v>
      </c>
      <c r="E120" s="392">
        <v>0</v>
      </c>
      <c r="F120" s="674" t="s">
        <v>768</v>
      </c>
    </row>
    <row r="121" spans="1:6" ht="12" customHeight="1" thickBot="1">
      <c r="A121" s="369" t="s">
        <v>456</v>
      </c>
      <c r="B121" s="388" t="s">
        <v>457</v>
      </c>
      <c r="C121" s="394">
        <v>1500000</v>
      </c>
      <c r="D121" s="411">
        <v>1500000</v>
      </c>
      <c r="E121" s="394">
        <v>800000</v>
      </c>
      <c r="F121" s="674" t="s">
        <v>769</v>
      </c>
    </row>
    <row r="122" spans="1:6" ht="12" customHeight="1" thickBot="1">
      <c r="A122" s="376" t="s">
        <v>8</v>
      </c>
      <c r="B122" s="384" t="s">
        <v>458</v>
      </c>
      <c r="C122" s="408">
        <f>SUM(C123:C124)</f>
        <v>81563283</v>
      </c>
      <c r="D122" s="408">
        <f>SUM(D123:D124)</f>
        <v>100621538</v>
      </c>
      <c r="E122" s="408">
        <f>SUM(E123:E124)</f>
        <v>0</v>
      </c>
      <c r="F122" s="674" t="s">
        <v>770</v>
      </c>
    </row>
    <row r="123" spans="1:6" ht="12" customHeight="1">
      <c r="A123" s="371" t="s">
        <v>60</v>
      </c>
      <c r="B123" s="365" t="s">
        <v>46</v>
      </c>
      <c r="C123" s="410">
        <v>81563283</v>
      </c>
      <c r="D123" s="410">
        <v>100621538</v>
      </c>
      <c r="E123" s="393">
        <v>0</v>
      </c>
      <c r="F123" s="674" t="s">
        <v>771</v>
      </c>
    </row>
    <row r="124" spans="1:6" ht="12" customHeight="1" thickBot="1">
      <c r="A124" s="372" t="s">
        <v>61</v>
      </c>
      <c r="B124" s="368" t="s">
        <v>47</v>
      </c>
      <c r="C124" s="411"/>
      <c r="D124" s="411">
        <v>0</v>
      </c>
      <c r="E124" s="394">
        <v>0</v>
      </c>
      <c r="F124" s="674" t="s">
        <v>772</v>
      </c>
    </row>
    <row r="125" spans="1:6" ht="12" customHeight="1" thickBot="1">
      <c r="A125" s="376" t="s">
        <v>9</v>
      </c>
      <c r="B125" s="384" t="s">
        <v>459</v>
      </c>
      <c r="C125" s="408">
        <f>C92+C108+C122</f>
        <v>434415764</v>
      </c>
      <c r="D125" s="408">
        <f>D92+D108+D122</f>
        <v>513473220</v>
      </c>
      <c r="E125" s="408">
        <f>E92+E108+E122</f>
        <v>368908345</v>
      </c>
      <c r="F125" s="674" t="s">
        <v>773</v>
      </c>
    </row>
    <row r="126" spans="1:6" ht="12" customHeight="1" thickBot="1">
      <c r="A126" s="376" t="s">
        <v>10</v>
      </c>
      <c r="B126" s="384" t="s">
        <v>460</v>
      </c>
      <c r="C126" s="408">
        <f>SUM(C127:C129)</f>
        <v>0</v>
      </c>
      <c r="D126" s="408">
        <f>SUM(D127:D129)</f>
        <v>0</v>
      </c>
      <c r="E126" s="408">
        <f>SUM(E127:E129)</f>
        <v>0</v>
      </c>
      <c r="F126" s="674" t="s">
        <v>774</v>
      </c>
    </row>
    <row r="127" spans="1:6" ht="12" customHeight="1">
      <c r="A127" s="371" t="s">
        <v>64</v>
      </c>
      <c r="B127" s="365" t="s">
        <v>461</v>
      </c>
      <c r="C127" s="409">
        <v>0</v>
      </c>
      <c r="D127" s="409">
        <v>0</v>
      </c>
      <c r="E127" s="392">
        <v>0</v>
      </c>
      <c r="F127" s="674" t="s">
        <v>775</v>
      </c>
    </row>
    <row r="128" spans="1:6" ht="12" customHeight="1">
      <c r="A128" s="371" t="s">
        <v>65</v>
      </c>
      <c r="B128" s="365" t="s">
        <v>462</v>
      </c>
      <c r="C128" s="409">
        <v>0</v>
      </c>
      <c r="D128" s="409">
        <v>0</v>
      </c>
      <c r="E128" s="392">
        <v>0</v>
      </c>
      <c r="F128" s="674" t="s">
        <v>776</v>
      </c>
    </row>
    <row r="129" spans="1:6" ht="12" customHeight="1" thickBot="1">
      <c r="A129" s="369" t="s">
        <v>66</v>
      </c>
      <c r="B129" s="363" t="s">
        <v>463</v>
      </c>
      <c r="C129" s="409">
        <v>0</v>
      </c>
      <c r="D129" s="409">
        <v>0</v>
      </c>
      <c r="E129" s="392">
        <v>0</v>
      </c>
      <c r="F129" s="674" t="s">
        <v>777</v>
      </c>
    </row>
    <row r="130" spans="1:6" ht="12" customHeight="1" thickBot="1">
      <c r="A130" s="376" t="s">
        <v>11</v>
      </c>
      <c r="B130" s="384" t="s">
        <v>464</v>
      </c>
      <c r="C130" s="408">
        <f>SUM(C131:C134)</f>
        <v>0</v>
      </c>
      <c r="D130" s="408">
        <f>SUM(D131:D134)</f>
        <v>0</v>
      </c>
      <c r="E130" s="408">
        <f>SUM(E131:E134)</f>
        <v>0</v>
      </c>
      <c r="F130" s="674" t="s">
        <v>778</v>
      </c>
    </row>
    <row r="131" spans="1:6" ht="12" customHeight="1">
      <c r="A131" s="371" t="s">
        <v>67</v>
      </c>
      <c r="B131" s="365" t="s">
        <v>465</v>
      </c>
      <c r="C131" s="409">
        <v>0</v>
      </c>
      <c r="D131" s="409">
        <v>0</v>
      </c>
      <c r="E131" s="392">
        <v>0</v>
      </c>
      <c r="F131" s="674" t="s">
        <v>779</v>
      </c>
    </row>
    <row r="132" spans="1:6" ht="12" customHeight="1">
      <c r="A132" s="371" t="s">
        <v>68</v>
      </c>
      <c r="B132" s="365" t="s">
        <v>466</v>
      </c>
      <c r="C132" s="409">
        <v>0</v>
      </c>
      <c r="D132" s="409">
        <v>0</v>
      </c>
      <c r="E132" s="392">
        <v>0</v>
      </c>
      <c r="F132" s="674" t="s">
        <v>780</v>
      </c>
    </row>
    <row r="133" spans="1:6" ht="12" customHeight="1">
      <c r="A133" s="371" t="s">
        <v>361</v>
      </c>
      <c r="B133" s="365" t="s">
        <v>467</v>
      </c>
      <c r="C133" s="409">
        <v>0</v>
      </c>
      <c r="D133" s="409">
        <v>0</v>
      </c>
      <c r="E133" s="392">
        <v>0</v>
      </c>
      <c r="F133" s="674" t="s">
        <v>781</v>
      </c>
    </row>
    <row r="134" spans="1:6" ht="12" customHeight="1" thickBot="1">
      <c r="A134" s="369" t="s">
        <v>363</v>
      </c>
      <c r="B134" s="363" t="s">
        <v>468</v>
      </c>
      <c r="C134" s="409">
        <v>0</v>
      </c>
      <c r="D134" s="409">
        <v>0</v>
      </c>
      <c r="E134" s="392">
        <v>0</v>
      </c>
      <c r="F134" s="674" t="s">
        <v>782</v>
      </c>
    </row>
    <row r="135" spans="1:6" ht="12" customHeight="1" thickBot="1">
      <c r="A135" s="376" t="s">
        <v>12</v>
      </c>
      <c r="B135" s="384" t="s">
        <v>469</v>
      </c>
      <c r="C135" s="414">
        <f>SUM(C136:C139)</f>
        <v>0</v>
      </c>
      <c r="D135" s="414">
        <f>SUM(D136:D139)</f>
        <v>4818490</v>
      </c>
      <c r="E135" s="414">
        <f>SUM(E136:E139)</f>
        <v>4818490</v>
      </c>
      <c r="F135" s="674" t="s">
        <v>783</v>
      </c>
    </row>
    <row r="136" spans="1:6" ht="12" customHeight="1">
      <c r="A136" s="371" t="s">
        <v>69</v>
      </c>
      <c r="B136" s="365" t="s">
        <v>470</v>
      </c>
      <c r="C136" s="409">
        <v>0</v>
      </c>
      <c r="D136" s="409">
        <v>0</v>
      </c>
      <c r="E136" s="392">
        <v>0</v>
      </c>
      <c r="F136" s="674" t="s">
        <v>784</v>
      </c>
    </row>
    <row r="137" spans="1:6" ht="12" customHeight="1">
      <c r="A137" s="371" t="s">
        <v>70</v>
      </c>
      <c r="B137" s="365" t="s">
        <v>471</v>
      </c>
      <c r="C137" s="409">
        <v>0</v>
      </c>
      <c r="D137" s="409">
        <v>4818490</v>
      </c>
      <c r="E137" s="392">
        <v>4818490</v>
      </c>
      <c r="F137" s="674" t="s">
        <v>785</v>
      </c>
    </row>
    <row r="138" spans="1:6" ht="12" customHeight="1">
      <c r="A138" s="371" t="s">
        <v>370</v>
      </c>
      <c r="B138" s="365" t="s">
        <v>472</v>
      </c>
      <c r="C138" s="409">
        <v>0</v>
      </c>
      <c r="D138" s="409">
        <v>0</v>
      </c>
      <c r="E138" s="392">
        <v>0</v>
      </c>
      <c r="F138" s="674" t="s">
        <v>786</v>
      </c>
    </row>
    <row r="139" spans="1:6" ht="12" customHeight="1" thickBot="1">
      <c r="A139" s="369" t="s">
        <v>372</v>
      </c>
      <c r="B139" s="363" t="s">
        <v>473</v>
      </c>
      <c r="C139" s="409">
        <v>0</v>
      </c>
      <c r="D139" s="409">
        <v>0</v>
      </c>
      <c r="E139" s="392">
        <v>0</v>
      </c>
      <c r="F139" s="674" t="s">
        <v>787</v>
      </c>
    </row>
    <row r="140" spans="1:9" ht="15" customHeight="1" thickBot="1">
      <c r="A140" s="376" t="s">
        <v>13</v>
      </c>
      <c r="B140" s="384" t="s">
        <v>474</v>
      </c>
      <c r="C140" s="100">
        <f>SUM(C141:C144)</f>
        <v>0</v>
      </c>
      <c r="D140" s="100">
        <f>SUM(D141:D144)</f>
        <v>0</v>
      </c>
      <c r="E140" s="100">
        <f>SUM(E141:E144)</f>
        <v>0</v>
      </c>
      <c r="F140" s="674" t="s">
        <v>788</v>
      </c>
      <c r="G140" s="425"/>
      <c r="H140" s="425"/>
      <c r="I140" s="425"/>
    </row>
    <row r="141" spans="1:6" s="418" customFormat="1" ht="12.75" customHeight="1">
      <c r="A141" s="371" t="s">
        <v>131</v>
      </c>
      <c r="B141" s="365" t="s">
        <v>475</v>
      </c>
      <c r="C141" s="409">
        <v>0</v>
      </c>
      <c r="D141" s="409">
        <v>0</v>
      </c>
      <c r="E141" s="392">
        <v>0</v>
      </c>
      <c r="F141" s="674" t="s">
        <v>789</v>
      </c>
    </row>
    <row r="142" spans="1:6" ht="12.75" customHeight="1">
      <c r="A142" s="371" t="s">
        <v>132</v>
      </c>
      <c r="B142" s="365" t="s">
        <v>476</v>
      </c>
      <c r="C142" s="409">
        <v>0</v>
      </c>
      <c r="D142" s="409">
        <v>0</v>
      </c>
      <c r="E142" s="392">
        <v>0</v>
      </c>
      <c r="F142" s="674" t="s">
        <v>790</v>
      </c>
    </row>
    <row r="143" spans="1:6" ht="12.75" customHeight="1">
      <c r="A143" s="371" t="s">
        <v>159</v>
      </c>
      <c r="B143" s="365" t="s">
        <v>477</v>
      </c>
      <c r="C143" s="409">
        <v>0</v>
      </c>
      <c r="D143" s="409">
        <v>0</v>
      </c>
      <c r="E143" s="392">
        <v>0</v>
      </c>
      <c r="F143" s="674" t="s">
        <v>791</v>
      </c>
    </row>
    <row r="144" spans="1:6" ht="12.75" customHeight="1" thickBot="1">
      <c r="A144" s="371" t="s">
        <v>378</v>
      </c>
      <c r="B144" s="365" t="s">
        <v>478</v>
      </c>
      <c r="C144" s="409">
        <v>0</v>
      </c>
      <c r="D144" s="409">
        <v>0</v>
      </c>
      <c r="E144" s="392">
        <v>0</v>
      </c>
      <c r="F144" s="674" t="s">
        <v>792</v>
      </c>
    </row>
    <row r="145" spans="1:6" ht="16.5" thickBot="1">
      <c r="A145" s="376" t="s">
        <v>14</v>
      </c>
      <c r="B145" s="384" t="s">
        <v>479</v>
      </c>
      <c r="C145" s="358">
        <f>C126+C130+C135+C140</f>
        <v>0</v>
      </c>
      <c r="D145" s="358">
        <f>D126+D130+D135+D140</f>
        <v>4818490</v>
      </c>
      <c r="E145" s="358">
        <f>E126+E130+E135+E140</f>
        <v>4818490</v>
      </c>
      <c r="F145" s="674" t="s">
        <v>793</v>
      </c>
    </row>
    <row r="146" spans="1:6" ht="16.5" thickBot="1">
      <c r="A146" s="401" t="s">
        <v>15</v>
      </c>
      <c r="B146" s="404" t="s">
        <v>480</v>
      </c>
      <c r="C146" s="358">
        <f>C125+C145</f>
        <v>434415764</v>
      </c>
      <c r="D146" s="358">
        <f>D125+D145</f>
        <v>518291710</v>
      </c>
      <c r="E146" s="358">
        <f>E125+E145</f>
        <v>373726835</v>
      </c>
      <c r="F146" s="674" t="s">
        <v>794</v>
      </c>
    </row>
    <row r="148" spans="1:5" ht="18.75" customHeight="1">
      <c r="A148" s="761" t="s">
        <v>481</v>
      </c>
      <c r="B148" s="761"/>
      <c r="C148" s="761"/>
      <c r="D148" s="761"/>
      <c r="E148" s="761"/>
    </row>
    <row r="149" spans="1:5" ht="13.5" customHeight="1" thickBot="1">
      <c r="A149" s="386" t="s">
        <v>113</v>
      </c>
      <c r="B149" s="386"/>
      <c r="C149" s="416"/>
      <c r="E149" s="403" t="s">
        <v>879</v>
      </c>
    </row>
    <row r="150" spans="1:5" ht="21.75" thickBot="1">
      <c r="A150" s="376">
        <v>1</v>
      </c>
      <c r="B150" s="379" t="s">
        <v>482</v>
      </c>
      <c r="C150" s="402">
        <f>+C61-C125</f>
        <v>-181735560</v>
      </c>
      <c r="D150" s="402">
        <f>+D61-D125</f>
        <v>-181780052</v>
      </c>
      <c r="E150" s="402">
        <f>+E61-E125</f>
        <v>-43796776</v>
      </c>
    </row>
    <row r="151" spans="1:5" ht="21.75" thickBot="1">
      <c r="A151" s="376" t="s">
        <v>7</v>
      </c>
      <c r="B151" s="379" t="s">
        <v>483</v>
      </c>
      <c r="C151" s="402">
        <f>+C84-C145</f>
        <v>181735560</v>
      </c>
      <c r="D151" s="402">
        <f>+D84-D145</f>
        <v>181780052</v>
      </c>
      <c r="E151" s="402">
        <f>+E84-E145</f>
        <v>181780052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405" customFormat="1" ht="12.75" customHeight="1">
      <c r="C161" s="406"/>
      <c r="D161" s="406"/>
      <c r="E161" s="406"/>
      <c r="F161" s="416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headerFooter alignWithMargins="0">
    <oddHeader>&amp;C&amp;"Times New Roman CE,Félkövér"&amp;12
Tengelic Község Önkormányzata
2017. ÉVI ZÁRSZÁMADÁS
KÖTELEZŐ FELADATAINAK MÉRLEGE 
&amp;R&amp;"Times New Roman CE,Félkövér dőlt"&amp;11 1.2. melléklet a 6./2018. (V.30.)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5.875" style="21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61"/>
      <c r="D1" s="162" t="s">
        <v>51</v>
      </c>
    </row>
    <row r="2" spans="1:4" s="20" customFormat="1" ht="48" customHeight="1" thickBot="1">
      <c r="A2" s="200" t="s">
        <v>4</v>
      </c>
      <c r="B2" s="184" t="s">
        <v>5</v>
      </c>
      <c r="C2" s="184" t="s">
        <v>227</v>
      </c>
      <c r="D2" s="201" t="s">
        <v>228</v>
      </c>
    </row>
    <row r="3" spans="1:4" s="20" customFormat="1" ht="13.5" customHeight="1" thickBot="1">
      <c r="A3" s="202" t="s">
        <v>427</v>
      </c>
      <c r="B3" s="203" t="s">
        <v>428</v>
      </c>
      <c r="C3" s="203" t="s">
        <v>429</v>
      </c>
      <c r="D3" s="204" t="s">
        <v>430</v>
      </c>
    </row>
    <row r="4" spans="1:4" ht="18" customHeight="1">
      <c r="A4" s="205" t="s">
        <v>6</v>
      </c>
      <c r="B4" s="206" t="s">
        <v>229</v>
      </c>
      <c r="C4" s="207"/>
      <c r="D4" s="208"/>
    </row>
    <row r="5" spans="1:4" ht="18" customHeight="1">
      <c r="A5" s="209" t="s">
        <v>7</v>
      </c>
      <c r="B5" s="210" t="s">
        <v>230</v>
      </c>
      <c r="C5" s="211"/>
      <c r="D5" s="212"/>
    </row>
    <row r="6" spans="1:4" ht="18" customHeight="1">
      <c r="A6" s="209" t="s">
        <v>8</v>
      </c>
      <c r="B6" s="210" t="s">
        <v>231</v>
      </c>
      <c r="C6" s="211"/>
      <c r="D6" s="212"/>
    </row>
    <row r="7" spans="1:4" ht="18" customHeight="1">
      <c r="A7" s="209" t="s">
        <v>9</v>
      </c>
      <c r="B7" s="210" t="s">
        <v>232</v>
      </c>
      <c r="C7" s="211"/>
      <c r="D7" s="212"/>
    </row>
    <row r="8" spans="1:4" ht="18" customHeight="1">
      <c r="A8" s="213" t="s">
        <v>10</v>
      </c>
      <c r="B8" s="210" t="s">
        <v>233</v>
      </c>
      <c r="C8" s="211"/>
      <c r="D8" s="212">
        <v>220</v>
      </c>
    </row>
    <row r="9" spans="1:4" ht="18" customHeight="1">
      <c r="A9" s="209" t="s">
        <v>11</v>
      </c>
      <c r="B9" s="210" t="s">
        <v>234</v>
      </c>
      <c r="C9" s="211"/>
      <c r="D9" s="212"/>
    </row>
    <row r="10" spans="1:4" ht="18" customHeight="1">
      <c r="A10" s="213" t="s">
        <v>12</v>
      </c>
      <c r="B10" s="214" t="s">
        <v>235</v>
      </c>
      <c r="C10" s="211"/>
      <c r="D10" s="212"/>
    </row>
    <row r="11" spans="1:4" ht="18" customHeight="1">
      <c r="A11" s="213" t="s">
        <v>13</v>
      </c>
      <c r="B11" s="214" t="s">
        <v>236</v>
      </c>
      <c r="C11" s="211"/>
      <c r="D11" s="212"/>
    </row>
    <row r="12" spans="1:4" ht="18" customHeight="1">
      <c r="A12" s="209" t="s">
        <v>14</v>
      </c>
      <c r="B12" s="214" t="s">
        <v>237</v>
      </c>
      <c r="C12" s="211"/>
      <c r="D12" s="212">
        <v>220</v>
      </c>
    </row>
    <row r="13" spans="1:4" ht="18" customHeight="1">
      <c r="A13" s="213" t="s">
        <v>15</v>
      </c>
      <c r="B13" s="214" t="s">
        <v>238</v>
      </c>
      <c r="C13" s="211"/>
      <c r="D13" s="212"/>
    </row>
    <row r="14" spans="1:4" ht="22.5">
      <c r="A14" s="209" t="s">
        <v>16</v>
      </c>
      <c r="B14" s="214" t="s">
        <v>239</v>
      </c>
      <c r="C14" s="211"/>
      <c r="D14" s="212"/>
    </row>
    <row r="15" spans="1:4" ht="18" customHeight="1">
      <c r="A15" s="213" t="s">
        <v>17</v>
      </c>
      <c r="B15" s="210" t="s">
        <v>240</v>
      </c>
      <c r="C15" s="211"/>
      <c r="D15" s="212"/>
    </row>
    <row r="16" spans="1:4" ht="18" customHeight="1">
      <c r="A16" s="209" t="s">
        <v>18</v>
      </c>
      <c r="B16" s="210" t="s">
        <v>241</v>
      </c>
      <c r="C16" s="211"/>
      <c r="D16" s="212">
        <v>347</v>
      </c>
    </row>
    <row r="17" spans="1:4" ht="18" customHeight="1">
      <c r="A17" s="213" t="s">
        <v>19</v>
      </c>
      <c r="B17" s="210" t="s">
        <v>242</v>
      </c>
      <c r="C17" s="211"/>
      <c r="D17" s="212"/>
    </row>
    <row r="18" spans="1:4" ht="18" customHeight="1">
      <c r="A18" s="209" t="s">
        <v>20</v>
      </c>
      <c r="B18" s="210" t="s">
        <v>243</v>
      </c>
      <c r="C18" s="211"/>
      <c r="D18" s="212"/>
    </row>
    <row r="19" spans="1:4" ht="18" customHeight="1">
      <c r="A19" s="213" t="s">
        <v>21</v>
      </c>
      <c r="B19" s="210" t="s">
        <v>244</v>
      </c>
      <c r="C19" s="211"/>
      <c r="D19" s="212"/>
    </row>
    <row r="20" spans="1:4" ht="18" customHeight="1">
      <c r="A20" s="209" t="s">
        <v>22</v>
      </c>
      <c r="B20" s="188"/>
      <c r="C20" s="211"/>
      <c r="D20" s="212"/>
    </row>
    <row r="21" spans="1:4" ht="18" customHeight="1">
      <c r="A21" s="213" t="s">
        <v>23</v>
      </c>
      <c r="B21" s="188"/>
      <c r="C21" s="211"/>
      <c r="D21" s="212"/>
    </row>
    <row r="22" spans="1:4" ht="18" customHeight="1">
      <c r="A22" s="209" t="s">
        <v>24</v>
      </c>
      <c r="B22" s="188"/>
      <c r="C22" s="211"/>
      <c r="D22" s="212"/>
    </row>
    <row r="23" spans="1:4" ht="18" customHeight="1">
      <c r="A23" s="213" t="s">
        <v>25</v>
      </c>
      <c r="B23" s="188"/>
      <c r="C23" s="211"/>
      <c r="D23" s="212"/>
    </row>
    <row r="24" spans="1:4" ht="18" customHeight="1">
      <c r="A24" s="209" t="s">
        <v>26</v>
      </c>
      <c r="B24" s="188"/>
      <c r="C24" s="211"/>
      <c r="D24" s="212"/>
    </row>
    <row r="25" spans="1:4" ht="18" customHeight="1">
      <c r="A25" s="213" t="s">
        <v>27</v>
      </c>
      <c r="B25" s="188"/>
      <c r="C25" s="211"/>
      <c r="D25" s="212"/>
    </row>
    <row r="26" spans="1:4" ht="18" customHeight="1">
      <c r="A26" s="209" t="s">
        <v>28</v>
      </c>
      <c r="B26" s="188"/>
      <c r="C26" s="211"/>
      <c r="D26" s="212"/>
    </row>
    <row r="27" spans="1:4" ht="18" customHeight="1">
      <c r="A27" s="213" t="s">
        <v>29</v>
      </c>
      <c r="B27" s="188"/>
      <c r="C27" s="211"/>
      <c r="D27" s="212"/>
    </row>
    <row r="28" spans="1:4" ht="18" customHeight="1" thickBot="1">
      <c r="A28" s="215" t="s">
        <v>30</v>
      </c>
      <c r="B28" s="194"/>
      <c r="C28" s="216"/>
      <c r="D28" s="217"/>
    </row>
    <row r="29" spans="1:4" ht="18" customHeight="1" thickBot="1">
      <c r="A29" s="307" t="s">
        <v>31</v>
      </c>
      <c r="B29" s="308" t="s">
        <v>39</v>
      </c>
      <c r="C29" s="309">
        <f>+C4+C5+C6+C7+C8+C15+C16+C17+C18+C19+C20+C21+C22+C23+C24+C25+C26+C27+C28</f>
        <v>0</v>
      </c>
      <c r="D29" s="310">
        <f>+D4+D5+D6+D7+D8+D15+D16+D17+D18+D19+D20+D21+D22+D23+D24+D25+D26+D27+D28</f>
        <v>567</v>
      </c>
    </row>
    <row r="30" spans="1:4" ht="25.5" customHeight="1">
      <c r="A30" s="218"/>
      <c r="B30" s="863" t="s">
        <v>245</v>
      </c>
      <c r="C30" s="863"/>
      <c r="D30" s="863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 /2018. (V.30.)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3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625" style="8" customWidth="1"/>
    <col min="2" max="2" width="36.00390625" style="8" customWidth="1"/>
    <col min="3" max="3" width="20.875" style="8" customWidth="1"/>
    <col min="4" max="4" width="12.875" style="8" hidden="1" customWidth="1"/>
    <col min="5" max="5" width="12.875" style="8" customWidth="1"/>
    <col min="6" max="16384" width="9.375" style="8" customWidth="1"/>
  </cols>
  <sheetData>
    <row r="1" spans="3:5" ht="14.25" thickBot="1">
      <c r="C1" s="220"/>
      <c r="D1" s="220"/>
      <c r="E1" s="220" t="s">
        <v>208</v>
      </c>
    </row>
    <row r="2" spans="1:5" ht="42.75" customHeight="1" thickBot="1">
      <c r="A2" s="221" t="s">
        <v>59</v>
      </c>
      <c r="B2" s="222" t="s">
        <v>246</v>
      </c>
      <c r="C2" s="222" t="s">
        <v>247</v>
      </c>
      <c r="D2" s="223" t="s">
        <v>248</v>
      </c>
      <c r="E2" s="224" t="s">
        <v>249</v>
      </c>
    </row>
    <row r="3" spans="1:5" ht="15.75" customHeight="1">
      <c r="A3" s="225" t="s">
        <v>6</v>
      </c>
      <c r="B3" s="687" t="s">
        <v>823</v>
      </c>
      <c r="C3" s="687" t="s">
        <v>824</v>
      </c>
      <c r="D3" s="740"/>
      <c r="E3" s="742">
        <v>90</v>
      </c>
    </row>
    <row r="4" spans="1:5" ht="15.75" customHeight="1">
      <c r="A4" s="226" t="s">
        <v>7</v>
      </c>
      <c r="B4" s="688" t="s">
        <v>825</v>
      </c>
      <c r="C4" s="688" t="s">
        <v>824</v>
      </c>
      <c r="D4" s="741"/>
      <c r="E4" s="743">
        <v>1900</v>
      </c>
    </row>
    <row r="5" spans="1:5" ht="15.75" customHeight="1">
      <c r="A5" s="226" t="s">
        <v>8</v>
      </c>
      <c r="B5" s="688" t="s">
        <v>826</v>
      </c>
      <c r="C5" s="688" t="s">
        <v>824</v>
      </c>
      <c r="D5" s="741"/>
      <c r="E5" s="743">
        <v>600</v>
      </c>
    </row>
    <row r="6" spans="1:5" ht="15.75" customHeight="1">
      <c r="A6" s="226" t="s">
        <v>9</v>
      </c>
      <c r="B6" s="688" t="s">
        <v>827</v>
      </c>
      <c r="C6" s="688" t="s">
        <v>824</v>
      </c>
      <c r="D6" s="741"/>
      <c r="E6" s="743">
        <v>150</v>
      </c>
    </row>
    <row r="7" spans="1:5" ht="15.75" customHeight="1">
      <c r="A7" s="226" t="s">
        <v>10</v>
      </c>
      <c r="B7" s="688" t="s">
        <v>828</v>
      </c>
      <c r="C7" s="688" t="s">
        <v>824</v>
      </c>
      <c r="D7" s="741"/>
      <c r="E7" s="743">
        <v>100</v>
      </c>
    </row>
    <row r="8" spans="1:5" ht="15.75" customHeight="1">
      <c r="A8" s="226" t="s">
        <v>11</v>
      </c>
      <c r="B8" s="688" t="s">
        <v>829</v>
      </c>
      <c r="C8" s="688" t="s">
        <v>824</v>
      </c>
      <c r="D8" s="741"/>
      <c r="E8" s="743">
        <v>450</v>
      </c>
    </row>
    <row r="9" spans="1:5" ht="15.75" customHeight="1">
      <c r="A9" s="226" t="s">
        <v>12</v>
      </c>
      <c r="B9" s="227" t="s">
        <v>897</v>
      </c>
      <c r="C9" s="688" t="s">
        <v>824</v>
      </c>
      <c r="D9" s="741"/>
      <c r="E9" s="743">
        <v>60</v>
      </c>
    </row>
    <row r="10" spans="1:5" ht="15.75" customHeight="1">
      <c r="A10" s="226" t="s">
        <v>13</v>
      </c>
      <c r="B10" s="688" t="s">
        <v>830</v>
      </c>
      <c r="C10" s="688" t="s">
        <v>824</v>
      </c>
      <c r="D10" s="741"/>
      <c r="E10" s="743">
        <v>80</v>
      </c>
    </row>
    <row r="11" spans="1:5" ht="15.75" customHeight="1">
      <c r="A11" s="226" t="s">
        <v>14</v>
      </c>
      <c r="B11" s="688" t="s">
        <v>831</v>
      </c>
      <c r="C11" s="688" t="s">
        <v>824</v>
      </c>
      <c r="D11" s="741"/>
      <c r="E11" s="743">
        <v>340</v>
      </c>
    </row>
    <row r="12" spans="1:5" ht="15.75" customHeight="1">
      <c r="A12" s="226" t="s">
        <v>15</v>
      </c>
      <c r="B12" s="688" t="s">
        <v>832</v>
      </c>
      <c r="C12" s="688" t="s">
        <v>824</v>
      </c>
      <c r="D12" s="741"/>
      <c r="E12" s="743">
        <v>300</v>
      </c>
    </row>
    <row r="13" spans="1:5" ht="15.75" customHeight="1">
      <c r="A13" s="226" t="s">
        <v>16</v>
      </c>
      <c r="B13" s="227" t="s">
        <v>927</v>
      </c>
      <c r="C13" s="688" t="s">
        <v>824</v>
      </c>
      <c r="D13" s="741"/>
      <c r="E13" s="743">
        <v>55</v>
      </c>
    </row>
    <row r="14" spans="1:5" ht="15.75" customHeight="1">
      <c r="A14" s="226" t="s">
        <v>17</v>
      </c>
      <c r="B14" s="227" t="s">
        <v>928</v>
      </c>
      <c r="C14" s="227" t="s">
        <v>824</v>
      </c>
      <c r="D14" s="228"/>
      <c r="E14" s="743">
        <v>50</v>
      </c>
    </row>
    <row r="15" spans="1:5" ht="15.75" customHeight="1">
      <c r="A15" s="226" t="s">
        <v>18</v>
      </c>
      <c r="B15" s="227"/>
      <c r="C15" s="227"/>
      <c r="D15" s="228"/>
      <c r="E15" s="229"/>
    </row>
    <row r="16" spans="1:5" ht="15.75" customHeight="1">
      <c r="A16" s="226" t="s">
        <v>19</v>
      </c>
      <c r="B16" s="227"/>
      <c r="C16" s="227"/>
      <c r="D16" s="228"/>
      <c r="E16" s="229"/>
    </row>
    <row r="17" spans="1:5" ht="15.75" customHeight="1">
      <c r="A17" s="226" t="s">
        <v>20</v>
      </c>
      <c r="B17" s="227"/>
      <c r="C17" s="227"/>
      <c r="D17" s="228"/>
      <c r="E17" s="229"/>
    </row>
    <row r="18" spans="1:5" ht="15.75" customHeight="1">
      <c r="A18" s="226" t="s">
        <v>21</v>
      </c>
      <c r="B18" s="227"/>
      <c r="C18" s="227"/>
      <c r="D18" s="228"/>
      <c r="E18" s="229"/>
    </row>
    <row r="19" spans="1:5" ht="15.75" customHeight="1">
      <c r="A19" s="226" t="s">
        <v>22</v>
      </c>
      <c r="B19" s="227"/>
      <c r="C19" s="227"/>
      <c r="D19" s="228"/>
      <c r="E19" s="229"/>
    </row>
    <row r="20" spans="1:5" ht="15.75" customHeight="1">
      <c r="A20" s="226" t="s">
        <v>23</v>
      </c>
      <c r="B20" s="227"/>
      <c r="C20" s="227"/>
      <c r="D20" s="228"/>
      <c r="E20" s="229"/>
    </row>
    <row r="21" spans="1:5" ht="15.75" customHeight="1">
      <c r="A21" s="226" t="s">
        <v>24</v>
      </c>
      <c r="B21" s="227"/>
      <c r="C21" s="227"/>
      <c r="D21" s="228"/>
      <c r="E21" s="229"/>
    </row>
    <row r="22" spans="1:5" ht="15.75" customHeight="1">
      <c r="A22" s="226" t="s">
        <v>25</v>
      </c>
      <c r="B22" s="227"/>
      <c r="C22" s="227"/>
      <c r="D22" s="228"/>
      <c r="E22" s="229"/>
    </row>
    <row r="23" spans="1:5" ht="15.75" customHeight="1">
      <c r="A23" s="226" t="s">
        <v>26</v>
      </c>
      <c r="B23" s="227"/>
      <c r="C23" s="227"/>
      <c r="D23" s="228"/>
      <c r="E23" s="229"/>
    </row>
    <row r="24" spans="1:5" ht="15.75" customHeight="1">
      <c r="A24" s="226" t="s">
        <v>27</v>
      </c>
      <c r="B24" s="227"/>
      <c r="C24" s="227"/>
      <c r="D24" s="228"/>
      <c r="E24" s="229"/>
    </row>
    <row r="25" spans="1:5" ht="15.75" customHeight="1">
      <c r="A25" s="226" t="s">
        <v>28</v>
      </c>
      <c r="B25" s="227"/>
      <c r="C25" s="227"/>
      <c r="D25" s="228"/>
      <c r="E25" s="229"/>
    </row>
    <row r="26" spans="1:5" ht="15.75" customHeight="1">
      <c r="A26" s="226" t="s">
        <v>29</v>
      </c>
      <c r="B26" s="227"/>
      <c r="C26" s="227"/>
      <c r="D26" s="228"/>
      <c r="E26" s="229"/>
    </row>
    <row r="27" spans="1:5" ht="15.75" customHeight="1">
      <c r="A27" s="226" t="s">
        <v>30</v>
      </c>
      <c r="B27" s="227"/>
      <c r="C27" s="227"/>
      <c r="D27" s="228"/>
      <c r="E27" s="229"/>
    </row>
    <row r="28" spans="1:5" ht="15.75" customHeight="1">
      <c r="A28" s="226" t="s">
        <v>31</v>
      </c>
      <c r="B28" s="227"/>
      <c r="C28" s="227"/>
      <c r="D28" s="228"/>
      <c r="E28" s="229"/>
    </row>
    <row r="29" spans="1:5" ht="15.75" customHeight="1">
      <c r="A29" s="226" t="s">
        <v>32</v>
      </c>
      <c r="B29" s="227"/>
      <c r="C29" s="227"/>
      <c r="D29" s="228"/>
      <c r="E29" s="229"/>
    </row>
    <row r="30" spans="1:5" ht="15.75" customHeight="1">
      <c r="A30" s="226" t="s">
        <v>33</v>
      </c>
      <c r="B30" s="227"/>
      <c r="C30" s="227"/>
      <c r="D30" s="228"/>
      <c r="E30" s="229"/>
    </row>
    <row r="31" spans="1:5" ht="15.75" customHeight="1">
      <c r="A31" s="226" t="s">
        <v>34</v>
      </c>
      <c r="B31" s="227"/>
      <c r="C31" s="227"/>
      <c r="D31" s="228"/>
      <c r="E31" s="229"/>
    </row>
    <row r="32" spans="1:5" ht="15.75" customHeight="1">
      <c r="A32" s="226" t="s">
        <v>91</v>
      </c>
      <c r="B32" s="227"/>
      <c r="C32" s="227"/>
      <c r="D32" s="228"/>
      <c r="E32" s="229"/>
    </row>
    <row r="33" spans="1:5" ht="15.75" customHeight="1">
      <c r="A33" s="226" t="s">
        <v>189</v>
      </c>
      <c r="B33" s="227"/>
      <c r="C33" s="227"/>
      <c r="D33" s="228"/>
      <c r="E33" s="229"/>
    </row>
    <row r="34" spans="1:5" ht="15.75" customHeight="1" thickBot="1">
      <c r="A34" s="226" t="s">
        <v>250</v>
      </c>
      <c r="B34" s="230"/>
      <c r="C34" s="230"/>
      <c r="D34" s="231"/>
      <c r="E34" s="232"/>
    </row>
    <row r="35" spans="1:5" ht="15.75" customHeight="1" thickBot="1">
      <c r="A35" s="864" t="s">
        <v>39</v>
      </c>
      <c r="B35" s="865"/>
      <c r="C35" s="233"/>
      <c r="D35" s="234">
        <f>SUM(D3:D34)</f>
        <v>0</v>
      </c>
      <c r="E35" s="235">
        <f>SUM(E3:E34)</f>
        <v>4175</v>
      </c>
    </row>
  </sheetData>
  <sheetProtection/>
  <mergeCells count="1">
    <mergeCell ref="A35:B35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 6/2018. (V.30.)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zoomScalePageLayoutView="0" workbookViewId="0" topLeftCell="A1">
      <selection activeCell="G6" sqref="G6"/>
    </sheetView>
  </sheetViews>
  <sheetFormatPr defaultColWidth="12.00390625" defaultRowHeight="12.75"/>
  <cols>
    <col min="1" max="1" width="67.125" style="627" customWidth="1"/>
    <col min="2" max="2" width="6.125" style="628" customWidth="1"/>
    <col min="3" max="3" width="14.00390625" style="627" customWidth="1"/>
    <col min="4" max="4" width="13.50390625" style="627" customWidth="1"/>
    <col min="5" max="5" width="12.125" style="651" hidden="1" customWidth="1"/>
    <col min="6" max="16384" width="12.00390625" style="627" customWidth="1"/>
  </cols>
  <sheetData>
    <row r="1" spans="1:5" ht="49.5" customHeight="1">
      <c r="A1" s="866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867"/>
      <c r="C1" s="867"/>
      <c r="D1" s="867"/>
      <c r="E1" s="867"/>
    </row>
    <row r="2" spans="3:5" ht="16.5" thickBot="1">
      <c r="C2" s="871" t="s">
        <v>885</v>
      </c>
      <c r="D2" s="871"/>
      <c r="E2" s="871"/>
    </row>
    <row r="3" spans="1:5" ht="15.75" customHeight="1">
      <c r="A3" s="872" t="s">
        <v>252</v>
      </c>
      <c r="B3" s="877" t="s">
        <v>253</v>
      </c>
      <c r="C3" s="875" t="s">
        <v>254</v>
      </c>
      <c r="D3" s="875" t="s">
        <v>255</v>
      </c>
      <c r="E3" s="880" t="s">
        <v>256</v>
      </c>
    </row>
    <row r="4" spans="1:5" ht="11.25" customHeight="1">
      <c r="A4" s="873"/>
      <c r="B4" s="878"/>
      <c r="C4" s="876"/>
      <c r="D4" s="876"/>
      <c r="E4" s="881"/>
    </row>
    <row r="5" spans="1:5" ht="15.75">
      <c r="A5" s="874"/>
      <c r="B5" s="879"/>
      <c r="C5" s="868" t="s">
        <v>257</v>
      </c>
      <c r="D5" s="868"/>
      <c r="E5" s="869"/>
    </row>
    <row r="6" spans="1:5" s="632" customFormat="1" ht="16.5" thickBot="1">
      <c r="A6" s="629" t="s">
        <v>662</v>
      </c>
      <c r="B6" s="630" t="s">
        <v>428</v>
      </c>
      <c r="C6" s="630" t="s">
        <v>429</v>
      </c>
      <c r="D6" s="630" t="s">
        <v>430</v>
      </c>
      <c r="E6" s="631" t="s">
        <v>431</v>
      </c>
    </row>
    <row r="7" spans="1:5" s="636" customFormat="1" ht="15.75">
      <c r="A7" s="633" t="s">
        <v>602</v>
      </c>
      <c r="B7" s="634" t="s">
        <v>258</v>
      </c>
      <c r="C7" s="755">
        <f>16242597+162110</f>
        <v>16404707</v>
      </c>
      <c r="D7" s="755">
        <f>4989983+39717</f>
        <v>5029700</v>
      </c>
      <c r="E7" s="635"/>
    </row>
    <row r="8" spans="1:5" s="636" customFormat="1" ht="15.75">
      <c r="A8" s="637" t="s">
        <v>603</v>
      </c>
      <c r="B8" s="250" t="s">
        <v>259</v>
      </c>
      <c r="C8" s="638">
        <f>+C9+C14+C19+C24+C29</f>
        <v>1109175501</v>
      </c>
      <c r="D8" s="638">
        <f>+D9+D14+D19+D24+D29</f>
        <v>794157270</v>
      </c>
      <c r="E8" s="639">
        <f>+E9+E14+E19+E24+E29</f>
        <v>0</v>
      </c>
    </row>
    <row r="9" spans="1:5" s="636" customFormat="1" ht="15.75">
      <c r="A9" s="637" t="s">
        <v>604</v>
      </c>
      <c r="B9" s="250" t="s">
        <v>260</v>
      </c>
      <c r="C9" s="638">
        <f>+C10+C11+C12+C13</f>
        <v>1008027135</v>
      </c>
      <c r="D9" s="638">
        <f>+D10+D11+D12+D13</f>
        <v>759216663</v>
      </c>
      <c r="E9" s="639">
        <f>+E10+E11+E12+E13</f>
        <v>0</v>
      </c>
    </row>
    <row r="10" spans="1:5" s="636" customFormat="1" ht="15.75">
      <c r="A10" s="640" t="s">
        <v>605</v>
      </c>
      <c r="B10" s="250" t="s">
        <v>261</v>
      </c>
      <c r="C10" s="237">
        <f>18823158+15684+100000+227821917+2092000</f>
        <v>248852759</v>
      </c>
      <c r="D10" s="237">
        <f>18823158+15684+100000+167522618+1459671</f>
        <v>187921131</v>
      </c>
      <c r="E10" s="641"/>
    </row>
    <row r="11" spans="1:5" s="636" customFormat="1" ht="26.25" customHeight="1">
      <c r="A11" s="640" t="s">
        <v>606</v>
      </c>
      <c r="B11" s="250" t="s">
        <v>262</v>
      </c>
      <c r="C11" s="237"/>
      <c r="D11" s="237"/>
      <c r="E11" s="238"/>
    </row>
    <row r="12" spans="1:5" s="636" customFormat="1" ht="22.5">
      <c r="A12" s="640" t="s">
        <v>607</v>
      </c>
      <c r="B12" s="250" t="s">
        <v>263</v>
      </c>
      <c r="C12" s="237">
        <f>4683000+4194000+290441866+363894+3893326+23800+21570758+6171000+387018908</f>
        <v>718360552</v>
      </c>
      <c r="D12" s="237">
        <f>4683000+4194000+238799794+3893326+23800+15248423+4662065+263909044</f>
        <v>535413452</v>
      </c>
      <c r="E12" s="238"/>
    </row>
    <row r="13" spans="1:5" s="636" customFormat="1" ht="15.75">
      <c r="A13" s="640" t="s">
        <v>608</v>
      </c>
      <c r="B13" s="250" t="s">
        <v>264</v>
      </c>
      <c r="C13" s="237">
        <f>5264310+3204500+4139782+11076235+15225405+161600+1741992</f>
        <v>40813824</v>
      </c>
      <c r="D13" s="237">
        <f>5264310+3204500+4139782+8882185+12901423+161600+1328280</f>
        <v>35882080</v>
      </c>
      <c r="E13" s="238"/>
    </row>
    <row r="14" spans="1:5" s="636" customFormat="1" ht="15.75">
      <c r="A14" s="637" t="s">
        <v>609</v>
      </c>
      <c r="B14" s="250" t="s">
        <v>265</v>
      </c>
      <c r="C14" s="752">
        <f>+C15+C16+C17+C18</f>
        <v>99776452</v>
      </c>
      <c r="D14" s="752">
        <f>+D15+D16+D17+D18</f>
        <v>33568693</v>
      </c>
      <c r="E14" s="643">
        <f>+E15+E16+E17+E18</f>
        <v>0</v>
      </c>
    </row>
    <row r="15" spans="1:5" s="636" customFormat="1" ht="15.75">
      <c r="A15" s="640" t="s">
        <v>610</v>
      </c>
      <c r="B15" s="250" t="s">
        <v>266</v>
      </c>
      <c r="C15" s="237">
        <v>510500</v>
      </c>
      <c r="D15" s="237">
        <v>0</v>
      </c>
      <c r="E15" s="238"/>
    </row>
    <row r="16" spans="1:5" s="636" customFormat="1" ht="22.5">
      <c r="A16" s="640" t="s">
        <v>611</v>
      </c>
      <c r="B16" s="250" t="s">
        <v>15</v>
      </c>
      <c r="C16" s="237"/>
      <c r="D16" s="237"/>
      <c r="E16" s="238"/>
    </row>
    <row r="17" spans="1:5" s="636" customFormat="1" ht="15.75">
      <c r="A17" s="640" t="s">
        <v>612</v>
      </c>
      <c r="B17" s="250" t="s">
        <v>16</v>
      </c>
      <c r="C17" s="237">
        <f>706800+2698311+32521223+1589208+885000+9840000+87500+3436000</f>
        <v>51764042</v>
      </c>
      <c r="D17" s="237">
        <f>675633+19232935+885000+3105666+2389595</f>
        <v>26288829</v>
      </c>
      <c r="E17" s="238"/>
    </row>
    <row r="18" spans="1:5" s="636" customFormat="1" ht="15.75">
      <c r="A18" s="640" t="s">
        <v>613</v>
      </c>
      <c r="B18" s="250" t="s">
        <v>17</v>
      </c>
      <c r="C18" s="237">
        <f>1411599+1136108+2468163+4707422+2627403+16126009+4935606+12996693+577000+293857+222050</f>
        <v>47501910</v>
      </c>
      <c r="D18" s="237">
        <f>1001129+3257913+3020822</f>
        <v>7279864</v>
      </c>
      <c r="E18" s="238"/>
    </row>
    <row r="19" spans="1:5" s="636" customFormat="1" ht="15.75">
      <c r="A19" s="637" t="s">
        <v>614</v>
      </c>
      <c r="B19" s="250" t="s">
        <v>18</v>
      </c>
      <c r="C19" s="642">
        <f>+C20+C21+C22+C23</f>
        <v>0</v>
      </c>
      <c r="D19" s="642">
        <f>+D20+D21+D22+D23</f>
        <v>0</v>
      </c>
      <c r="E19" s="643">
        <f>+E20+E21+E22+E23</f>
        <v>0</v>
      </c>
    </row>
    <row r="20" spans="1:5" s="636" customFormat="1" ht="15.75">
      <c r="A20" s="640" t="s">
        <v>615</v>
      </c>
      <c r="B20" s="250" t="s">
        <v>19</v>
      </c>
      <c r="C20" s="237"/>
      <c r="D20" s="237"/>
      <c r="E20" s="238"/>
    </row>
    <row r="21" spans="1:5" s="636" customFormat="1" ht="15.75">
      <c r="A21" s="640" t="s">
        <v>616</v>
      </c>
      <c r="B21" s="250" t="s">
        <v>20</v>
      </c>
      <c r="C21" s="237"/>
      <c r="D21" s="237"/>
      <c r="E21" s="238"/>
    </row>
    <row r="22" spans="1:5" s="636" customFormat="1" ht="15.75">
      <c r="A22" s="640" t="s">
        <v>617</v>
      </c>
      <c r="B22" s="250" t="s">
        <v>21</v>
      </c>
      <c r="C22" s="237"/>
      <c r="D22" s="237"/>
      <c r="E22" s="238"/>
    </row>
    <row r="23" spans="1:5" s="636" customFormat="1" ht="15.75">
      <c r="A23" s="640" t="s">
        <v>618</v>
      </c>
      <c r="B23" s="250" t="s">
        <v>22</v>
      </c>
      <c r="C23" s="237"/>
      <c r="D23" s="237"/>
      <c r="E23" s="238"/>
    </row>
    <row r="24" spans="1:5" s="636" customFormat="1" ht="15.75">
      <c r="A24" s="637" t="s">
        <v>619</v>
      </c>
      <c r="B24" s="250" t="s">
        <v>23</v>
      </c>
      <c r="C24" s="752">
        <f>+C25+C26+C27+C28</f>
        <v>1371914</v>
      </c>
      <c r="D24" s="752">
        <f>+D25+D26+D27+D28</f>
        <v>1371914</v>
      </c>
      <c r="E24" s="643">
        <f>+E25+E26+E27+E28</f>
        <v>0</v>
      </c>
    </row>
    <row r="25" spans="1:5" s="636" customFormat="1" ht="15.75">
      <c r="A25" s="640" t="s">
        <v>620</v>
      </c>
      <c r="B25" s="250" t="s">
        <v>24</v>
      </c>
      <c r="C25" s="237">
        <v>1371914</v>
      </c>
      <c r="D25" s="237">
        <v>1371914</v>
      </c>
      <c r="E25" s="238"/>
    </row>
    <row r="26" spans="1:5" s="636" customFormat="1" ht="15.75">
      <c r="A26" s="640" t="s">
        <v>621</v>
      </c>
      <c r="B26" s="250" t="s">
        <v>25</v>
      </c>
      <c r="C26" s="237"/>
      <c r="D26" s="237"/>
      <c r="E26" s="238"/>
    </row>
    <row r="27" spans="1:5" s="636" customFormat="1" ht="15.75">
      <c r="A27" s="640" t="s">
        <v>622</v>
      </c>
      <c r="B27" s="250" t="s">
        <v>26</v>
      </c>
      <c r="C27" s="237"/>
      <c r="D27" s="237"/>
      <c r="E27" s="238"/>
    </row>
    <row r="28" spans="1:5" s="636" customFormat="1" ht="15.75">
      <c r="A28" s="640" t="s">
        <v>623</v>
      </c>
      <c r="B28" s="250" t="s">
        <v>27</v>
      </c>
      <c r="C28" s="237"/>
      <c r="D28" s="237"/>
      <c r="E28" s="238"/>
    </row>
    <row r="29" spans="1:5" s="636" customFormat="1" ht="15.75">
      <c r="A29" s="637" t="s">
        <v>624</v>
      </c>
      <c r="B29" s="250" t="s">
        <v>28</v>
      </c>
      <c r="C29" s="642">
        <f>+C30+C31+C32+C33</f>
        <v>0</v>
      </c>
      <c r="D29" s="642">
        <f>+D30+D31+D32+D33</f>
        <v>0</v>
      </c>
      <c r="E29" s="643">
        <f>+E30+E31+E32+E33</f>
        <v>0</v>
      </c>
    </row>
    <row r="30" spans="1:5" s="636" customFormat="1" ht="15.75">
      <c r="A30" s="640" t="s">
        <v>625</v>
      </c>
      <c r="B30" s="250" t="s">
        <v>29</v>
      </c>
      <c r="C30" s="237"/>
      <c r="D30" s="237"/>
      <c r="E30" s="238"/>
    </row>
    <row r="31" spans="1:5" s="636" customFormat="1" ht="22.5">
      <c r="A31" s="640" t="s">
        <v>626</v>
      </c>
      <c r="B31" s="250" t="s">
        <v>30</v>
      </c>
      <c r="C31" s="237"/>
      <c r="D31" s="237"/>
      <c r="E31" s="238"/>
    </row>
    <row r="32" spans="1:5" s="636" customFormat="1" ht="15.75">
      <c r="A32" s="640" t="s">
        <v>627</v>
      </c>
      <c r="B32" s="250" t="s">
        <v>31</v>
      </c>
      <c r="C32" s="237"/>
      <c r="D32" s="237"/>
      <c r="E32" s="238"/>
    </row>
    <row r="33" spans="1:5" s="636" customFormat="1" ht="15.75">
      <c r="A33" s="640" t="s">
        <v>628</v>
      </c>
      <c r="B33" s="250" t="s">
        <v>32</v>
      </c>
      <c r="C33" s="237"/>
      <c r="D33" s="237"/>
      <c r="E33" s="238"/>
    </row>
    <row r="34" spans="1:5" s="636" customFormat="1" ht="15.75">
      <c r="A34" s="637" t="s">
        <v>629</v>
      </c>
      <c r="B34" s="250" t="s">
        <v>33</v>
      </c>
      <c r="C34" s="642">
        <f>+C35+C40+C45</f>
        <v>4100000</v>
      </c>
      <c r="D34" s="642">
        <f>+D35+D40+D45</f>
        <v>4100000</v>
      </c>
      <c r="E34" s="643">
        <f>+E35+E40+E45</f>
        <v>0</v>
      </c>
    </row>
    <row r="35" spans="1:5" s="636" customFormat="1" ht="15.75">
      <c r="A35" s="637" t="s">
        <v>630</v>
      </c>
      <c r="B35" s="250" t="s">
        <v>34</v>
      </c>
      <c r="C35" s="752">
        <f>+C36+C37+C38+C39</f>
        <v>4100000</v>
      </c>
      <c r="D35" s="752">
        <f>+D36+D37+D38+D39</f>
        <v>4100000</v>
      </c>
      <c r="E35" s="643">
        <f>+E36+E37+E38+E39</f>
        <v>0</v>
      </c>
    </row>
    <row r="36" spans="1:5" s="636" customFormat="1" ht="15.75">
      <c r="A36" s="640" t="s">
        <v>631</v>
      </c>
      <c r="B36" s="250" t="s">
        <v>91</v>
      </c>
      <c r="C36" s="237"/>
      <c r="D36" s="237"/>
      <c r="E36" s="238"/>
    </row>
    <row r="37" spans="1:5" s="636" customFormat="1" ht="15.75">
      <c r="A37" s="640" t="s">
        <v>632</v>
      </c>
      <c r="B37" s="250" t="s">
        <v>189</v>
      </c>
      <c r="C37" s="237"/>
      <c r="D37" s="237"/>
      <c r="E37" s="238"/>
    </row>
    <row r="38" spans="1:5" s="636" customFormat="1" ht="15.75">
      <c r="A38" s="640" t="s">
        <v>633</v>
      </c>
      <c r="B38" s="250" t="s">
        <v>250</v>
      </c>
      <c r="C38" s="237"/>
      <c r="D38" s="237"/>
      <c r="E38" s="238"/>
    </row>
    <row r="39" spans="1:5" s="636" customFormat="1" ht="15.75">
      <c r="A39" s="640" t="s">
        <v>634</v>
      </c>
      <c r="B39" s="250" t="s">
        <v>251</v>
      </c>
      <c r="C39" s="237">
        <v>4100000</v>
      </c>
      <c r="D39" s="237">
        <v>4100000</v>
      </c>
      <c r="E39" s="238"/>
    </row>
    <row r="40" spans="1:5" s="636" customFormat="1" ht="15.75">
      <c r="A40" s="637" t="s">
        <v>635</v>
      </c>
      <c r="B40" s="250" t="s">
        <v>267</v>
      </c>
      <c r="C40" s="642">
        <f>+C41+C42+C43+C44</f>
        <v>0</v>
      </c>
      <c r="D40" s="642">
        <f>+D41+D42+D43+D44</f>
        <v>0</v>
      </c>
      <c r="E40" s="643">
        <f>+E41+E42+E43+E44</f>
        <v>0</v>
      </c>
    </row>
    <row r="41" spans="1:5" s="636" customFormat="1" ht="15.75">
      <c r="A41" s="640" t="s">
        <v>636</v>
      </c>
      <c r="B41" s="250" t="s">
        <v>268</v>
      </c>
      <c r="C41" s="237"/>
      <c r="D41" s="237"/>
      <c r="E41" s="238"/>
    </row>
    <row r="42" spans="1:5" s="636" customFormat="1" ht="22.5">
      <c r="A42" s="640" t="s">
        <v>637</v>
      </c>
      <c r="B42" s="250" t="s">
        <v>269</v>
      </c>
      <c r="C42" s="237"/>
      <c r="D42" s="237"/>
      <c r="E42" s="238"/>
    </row>
    <row r="43" spans="1:5" s="636" customFormat="1" ht="15.75">
      <c r="A43" s="640" t="s">
        <v>638</v>
      </c>
      <c r="B43" s="250" t="s">
        <v>270</v>
      </c>
      <c r="C43" s="237"/>
      <c r="D43" s="237"/>
      <c r="E43" s="238"/>
    </row>
    <row r="44" spans="1:5" s="636" customFormat="1" ht="15.75">
      <c r="A44" s="640" t="s">
        <v>639</v>
      </c>
      <c r="B44" s="250" t="s">
        <v>271</v>
      </c>
      <c r="C44" s="237"/>
      <c r="D44" s="237"/>
      <c r="E44" s="238"/>
    </row>
    <row r="45" spans="1:5" s="636" customFormat="1" ht="15.75">
      <c r="A45" s="637" t="s">
        <v>640</v>
      </c>
      <c r="B45" s="250" t="s">
        <v>272</v>
      </c>
      <c r="C45" s="642">
        <f>+C46+C47+C48+C49</f>
        <v>0</v>
      </c>
      <c r="D45" s="642">
        <f>+D46+D47+D48+D49</f>
        <v>0</v>
      </c>
      <c r="E45" s="643">
        <f>+E46+E47+E48+E49</f>
        <v>0</v>
      </c>
    </row>
    <row r="46" spans="1:5" s="636" customFormat="1" ht="15.75">
      <c r="A46" s="640" t="s">
        <v>641</v>
      </c>
      <c r="B46" s="250" t="s">
        <v>273</v>
      </c>
      <c r="C46" s="237"/>
      <c r="D46" s="237"/>
      <c r="E46" s="238"/>
    </row>
    <row r="47" spans="1:5" s="636" customFormat="1" ht="22.5">
      <c r="A47" s="640" t="s">
        <v>642</v>
      </c>
      <c r="B47" s="250" t="s">
        <v>274</v>
      </c>
      <c r="C47" s="237"/>
      <c r="D47" s="237"/>
      <c r="E47" s="238"/>
    </row>
    <row r="48" spans="1:5" s="636" customFormat="1" ht="15.75">
      <c r="A48" s="640" t="s">
        <v>643</v>
      </c>
      <c r="B48" s="250" t="s">
        <v>275</v>
      </c>
      <c r="C48" s="237"/>
      <c r="D48" s="237"/>
      <c r="E48" s="238"/>
    </row>
    <row r="49" spans="1:5" s="636" customFormat="1" ht="15.75">
      <c r="A49" s="640" t="s">
        <v>644</v>
      </c>
      <c r="B49" s="250" t="s">
        <v>276</v>
      </c>
      <c r="C49" s="237"/>
      <c r="D49" s="237"/>
      <c r="E49" s="238"/>
    </row>
    <row r="50" spans="1:5" s="636" customFormat="1" ht="15.75">
      <c r="A50" s="637" t="s">
        <v>645</v>
      </c>
      <c r="B50" s="250" t="s">
        <v>277</v>
      </c>
      <c r="C50" s="237"/>
      <c r="D50" s="237"/>
      <c r="E50" s="238"/>
    </row>
    <row r="51" spans="1:5" s="636" customFormat="1" ht="21">
      <c r="A51" s="637" t="s">
        <v>646</v>
      </c>
      <c r="B51" s="250" t="s">
        <v>278</v>
      </c>
      <c r="C51" s="752">
        <f>+C7+C8+C34+C50</f>
        <v>1129680208</v>
      </c>
      <c r="D51" s="752">
        <f>+D7+D8+D34+D50</f>
        <v>803286970</v>
      </c>
      <c r="E51" s="643">
        <f>+E7+E8+E34+E50</f>
        <v>0</v>
      </c>
    </row>
    <row r="52" spans="1:5" s="636" customFormat="1" ht="15.75">
      <c r="A52" s="637" t="s">
        <v>647</v>
      </c>
      <c r="B52" s="250" t="s">
        <v>279</v>
      </c>
      <c r="C52" s="237">
        <v>530528</v>
      </c>
      <c r="D52" s="237">
        <v>530528</v>
      </c>
      <c r="E52" s="238"/>
    </row>
    <row r="53" spans="1:5" s="636" customFormat="1" ht="15.75">
      <c r="A53" s="637" t="s">
        <v>648</v>
      </c>
      <c r="B53" s="250" t="s">
        <v>280</v>
      </c>
      <c r="C53" s="237"/>
      <c r="D53" s="237"/>
      <c r="E53" s="238"/>
    </row>
    <row r="54" spans="1:5" s="636" customFormat="1" ht="15.75">
      <c r="A54" s="637" t="s">
        <v>649</v>
      </c>
      <c r="B54" s="250" t="s">
        <v>281</v>
      </c>
      <c r="C54" s="642">
        <f>+C52+C53</f>
        <v>530528</v>
      </c>
      <c r="D54" s="642">
        <f>+D52+D53</f>
        <v>530528</v>
      </c>
      <c r="E54" s="643">
        <f>+E52+E53</f>
        <v>0</v>
      </c>
    </row>
    <row r="55" spans="1:5" s="636" customFormat="1" ht="15.75">
      <c r="A55" s="637" t="s">
        <v>650</v>
      </c>
      <c r="B55" s="250" t="s">
        <v>282</v>
      </c>
      <c r="C55" s="237"/>
      <c r="D55" s="237"/>
      <c r="E55" s="238"/>
    </row>
    <row r="56" spans="1:5" s="636" customFormat="1" ht="15.75">
      <c r="A56" s="637" t="s">
        <v>651</v>
      </c>
      <c r="B56" s="250" t="s">
        <v>283</v>
      </c>
      <c r="C56" s="237">
        <v>0</v>
      </c>
      <c r="D56" s="237">
        <v>0</v>
      </c>
      <c r="E56" s="238"/>
    </row>
    <row r="57" spans="1:5" s="636" customFormat="1" ht="15.75">
      <c r="A57" s="637" t="s">
        <v>652</v>
      </c>
      <c r="B57" s="250" t="s">
        <v>284</v>
      </c>
      <c r="C57" s="237">
        <f>137499850+718905+876251</f>
        <v>139095006</v>
      </c>
      <c r="D57" s="237">
        <v>139095006</v>
      </c>
      <c r="E57" s="238"/>
    </row>
    <row r="58" spans="1:5" s="636" customFormat="1" ht="15.75">
      <c r="A58" s="637" t="s">
        <v>653</v>
      </c>
      <c r="B58" s="250" t="s">
        <v>285</v>
      </c>
      <c r="C58" s="237"/>
      <c r="D58" s="237">
        <v>0</v>
      </c>
      <c r="E58" s="238"/>
    </row>
    <row r="59" spans="1:5" s="636" customFormat="1" ht="15.75">
      <c r="A59" s="637" t="s">
        <v>654</v>
      </c>
      <c r="B59" s="250" t="s">
        <v>286</v>
      </c>
      <c r="C59" s="642">
        <f>+C55+C56+C57+C58</f>
        <v>139095006</v>
      </c>
      <c r="D59" s="642">
        <f>+D55+D56+D57+D58</f>
        <v>139095006</v>
      </c>
      <c r="E59" s="643">
        <f>+E55+E56+E57+E58</f>
        <v>0</v>
      </c>
    </row>
    <row r="60" spans="1:5" s="636" customFormat="1" ht="15.75">
      <c r="A60" s="637" t="s">
        <v>655</v>
      </c>
      <c r="B60" s="250" t="s">
        <v>287</v>
      </c>
      <c r="C60" s="237">
        <f>4691120+711967</f>
        <v>5403087</v>
      </c>
      <c r="D60" s="237">
        <v>5403087</v>
      </c>
      <c r="E60" s="238"/>
    </row>
    <row r="61" spans="1:5" s="636" customFormat="1" ht="15.75">
      <c r="A61" s="637" t="s">
        <v>656</v>
      </c>
      <c r="B61" s="250" t="s">
        <v>288</v>
      </c>
      <c r="C61" s="237">
        <v>0</v>
      </c>
      <c r="D61" s="237">
        <v>0</v>
      </c>
      <c r="E61" s="238"/>
    </row>
    <row r="62" spans="1:5" s="636" customFormat="1" ht="15.75">
      <c r="A62" s="637" t="s">
        <v>657</v>
      </c>
      <c r="B62" s="250" t="s">
        <v>289</v>
      </c>
      <c r="C62" s="237">
        <f>223644+189640+187042</f>
        <v>600326</v>
      </c>
      <c r="D62" s="237">
        <v>600326</v>
      </c>
      <c r="E62" s="238"/>
    </row>
    <row r="63" spans="1:5" s="636" customFormat="1" ht="15.75">
      <c r="A63" s="637" t="s">
        <v>658</v>
      </c>
      <c r="B63" s="250" t="s">
        <v>290</v>
      </c>
      <c r="C63" s="642">
        <f>+C60+C61+C62</f>
        <v>6003413</v>
      </c>
      <c r="D63" s="642">
        <f>+D60+D61+D62</f>
        <v>6003413</v>
      </c>
      <c r="E63" s="643">
        <f>+E60+E61+E62</f>
        <v>0</v>
      </c>
    </row>
    <row r="64" spans="1:5" s="636" customFormat="1" ht="15.75">
      <c r="A64" s="637" t="s">
        <v>659</v>
      </c>
      <c r="B64" s="250" t="s">
        <v>291</v>
      </c>
      <c r="C64" s="237">
        <v>0</v>
      </c>
      <c r="D64" s="237">
        <v>0</v>
      </c>
      <c r="E64" s="238"/>
    </row>
    <row r="65" spans="1:5" s="636" customFormat="1" ht="15.75">
      <c r="A65" s="637" t="s">
        <v>924</v>
      </c>
      <c r="B65" s="250" t="s">
        <v>292</v>
      </c>
      <c r="C65" s="237">
        <f>-216719-445496+391861</f>
        <v>-270354</v>
      </c>
      <c r="D65" s="237">
        <v>-270354</v>
      </c>
      <c r="E65" s="238"/>
    </row>
    <row r="66" spans="1:5" s="636" customFormat="1" ht="15.75">
      <c r="A66" s="637" t="s">
        <v>925</v>
      </c>
      <c r="B66" s="250" t="s">
        <v>293</v>
      </c>
      <c r="C66" s="642">
        <f>+C64+C65</f>
        <v>-270354</v>
      </c>
      <c r="D66" s="642">
        <f>+D64+D65</f>
        <v>-270354</v>
      </c>
      <c r="E66" s="643">
        <f>+E64+E65</f>
        <v>0</v>
      </c>
    </row>
    <row r="67" spans="1:5" s="636" customFormat="1" ht="15.75">
      <c r="A67" s="637" t="s">
        <v>660</v>
      </c>
      <c r="B67" s="250" t="s">
        <v>294</v>
      </c>
      <c r="C67" s="237"/>
      <c r="D67" s="237">
        <v>0</v>
      </c>
      <c r="E67" s="238"/>
    </row>
    <row r="68" spans="1:5" s="636" customFormat="1" ht="16.5" thickBot="1">
      <c r="A68" s="644" t="s">
        <v>661</v>
      </c>
      <c r="B68" s="254" t="s">
        <v>295</v>
      </c>
      <c r="C68" s="645">
        <f>+C51+C54+C59+C63+C66+C67</f>
        <v>1275038801</v>
      </c>
      <c r="D68" s="645">
        <f>+D51+D54+D59+D63+D66+D67</f>
        <v>948645563</v>
      </c>
      <c r="E68" s="646">
        <f>+E51+E54+E59+E63+E66+E67</f>
        <v>0</v>
      </c>
    </row>
    <row r="69" spans="1:5" ht="15.75">
      <c r="A69" s="647"/>
      <c r="C69" s="648"/>
      <c r="D69" s="648"/>
      <c r="E69" s="649"/>
    </row>
    <row r="70" spans="1:5" ht="15.75">
      <c r="A70" s="647"/>
      <c r="C70" s="648"/>
      <c r="D70" s="648"/>
      <c r="E70" s="649"/>
    </row>
    <row r="71" spans="1:5" ht="15.75">
      <c r="A71" s="650"/>
      <c r="C71" s="648"/>
      <c r="D71" s="648"/>
      <c r="E71" s="649"/>
    </row>
    <row r="72" spans="1:5" ht="15.75">
      <c r="A72" s="870"/>
      <c r="B72" s="870"/>
      <c r="C72" s="870"/>
      <c r="D72" s="870"/>
      <c r="E72" s="870"/>
    </row>
    <row r="73" spans="1:5" ht="15.75">
      <c r="A73" s="870"/>
      <c r="B73" s="870"/>
      <c r="C73" s="870"/>
      <c r="D73" s="870"/>
      <c r="E73" s="870"/>
    </row>
  </sheetData>
  <sheetProtection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67716535433072" top="1.1023622047244095" bottom="0.984251968503937" header="0.5118110236220472" footer="0.5118110236220472"/>
  <pageSetup horizontalDpi="600" verticalDpi="600" orientation="portrait" paperSize="9" scale="85" r:id="rId1"/>
  <headerFooter alignWithMargins="0">
    <oddHeader>&amp;L&amp;"Times New Roman,Félkövér dőlt"Tengelic Község Önkormányzata&amp;R&amp;"Times New Roman,Félkövér dőlt"7.1. tájékoztató tábla a 6 /2018. (V.30.) önkormányzati rendelethez</oddHeader>
    <oddFooter>&amp;C&amp;P</oddFooter>
  </headerFooter>
  <rowBreaks count="1" manualBreakCount="1">
    <brk id="44" min="1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71.125" style="242" customWidth="1"/>
    <col min="2" max="2" width="6.125" style="257" customWidth="1"/>
    <col min="3" max="3" width="18.00390625" style="652" customWidth="1"/>
    <col min="4" max="16384" width="9.375" style="652" customWidth="1"/>
  </cols>
  <sheetData>
    <row r="1" spans="1:3" ht="32.25" customHeight="1">
      <c r="A1" s="884" t="s">
        <v>296</v>
      </c>
      <c r="B1" s="884"/>
      <c r="C1" s="884"/>
    </row>
    <row r="2" spans="1:3" ht="15.75">
      <c r="A2" s="883" t="str">
        <f>+CONCATENATE(LEFT(ÖSSZEFÜGGÉSEK!A4,4),". év")</f>
        <v>2017. év</v>
      </c>
      <c r="B2" s="883"/>
      <c r="C2" s="883"/>
    </row>
    <row r="4" spans="2:3" ht="13.5" thickBot="1">
      <c r="B4" s="882" t="s">
        <v>886</v>
      </c>
      <c r="C4" s="882"/>
    </row>
    <row r="5" spans="1:3" s="243" customFormat="1" ht="31.5" customHeight="1">
      <c r="A5" s="885" t="s">
        <v>297</v>
      </c>
      <c r="B5" s="890" t="s">
        <v>253</v>
      </c>
      <c r="C5" s="888" t="s">
        <v>298</v>
      </c>
    </row>
    <row r="6" spans="1:3" s="243" customFormat="1" ht="12.75">
      <c r="A6" s="886"/>
      <c r="B6" s="891"/>
      <c r="C6" s="889"/>
    </row>
    <row r="7" spans="1:3" s="247" customFormat="1" ht="13.5" thickBot="1">
      <c r="A7" s="244" t="s">
        <v>427</v>
      </c>
      <c r="B7" s="245" t="s">
        <v>428</v>
      </c>
      <c r="C7" s="246" t="s">
        <v>429</v>
      </c>
    </row>
    <row r="8" spans="1:3" ht="15.75" customHeight="1">
      <c r="A8" s="637" t="s">
        <v>663</v>
      </c>
      <c r="B8" s="248" t="s">
        <v>258</v>
      </c>
      <c r="C8" s="249">
        <f>892691094+9357133+45106</f>
        <v>902093333</v>
      </c>
    </row>
    <row r="9" spans="1:3" ht="15.75" customHeight="1">
      <c r="A9" s="637" t="s">
        <v>664</v>
      </c>
      <c r="B9" s="250" t="s">
        <v>259</v>
      </c>
      <c r="C9" s="249">
        <v>-2500000</v>
      </c>
    </row>
    <row r="10" spans="1:3" ht="15.75" customHeight="1">
      <c r="A10" s="637" t="s">
        <v>665</v>
      </c>
      <c r="B10" s="250" t="s">
        <v>260</v>
      </c>
      <c r="C10" s="249">
        <v>49199585</v>
      </c>
    </row>
    <row r="11" spans="1:3" ht="15.75" customHeight="1">
      <c r="A11" s="637" t="s">
        <v>666</v>
      </c>
      <c r="B11" s="250" t="s">
        <v>261</v>
      </c>
      <c r="C11" s="251">
        <v>-7288010</v>
      </c>
    </row>
    <row r="12" spans="1:3" ht="15.75" customHeight="1">
      <c r="A12" s="637" t="s">
        <v>667</v>
      </c>
      <c r="B12" s="250" t="s">
        <v>262</v>
      </c>
      <c r="C12" s="251"/>
    </row>
    <row r="13" spans="1:3" ht="15.75" customHeight="1">
      <c r="A13" s="637" t="s">
        <v>668</v>
      </c>
      <c r="B13" s="250" t="s">
        <v>263</v>
      </c>
      <c r="C13" s="251">
        <v>-170056</v>
      </c>
    </row>
    <row r="14" spans="1:3" ht="15.75" customHeight="1">
      <c r="A14" s="637" t="s">
        <v>669</v>
      </c>
      <c r="B14" s="250" t="s">
        <v>264</v>
      </c>
      <c r="C14" s="252">
        <f>+C8+C9+C10+C11+C12+C13</f>
        <v>941334852</v>
      </c>
    </row>
    <row r="15" spans="1:3" ht="15.75" customHeight="1">
      <c r="A15" s="637" t="s">
        <v>737</v>
      </c>
      <c r="B15" s="250" t="s">
        <v>265</v>
      </c>
      <c r="C15" s="653">
        <v>24</v>
      </c>
    </row>
    <row r="16" spans="1:3" ht="15.75" customHeight="1">
      <c r="A16" s="637" t="s">
        <v>670</v>
      </c>
      <c r="B16" s="250" t="s">
        <v>266</v>
      </c>
      <c r="C16" s="753">
        <v>5119012</v>
      </c>
    </row>
    <row r="17" spans="1:3" ht="15.75" customHeight="1">
      <c r="A17" s="637" t="s">
        <v>671</v>
      </c>
      <c r="B17" s="250" t="s">
        <v>15</v>
      </c>
      <c r="C17" s="753">
        <v>2191675</v>
      </c>
    </row>
    <row r="18" spans="1:3" ht="15.75" customHeight="1">
      <c r="A18" s="637" t="s">
        <v>672</v>
      </c>
      <c r="B18" s="250" t="s">
        <v>16</v>
      </c>
      <c r="C18" s="252">
        <f>+C15+C16+C17</f>
        <v>7310711</v>
      </c>
    </row>
    <row r="19" spans="1:3" s="654" customFormat="1" ht="15.75" customHeight="1">
      <c r="A19" s="637" t="s">
        <v>673</v>
      </c>
      <c r="B19" s="250" t="s">
        <v>17</v>
      </c>
      <c r="C19" s="251"/>
    </row>
    <row r="20" spans="1:3" ht="15.75" customHeight="1">
      <c r="A20" s="637" t="s">
        <v>674</v>
      </c>
      <c r="B20" s="250" t="s">
        <v>18</v>
      </c>
      <c r="C20" s="251">
        <v>0</v>
      </c>
    </row>
    <row r="21" spans="1:3" ht="15.75" customHeight="1" thickBot="1">
      <c r="A21" s="253" t="s">
        <v>675</v>
      </c>
      <c r="B21" s="254" t="s">
        <v>19</v>
      </c>
      <c r="C21" s="255">
        <f>+C14+C18+C19+C20</f>
        <v>948645563</v>
      </c>
    </row>
    <row r="22" spans="1:5" ht="15.75">
      <c r="A22" s="647"/>
      <c r="B22" s="650"/>
      <c r="C22" s="648"/>
      <c r="D22" s="648"/>
      <c r="E22" s="648"/>
    </row>
    <row r="23" spans="1:5" ht="15.75">
      <c r="A23" s="647"/>
      <c r="B23" s="650"/>
      <c r="C23" s="648"/>
      <c r="D23" s="648"/>
      <c r="E23" s="648"/>
    </row>
    <row r="24" spans="1:5" ht="15.75">
      <c r="A24" s="650"/>
      <c r="B24" s="650"/>
      <c r="C24" s="648"/>
      <c r="D24" s="648"/>
      <c r="E24" s="648"/>
    </row>
    <row r="25" spans="1:5" ht="15.75">
      <c r="A25" s="887"/>
      <c r="B25" s="887"/>
      <c r="C25" s="887"/>
      <c r="D25" s="655"/>
      <c r="E25" s="655"/>
    </row>
    <row r="26" spans="1:5" ht="15.75">
      <c r="A26" s="887"/>
      <c r="B26" s="887"/>
      <c r="C26" s="887"/>
      <c r="D26" s="655"/>
      <c r="E26" s="655"/>
    </row>
  </sheetData>
  <sheetProtection/>
  <mergeCells count="8">
    <mergeCell ref="B4:C4"/>
    <mergeCell ref="A2:C2"/>
    <mergeCell ref="A1:C1"/>
    <mergeCell ref="A5:A6"/>
    <mergeCell ref="A26:C26"/>
    <mergeCell ref="A25:C25"/>
    <mergeCell ref="C5:C6"/>
    <mergeCell ref="B5:B6"/>
  </mergeCells>
  <printOptions horizontalCentered="1"/>
  <pageMargins left="0.7874015748031497" right="0.7874015748031497" top="1.2598425196850394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dőlt"Tengelic Község Önkormányzata&amp;R&amp;"Times New Roman CE,Félkövér dőlt"7.2. tájékoztató tábla a 6 /2018. (V.30.)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D11" sqref="D11"/>
    </sheetView>
  </sheetViews>
  <sheetFormatPr defaultColWidth="12.00390625" defaultRowHeight="12.75"/>
  <cols>
    <col min="1" max="1" width="58.875" style="236" customWidth="1"/>
    <col min="2" max="2" width="6.875" style="236" customWidth="1"/>
    <col min="3" max="3" width="17.125" style="236" customWidth="1"/>
    <col min="4" max="4" width="19.125" style="236" customWidth="1"/>
    <col min="5" max="16384" width="12.00390625" style="236" customWidth="1"/>
  </cols>
  <sheetData>
    <row r="1" spans="1:4" ht="48" customHeight="1">
      <c r="A1" s="893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94"/>
      <c r="C1" s="894"/>
      <c r="D1" s="894"/>
    </row>
    <row r="2" ht="16.5" thickBot="1"/>
    <row r="3" spans="1:4" ht="43.5" customHeight="1" thickBot="1">
      <c r="A3" s="659" t="s">
        <v>52</v>
      </c>
      <c r="B3" s="351" t="s">
        <v>253</v>
      </c>
      <c r="C3" s="660" t="s">
        <v>299</v>
      </c>
      <c r="D3" s="661" t="s">
        <v>887</v>
      </c>
    </row>
    <row r="4" spans="1:4" ht="16.5" thickBot="1">
      <c r="A4" s="258" t="s">
        <v>427</v>
      </c>
      <c r="B4" s="259" t="s">
        <v>428</v>
      </c>
      <c r="C4" s="259" t="s">
        <v>429</v>
      </c>
      <c r="D4" s="260" t="s">
        <v>430</v>
      </c>
    </row>
    <row r="5" spans="1:4" ht="15.75" customHeight="1">
      <c r="A5" s="269" t="s">
        <v>705</v>
      </c>
      <c r="B5" s="262" t="s">
        <v>6</v>
      </c>
      <c r="C5" s="263">
        <v>44</v>
      </c>
      <c r="D5" s="264">
        <v>21645723</v>
      </c>
    </row>
    <row r="6" spans="1:4" ht="15.75" customHeight="1">
      <c r="A6" s="269" t="s">
        <v>706</v>
      </c>
      <c r="B6" s="266" t="s">
        <v>7</v>
      </c>
      <c r="C6" s="267"/>
      <c r="D6" s="268"/>
    </row>
    <row r="7" spans="1:4" ht="15.75" customHeight="1">
      <c r="A7" s="269" t="s">
        <v>707</v>
      </c>
      <c r="B7" s="266" t="s">
        <v>8</v>
      </c>
      <c r="C7" s="267">
        <v>195</v>
      </c>
      <c r="D7" s="268">
        <v>19171172</v>
      </c>
    </row>
    <row r="8" spans="1:4" ht="15.75" customHeight="1" thickBot="1">
      <c r="A8" s="270" t="s">
        <v>708</v>
      </c>
      <c r="B8" s="271" t="s">
        <v>9</v>
      </c>
      <c r="C8" s="272"/>
      <c r="D8" s="273"/>
    </row>
    <row r="9" spans="1:4" ht="15.75" customHeight="1" thickBot="1">
      <c r="A9" s="663" t="s">
        <v>709</v>
      </c>
      <c r="B9" s="664" t="s">
        <v>10</v>
      </c>
      <c r="C9" s="665"/>
      <c r="D9" s="666">
        <f>+D10+D11+D12+D13</f>
        <v>81426938</v>
      </c>
    </row>
    <row r="10" spans="1:4" ht="15.75" customHeight="1">
      <c r="A10" s="662" t="s">
        <v>710</v>
      </c>
      <c r="B10" s="262" t="s">
        <v>11</v>
      </c>
      <c r="C10" s="263">
        <v>9</v>
      </c>
      <c r="D10" s="264">
        <v>81426938</v>
      </c>
    </row>
    <row r="11" spans="1:4" ht="15.75" customHeight="1">
      <c r="A11" s="269" t="s">
        <v>711</v>
      </c>
      <c r="B11" s="266" t="s">
        <v>12</v>
      </c>
      <c r="C11" s="267"/>
      <c r="D11" s="268"/>
    </row>
    <row r="12" spans="1:4" ht="15.75" customHeight="1">
      <c r="A12" s="269" t="s">
        <v>712</v>
      </c>
      <c r="B12" s="266" t="s">
        <v>13</v>
      </c>
      <c r="C12" s="267"/>
      <c r="D12" s="268"/>
    </row>
    <row r="13" spans="1:4" ht="15.75" customHeight="1" thickBot="1">
      <c r="A13" s="270" t="s">
        <v>713</v>
      </c>
      <c r="B13" s="271" t="s">
        <v>14</v>
      </c>
      <c r="C13" s="272"/>
      <c r="D13" s="273"/>
    </row>
    <row r="14" spans="1:4" ht="15.75" customHeight="1" thickBot="1">
      <c r="A14" s="663" t="s">
        <v>714</v>
      </c>
      <c r="B14" s="664" t="s">
        <v>15</v>
      </c>
      <c r="C14" s="665"/>
      <c r="D14" s="666">
        <f>+D15+D16+D17</f>
        <v>0</v>
      </c>
    </row>
    <row r="15" spans="1:4" ht="15.75" customHeight="1">
      <c r="A15" s="662" t="s">
        <v>715</v>
      </c>
      <c r="B15" s="262" t="s">
        <v>16</v>
      </c>
      <c r="C15" s="263"/>
      <c r="D15" s="264"/>
    </row>
    <row r="16" spans="1:4" ht="15.75" customHeight="1">
      <c r="A16" s="269" t="s">
        <v>716</v>
      </c>
      <c r="B16" s="266" t="s">
        <v>17</v>
      </c>
      <c r="C16" s="267"/>
      <c r="D16" s="268"/>
    </row>
    <row r="17" spans="1:4" ht="15.75" customHeight="1" thickBot="1">
      <c r="A17" s="270" t="s">
        <v>717</v>
      </c>
      <c r="B17" s="271" t="s">
        <v>18</v>
      </c>
      <c r="C17" s="272"/>
      <c r="D17" s="273"/>
    </row>
    <row r="18" spans="1:4" ht="15.75" customHeight="1" thickBot="1">
      <c r="A18" s="663" t="s">
        <v>723</v>
      </c>
      <c r="B18" s="664" t="s">
        <v>19</v>
      </c>
      <c r="C18" s="665"/>
      <c r="D18" s="666">
        <f>+D19+D20+D21</f>
        <v>0</v>
      </c>
    </row>
    <row r="19" spans="1:4" ht="15.75" customHeight="1">
      <c r="A19" s="662" t="s">
        <v>718</v>
      </c>
      <c r="B19" s="262" t="s">
        <v>20</v>
      </c>
      <c r="C19" s="263"/>
      <c r="D19" s="264"/>
    </row>
    <row r="20" spans="1:4" ht="15.75" customHeight="1">
      <c r="A20" s="269" t="s">
        <v>719</v>
      </c>
      <c r="B20" s="266" t="s">
        <v>21</v>
      </c>
      <c r="C20" s="267"/>
      <c r="D20" s="268"/>
    </row>
    <row r="21" spans="1:4" ht="15.75" customHeight="1">
      <c r="A21" s="269" t="s">
        <v>720</v>
      </c>
      <c r="B21" s="266" t="s">
        <v>22</v>
      </c>
      <c r="C21" s="267"/>
      <c r="D21" s="268"/>
    </row>
    <row r="22" spans="1:4" ht="15.75" customHeight="1">
      <c r="A22" s="269" t="s">
        <v>721</v>
      </c>
      <c r="B22" s="266" t="s">
        <v>23</v>
      </c>
      <c r="C22" s="267"/>
      <c r="D22" s="268"/>
    </row>
    <row r="23" spans="1:4" ht="15.75" customHeight="1">
      <c r="A23" s="269"/>
      <c r="B23" s="266" t="s">
        <v>24</v>
      </c>
      <c r="C23" s="267"/>
      <c r="D23" s="268"/>
    </row>
    <row r="24" spans="1:4" ht="15.75" customHeight="1">
      <c r="A24" s="269"/>
      <c r="B24" s="266" t="s">
        <v>25</v>
      </c>
      <c r="C24" s="267"/>
      <c r="D24" s="268"/>
    </row>
    <row r="25" spans="1:4" ht="15.75" customHeight="1">
      <c r="A25" s="269"/>
      <c r="B25" s="266" t="s">
        <v>26</v>
      </c>
      <c r="C25" s="267"/>
      <c r="D25" s="268"/>
    </row>
    <row r="26" spans="1:4" ht="15.75" customHeight="1">
      <c r="A26" s="269"/>
      <c r="B26" s="266" t="s">
        <v>27</v>
      </c>
      <c r="C26" s="267"/>
      <c r="D26" s="268"/>
    </row>
    <row r="27" spans="1:4" ht="15.75" customHeight="1">
      <c r="A27" s="269"/>
      <c r="B27" s="266" t="s">
        <v>28</v>
      </c>
      <c r="C27" s="267"/>
      <c r="D27" s="268"/>
    </row>
    <row r="28" spans="1:4" ht="15.75" customHeight="1">
      <c r="A28" s="269"/>
      <c r="B28" s="266" t="s">
        <v>29</v>
      </c>
      <c r="C28" s="267"/>
      <c r="D28" s="268"/>
    </row>
    <row r="29" spans="1:4" ht="15.75" customHeight="1">
      <c r="A29" s="269"/>
      <c r="B29" s="266" t="s">
        <v>30</v>
      </c>
      <c r="C29" s="267"/>
      <c r="D29" s="268"/>
    </row>
    <row r="30" spans="1:4" ht="15.75" customHeight="1">
      <c r="A30" s="269"/>
      <c r="B30" s="266" t="s">
        <v>31</v>
      </c>
      <c r="C30" s="267"/>
      <c r="D30" s="268"/>
    </row>
    <row r="31" spans="1:4" ht="15.75" customHeight="1">
      <c r="A31" s="269"/>
      <c r="B31" s="266" t="s">
        <v>32</v>
      </c>
      <c r="C31" s="267"/>
      <c r="D31" s="268"/>
    </row>
    <row r="32" spans="1:4" ht="15.75" customHeight="1">
      <c r="A32" s="269"/>
      <c r="B32" s="266" t="s">
        <v>33</v>
      </c>
      <c r="C32" s="267"/>
      <c r="D32" s="268"/>
    </row>
    <row r="33" spans="1:4" ht="15.75" customHeight="1">
      <c r="A33" s="269"/>
      <c r="B33" s="266" t="s">
        <v>34</v>
      </c>
      <c r="C33" s="267"/>
      <c r="D33" s="268"/>
    </row>
    <row r="34" spans="1:4" ht="15.75" customHeight="1">
      <c r="A34" s="269"/>
      <c r="B34" s="266" t="s">
        <v>91</v>
      </c>
      <c r="C34" s="267"/>
      <c r="D34" s="268"/>
    </row>
    <row r="35" spans="1:4" ht="15.75" customHeight="1">
      <c r="A35" s="269"/>
      <c r="B35" s="266" t="s">
        <v>189</v>
      </c>
      <c r="C35" s="267"/>
      <c r="D35" s="268"/>
    </row>
    <row r="36" spans="1:4" ht="15.75" customHeight="1">
      <c r="A36" s="269"/>
      <c r="B36" s="266" t="s">
        <v>250</v>
      </c>
      <c r="C36" s="267"/>
      <c r="D36" s="268"/>
    </row>
    <row r="37" spans="1:4" ht="15.75" customHeight="1" thickBot="1">
      <c r="A37" s="270"/>
      <c r="B37" s="271" t="s">
        <v>251</v>
      </c>
      <c r="C37" s="272"/>
      <c r="D37" s="273"/>
    </row>
    <row r="38" spans="1:6" ht="15.75" customHeight="1" thickBot="1">
      <c r="A38" s="895" t="s">
        <v>722</v>
      </c>
      <c r="B38" s="896"/>
      <c r="C38" s="274"/>
      <c r="D38" s="666">
        <f>+D5+D6+D7+D8+D9+D14+D18+D22+D23+D24+D25+D26+D27+D28+D29+D30+D31+D32+D33+D34+D35+D36+D37</f>
        <v>122243833</v>
      </c>
      <c r="F38" s="275"/>
    </row>
    <row r="39" ht="15.75">
      <c r="A39" s="667" t="s">
        <v>724</v>
      </c>
    </row>
    <row r="40" spans="1:4" ht="15.75">
      <c r="A40" s="239"/>
      <c r="B40" s="240"/>
      <c r="C40" s="892"/>
      <c r="D40" s="892"/>
    </row>
    <row r="41" spans="1:4" ht="15.75">
      <c r="A41" s="239"/>
      <c r="B41" s="240"/>
      <c r="C41" s="241"/>
      <c r="D41" s="241"/>
    </row>
    <row r="42" spans="1:4" ht="15.75">
      <c r="A42" s="240"/>
      <c r="B42" s="240"/>
      <c r="C42" s="892"/>
      <c r="D42" s="892"/>
    </row>
    <row r="43" spans="1:2" ht="15.75">
      <c r="A43" s="256"/>
      <c r="B43" s="256"/>
    </row>
    <row r="44" spans="1:3" ht="15.75">
      <c r="A44" s="256"/>
      <c r="B44" s="256"/>
      <c r="C44" s="256"/>
    </row>
  </sheetData>
  <sheetProtection/>
  <mergeCells count="4">
    <mergeCell ref="C40:D40"/>
    <mergeCell ref="C42:D42"/>
    <mergeCell ref="A1:D1"/>
    <mergeCell ref="A38:B38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&amp;L&amp;"Times New Roman,Félkövér dőlt"Tengelic Község Önkormányzata&amp;R&amp;"Times New Roman,Félkövér dőlt"7.3. tájékoztató tábla a 6 /2018. (V.30.)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D4" sqref="D4"/>
    </sheetView>
  </sheetViews>
  <sheetFormatPr defaultColWidth="12.00390625" defaultRowHeight="12.75"/>
  <cols>
    <col min="1" max="1" width="56.125" style="236" customWidth="1"/>
    <col min="2" max="2" width="6.875" style="236" customWidth="1"/>
    <col min="3" max="3" width="17.125" style="236" customWidth="1"/>
    <col min="4" max="4" width="19.125" style="236" customWidth="1"/>
    <col min="5" max="16384" width="12.00390625" style="236" customWidth="1"/>
  </cols>
  <sheetData>
    <row r="1" spans="1:4" ht="48.75" customHeight="1">
      <c r="A1" s="897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98"/>
      <c r="C1" s="898"/>
      <c r="D1" s="898"/>
    </row>
    <row r="2" ht="16.5" thickBot="1"/>
    <row r="3" spans="1:4" ht="64.5" thickBot="1">
      <c r="A3" s="668" t="s">
        <v>52</v>
      </c>
      <c r="B3" s="351" t="s">
        <v>253</v>
      </c>
      <c r="C3" s="669" t="s">
        <v>725</v>
      </c>
      <c r="D3" s="670" t="s">
        <v>888</v>
      </c>
    </row>
    <row r="4" spans="1:4" ht="16.5" thickBot="1">
      <c r="A4" s="276" t="s">
        <v>427</v>
      </c>
      <c r="B4" s="277" t="s">
        <v>428</v>
      </c>
      <c r="C4" s="277" t="s">
        <v>429</v>
      </c>
      <c r="D4" s="278" t="s">
        <v>430</v>
      </c>
    </row>
    <row r="5" spans="1:4" ht="15.75" customHeight="1">
      <c r="A5" s="265" t="s">
        <v>726</v>
      </c>
      <c r="B5" s="262" t="s">
        <v>6</v>
      </c>
      <c r="C5" s="263"/>
      <c r="D5" s="264"/>
    </row>
    <row r="6" spans="1:4" ht="15.75" customHeight="1">
      <c r="A6" s="265" t="s">
        <v>727</v>
      </c>
      <c r="B6" s="266" t="s">
        <v>7</v>
      </c>
      <c r="C6" s="267"/>
      <c r="D6" s="268"/>
    </row>
    <row r="7" spans="1:4" ht="15.75" customHeight="1" thickBot="1">
      <c r="A7" s="671" t="s">
        <v>728</v>
      </c>
      <c r="B7" s="271" t="s">
        <v>8</v>
      </c>
      <c r="C7" s="272"/>
      <c r="D7" s="273"/>
    </row>
    <row r="8" spans="1:4" ht="15.75" customHeight="1" thickBot="1">
      <c r="A8" s="663" t="s">
        <v>729</v>
      </c>
      <c r="B8" s="664" t="s">
        <v>9</v>
      </c>
      <c r="C8" s="665"/>
      <c r="D8" s="666">
        <f>+D5+D6+D7</f>
        <v>0</v>
      </c>
    </row>
    <row r="9" spans="1:4" ht="15.75" customHeight="1">
      <c r="A9" s="261" t="s">
        <v>730</v>
      </c>
      <c r="B9" s="262" t="s">
        <v>10</v>
      </c>
      <c r="C9" s="263"/>
      <c r="D9" s="264"/>
    </row>
    <row r="10" spans="1:4" ht="15.75" customHeight="1">
      <c r="A10" s="265" t="s">
        <v>731</v>
      </c>
      <c r="B10" s="266" t="s">
        <v>11</v>
      </c>
      <c r="C10" s="267"/>
      <c r="D10" s="268"/>
    </row>
    <row r="11" spans="1:4" ht="15.75" customHeight="1">
      <c r="A11" s="265" t="s">
        <v>732</v>
      </c>
      <c r="B11" s="266" t="s">
        <v>12</v>
      </c>
      <c r="C11" s="267"/>
      <c r="D11" s="268"/>
    </row>
    <row r="12" spans="1:4" ht="15.75" customHeight="1">
      <c r="A12" s="265" t="s">
        <v>733</v>
      </c>
      <c r="B12" s="266" t="s">
        <v>13</v>
      </c>
      <c r="C12" s="267"/>
      <c r="D12" s="268"/>
    </row>
    <row r="13" spans="1:4" ht="15.75" customHeight="1" thickBot="1">
      <c r="A13" s="671" t="s">
        <v>734</v>
      </c>
      <c r="B13" s="271" t="s">
        <v>14</v>
      </c>
      <c r="C13" s="272"/>
      <c r="D13" s="273"/>
    </row>
    <row r="14" spans="1:4" ht="15.75" customHeight="1" thickBot="1">
      <c r="A14" s="663" t="s">
        <v>735</v>
      </c>
      <c r="B14" s="664" t="s">
        <v>15</v>
      </c>
      <c r="C14" s="672"/>
      <c r="D14" s="666">
        <f>+D9+D10+D11+D12+D13</f>
        <v>0</v>
      </c>
    </row>
    <row r="15" spans="1:4" ht="15.75" customHeight="1">
      <c r="A15" s="261"/>
      <c r="B15" s="262" t="s">
        <v>16</v>
      </c>
      <c r="C15" s="263"/>
      <c r="D15" s="264"/>
    </row>
    <row r="16" spans="1:4" ht="15.75" customHeight="1">
      <c r="A16" s="265"/>
      <c r="B16" s="266" t="s">
        <v>17</v>
      </c>
      <c r="C16" s="267"/>
      <c r="D16" s="268"/>
    </row>
    <row r="17" spans="1:4" ht="15.75" customHeight="1">
      <c r="A17" s="265"/>
      <c r="B17" s="266" t="s">
        <v>18</v>
      </c>
      <c r="C17" s="267"/>
      <c r="D17" s="268"/>
    </row>
    <row r="18" spans="1:4" ht="15.75" customHeight="1">
      <c r="A18" s="265"/>
      <c r="B18" s="266" t="s">
        <v>19</v>
      </c>
      <c r="C18" s="267"/>
      <c r="D18" s="268"/>
    </row>
    <row r="19" spans="1:4" ht="15.75" customHeight="1">
      <c r="A19" s="265"/>
      <c r="B19" s="266" t="s">
        <v>20</v>
      </c>
      <c r="C19" s="267"/>
      <c r="D19" s="268"/>
    </row>
    <row r="20" spans="1:4" ht="15.75" customHeight="1">
      <c r="A20" s="265"/>
      <c r="B20" s="266" t="s">
        <v>21</v>
      </c>
      <c r="C20" s="267"/>
      <c r="D20" s="268"/>
    </row>
    <row r="21" spans="1:4" ht="15.75" customHeight="1">
      <c r="A21" s="265"/>
      <c r="B21" s="266" t="s">
        <v>22</v>
      </c>
      <c r="C21" s="267"/>
      <c r="D21" s="268"/>
    </row>
    <row r="22" spans="1:4" ht="15.75" customHeight="1">
      <c r="A22" s="265"/>
      <c r="B22" s="266" t="s">
        <v>23</v>
      </c>
      <c r="C22" s="267"/>
      <c r="D22" s="268"/>
    </row>
    <row r="23" spans="1:4" ht="15.75" customHeight="1">
      <c r="A23" s="265"/>
      <c r="B23" s="266" t="s">
        <v>24</v>
      </c>
      <c r="C23" s="267"/>
      <c r="D23" s="268"/>
    </row>
    <row r="24" spans="1:4" ht="15.75" customHeight="1">
      <c r="A24" s="265"/>
      <c r="B24" s="266" t="s">
        <v>25</v>
      </c>
      <c r="C24" s="267"/>
      <c r="D24" s="268"/>
    </row>
    <row r="25" spans="1:4" ht="15.75" customHeight="1">
      <c r="A25" s="265"/>
      <c r="B25" s="266" t="s">
        <v>26</v>
      </c>
      <c r="C25" s="267"/>
      <c r="D25" s="268"/>
    </row>
    <row r="26" spans="1:4" ht="15.75" customHeight="1">
      <c r="A26" s="265"/>
      <c r="B26" s="266" t="s">
        <v>27</v>
      </c>
      <c r="C26" s="267"/>
      <c r="D26" s="268"/>
    </row>
    <row r="27" spans="1:4" ht="15.75" customHeight="1">
      <c r="A27" s="265"/>
      <c r="B27" s="266" t="s">
        <v>28</v>
      </c>
      <c r="C27" s="267"/>
      <c r="D27" s="268"/>
    </row>
    <row r="28" spans="1:4" ht="15.75" customHeight="1">
      <c r="A28" s="265"/>
      <c r="B28" s="266" t="s">
        <v>29</v>
      </c>
      <c r="C28" s="267"/>
      <c r="D28" s="268"/>
    </row>
    <row r="29" spans="1:4" ht="15.75" customHeight="1">
      <c r="A29" s="265"/>
      <c r="B29" s="266" t="s">
        <v>30</v>
      </c>
      <c r="C29" s="267"/>
      <c r="D29" s="268"/>
    </row>
    <row r="30" spans="1:4" ht="15.75" customHeight="1">
      <c r="A30" s="265"/>
      <c r="B30" s="266" t="s">
        <v>31</v>
      </c>
      <c r="C30" s="267"/>
      <c r="D30" s="268"/>
    </row>
    <row r="31" spans="1:4" ht="15.75" customHeight="1">
      <c r="A31" s="265"/>
      <c r="B31" s="266" t="s">
        <v>32</v>
      </c>
      <c r="C31" s="267"/>
      <c r="D31" s="268"/>
    </row>
    <row r="32" spans="1:4" ht="15.75" customHeight="1">
      <c r="A32" s="265"/>
      <c r="B32" s="266" t="s">
        <v>33</v>
      </c>
      <c r="C32" s="267"/>
      <c r="D32" s="268"/>
    </row>
    <row r="33" spans="1:4" ht="15.75" customHeight="1">
      <c r="A33" s="265"/>
      <c r="B33" s="266" t="s">
        <v>34</v>
      </c>
      <c r="C33" s="267"/>
      <c r="D33" s="268"/>
    </row>
    <row r="34" spans="1:4" ht="15.75" customHeight="1">
      <c r="A34" s="265"/>
      <c r="B34" s="266" t="s">
        <v>91</v>
      </c>
      <c r="C34" s="267"/>
      <c r="D34" s="268"/>
    </row>
    <row r="35" spans="1:4" ht="15.75" customHeight="1">
      <c r="A35" s="265"/>
      <c r="B35" s="266" t="s">
        <v>189</v>
      </c>
      <c r="C35" s="267"/>
      <c r="D35" s="268"/>
    </row>
    <row r="36" spans="1:4" ht="15.75" customHeight="1">
      <c r="A36" s="265"/>
      <c r="B36" s="266" t="s">
        <v>250</v>
      </c>
      <c r="C36" s="267"/>
      <c r="D36" s="268"/>
    </row>
    <row r="37" spans="1:4" ht="15.75" customHeight="1" thickBot="1">
      <c r="A37" s="279"/>
      <c r="B37" s="280" t="s">
        <v>251</v>
      </c>
      <c r="C37" s="281"/>
      <c r="D37" s="282"/>
    </row>
    <row r="38" spans="1:6" ht="15.75" customHeight="1" thickBot="1">
      <c r="A38" s="899" t="s">
        <v>736</v>
      </c>
      <c r="B38" s="900"/>
      <c r="C38" s="274"/>
      <c r="D38" s="666">
        <f>+D8+D14+SUM(D15:D37)</f>
        <v>0</v>
      </c>
      <c r="F38" s="283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&amp;L&amp;"Times New Roman,Félkövér dőlt"Tengelic Község Önkormányzata&amp;R&amp;"Times New Roman,Félkövér dőlt"7.4. tájékoztató tábla a 6 /2018. (V.30.)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9.375" style="311" customWidth="1"/>
    <col min="2" max="2" width="58.375" style="311" customWidth="1"/>
    <col min="3" max="5" width="25.00390625" style="311" customWidth="1"/>
    <col min="6" max="6" width="5.50390625" style="311" customWidth="1"/>
    <col min="7" max="16384" width="9.375" style="311" customWidth="1"/>
  </cols>
  <sheetData>
    <row r="1" spans="1:6" ht="12.75">
      <c r="A1" s="312"/>
      <c r="F1" s="904" t="str">
        <f>+CONCATENATE("8. tájékoztató tábla a 6 /",LEFT(ÖSSZEFÜGGÉSEK!A4,4)+1,". (V.30.) önkormányzati rendelethez")</f>
        <v>8. tájékoztató tábla a 6 /2018. (V.30.) önkormányzati rendelethez</v>
      </c>
    </row>
    <row r="2" spans="1:6" ht="33" customHeight="1">
      <c r="A2" s="901" t="str">
        <f>+CONCATENATE("A Tengelic Község Önkormányzata tulajdonában álló gazdálkodó szervezetek működéséből származó",CHAR(10),"kötelezettségek és részesedések alakulása a ",LEFT(ÖSSZEFÜGGÉSEK!A4,4),". évben")</f>
        <v>A Tengelic Község Önkormányzata tulajdonában álló gazdálkodó szervezetek működéséből származó
kötelezettségek és részesedések alakulása a 2017. évben</v>
      </c>
      <c r="B2" s="901"/>
      <c r="C2" s="901"/>
      <c r="D2" s="901"/>
      <c r="E2" s="901"/>
      <c r="F2" s="904"/>
    </row>
    <row r="3" spans="1:6" ht="16.5" thickBot="1">
      <c r="A3" s="313"/>
      <c r="F3" s="904"/>
    </row>
    <row r="4" spans="1:6" ht="79.5" thickBot="1">
      <c r="A4" s="314" t="s">
        <v>253</v>
      </c>
      <c r="B4" s="315" t="s">
        <v>300</v>
      </c>
      <c r="C4" s="315" t="s">
        <v>301</v>
      </c>
      <c r="D4" s="315" t="s">
        <v>302</v>
      </c>
      <c r="E4" s="316" t="s">
        <v>303</v>
      </c>
      <c r="F4" s="904"/>
    </row>
    <row r="5" spans="1:6" ht="15.75">
      <c r="A5" s="317" t="s">
        <v>6</v>
      </c>
      <c r="B5" s="321" t="s">
        <v>872</v>
      </c>
      <c r="C5" s="324">
        <v>0.19</v>
      </c>
      <c r="D5" s="327">
        <v>3900000</v>
      </c>
      <c r="E5" s="331">
        <v>0</v>
      </c>
      <c r="F5" s="904"/>
    </row>
    <row r="6" spans="1:6" ht="15.75">
      <c r="A6" s="318" t="s">
        <v>7</v>
      </c>
      <c r="B6" s="322" t="s">
        <v>873</v>
      </c>
      <c r="C6" s="325"/>
      <c r="D6" s="328">
        <v>100000</v>
      </c>
      <c r="E6" s="332">
        <v>0</v>
      </c>
      <c r="F6" s="904"/>
    </row>
    <row r="7" spans="1:6" ht="15.75">
      <c r="A7" s="318" t="s">
        <v>8</v>
      </c>
      <c r="B7" s="322" t="s">
        <v>874</v>
      </c>
      <c r="C7" s="325"/>
      <c r="D7" s="328">
        <v>100000</v>
      </c>
      <c r="E7" s="332">
        <v>0</v>
      </c>
      <c r="F7" s="904"/>
    </row>
    <row r="8" spans="1:6" ht="15.75">
      <c r="A8" s="318" t="s">
        <v>9</v>
      </c>
      <c r="B8" s="322"/>
      <c r="C8" s="325"/>
      <c r="D8" s="328"/>
      <c r="E8" s="332"/>
      <c r="F8" s="904"/>
    </row>
    <row r="9" spans="1:6" ht="15.75">
      <c r="A9" s="318" t="s">
        <v>10</v>
      </c>
      <c r="B9" s="322"/>
      <c r="C9" s="325"/>
      <c r="D9" s="328"/>
      <c r="E9" s="332"/>
      <c r="F9" s="904"/>
    </row>
    <row r="10" spans="1:6" ht="15.75">
      <c r="A10" s="318" t="s">
        <v>11</v>
      </c>
      <c r="B10" s="322"/>
      <c r="C10" s="325"/>
      <c r="D10" s="328"/>
      <c r="E10" s="332"/>
      <c r="F10" s="904"/>
    </row>
    <row r="11" spans="1:6" ht="15.75">
      <c r="A11" s="318" t="s">
        <v>12</v>
      </c>
      <c r="B11" s="322"/>
      <c r="C11" s="325"/>
      <c r="D11" s="328"/>
      <c r="E11" s="332"/>
      <c r="F11" s="904"/>
    </row>
    <row r="12" spans="1:6" ht="15.75">
      <c r="A12" s="318" t="s">
        <v>13</v>
      </c>
      <c r="B12" s="322"/>
      <c r="C12" s="325"/>
      <c r="D12" s="328"/>
      <c r="E12" s="332"/>
      <c r="F12" s="904"/>
    </row>
    <row r="13" spans="1:6" ht="15.75">
      <c r="A13" s="318" t="s">
        <v>14</v>
      </c>
      <c r="B13" s="322"/>
      <c r="C13" s="325"/>
      <c r="D13" s="328"/>
      <c r="E13" s="332"/>
      <c r="F13" s="904"/>
    </row>
    <row r="14" spans="1:6" ht="15.75">
      <c r="A14" s="318" t="s">
        <v>15</v>
      </c>
      <c r="B14" s="322"/>
      <c r="C14" s="325"/>
      <c r="D14" s="328"/>
      <c r="E14" s="332"/>
      <c r="F14" s="904"/>
    </row>
    <row r="15" spans="1:6" ht="15.75">
      <c r="A15" s="318" t="s">
        <v>16</v>
      </c>
      <c r="B15" s="322"/>
      <c r="C15" s="325"/>
      <c r="D15" s="328"/>
      <c r="E15" s="332"/>
      <c r="F15" s="904"/>
    </row>
    <row r="16" spans="1:6" ht="15.75">
      <c r="A16" s="318" t="s">
        <v>17</v>
      </c>
      <c r="B16" s="322"/>
      <c r="C16" s="325"/>
      <c r="D16" s="328"/>
      <c r="E16" s="332"/>
      <c r="F16" s="904"/>
    </row>
    <row r="17" spans="1:6" ht="15.75">
      <c r="A17" s="318" t="s">
        <v>18</v>
      </c>
      <c r="B17" s="322"/>
      <c r="C17" s="325"/>
      <c r="D17" s="328"/>
      <c r="E17" s="332"/>
      <c r="F17" s="904"/>
    </row>
    <row r="18" spans="1:6" ht="15.75">
      <c r="A18" s="318" t="s">
        <v>19</v>
      </c>
      <c r="B18" s="322"/>
      <c r="C18" s="325"/>
      <c r="D18" s="328"/>
      <c r="E18" s="332"/>
      <c r="F18" s="904"/>
    </row>
    <row r="19" spans="1:6" ht="15.75">
      <c r="A19" s="318" t="s">
        <v>20</v>
      </c>
      <c r="B19" s="322"/>
      <c r="C19" s="325"/>
      <c r="D19" s="328"/>
      <c r="E19" s="332"/>
      <c r="F19" s="904"/>
    </row>
    <row r="20" spans="1:6" ht="15.75">
      <c r="A20" s="318" t="s">
        <v>21</v>
      </c>
      <c r="B20" s="322"/>
      <c r="C20" s="325"/>
      <c r="D20" s="328"/>
      <c r="E20" s="332"/>
      <c r="F20" s="904"/>
    </row>
    <row r="21" spans="1:6" ht="16.5" thickBot="1">
      <c r="A21" s="319" t="s">
        <v>22</v>
      </c>
      <c r="B21" s="323"/>
      <c r="C21" s="326"/>
      <c r="D21" s="329"/>
      <c r="E21" s="333"/>
      <c r="F21" s="904"/>
    </row>
    <row r="22" spans="1:6" ht="16.5" thickBot="1">
      <c r="A22" s="902" t="s">
        <v>304</v>
      </c>
      <c r="B22" s="903"/>
      <c r="C22" s="320"/>
      <c r="D22" s="330">
        <f>IF(SUM(D5:D21)=0,"",SUM(D5:D21))</f>
        <v>4100000</v>
      </c>
      <c r="E22" s="334">
        <f>IF(SUM(E5:E21)=0,"",SUM(E5:E21))</f>
      </c>
      <c r="F22" s="904"/>
    </row>
    <row r="23" ht="15.75">
      <c r="A23" s="313"/>
    </row>
  </sheetData>
  <sheetProtection/>
  <mergeCells count="3">
    <mergeCell ref="A2:E2"/>
    <mergeCell ref="A22:B22"/>
    <mergeCell ref="F1:F22"/>
  </mergeCells>
  <printOptions/>
  <pageMargins left="0.7" right="0.7" top="0.75" bottom="0.75" header="0.5" footer="0.5"/>
  <pageSetup horizontalDpi="600" verticalDpi="600" orientation="landscape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4" t="str">
        <f>+CONCATENATE("9. sz. tájékoztató tábla a 6 /",LEFT(ÖSSZEFÜGGÉSEK!A4,4)+1,".(V.30.)  önkormányzati rendelethez")</f>
        <v>9. sz. tájékoztató tábla a 6 /2018.(V.30.)  önkormányzati rendelethez</v>
      </c>
    </row>
    <row r="2" spans="1:3" ht="14.25">
      <c r="A2" s="285"/>
      <c r="B2" s="285"/>
      <c r="C2" s="285"/>
    </row>
    <row r="3" spans="1:3" ht="33.75" customHeight="1">
      <c r="A3" s="905" t="s">
        <v>305</v>
      </c>
      <c r="B3" s="905"/>
      <c r="C3" s="905"/>
    </row>
    <row r="4" ht="13.5" thickBot="1">
      <c r="C4" s="286"/>
    </row>
    <row r="5" spans="1:3" s="290" customFormat="1" ht="43.5" customHeight="1" thickBot="1">
      <c r="A5" s="287" t="s">
        <v>4</v>
      </c>
      <c r="B5" s="288" t="s">
        <v>52</v>
      </c>
      <c r="C5" s="289" t="s">
        <v>889</v>
      </c>
    </row>
    <row r="6" spans="1:3" ht="28.5" customHeight="1">
      <c r="A6" s="291" t="s">
        <v>6</v>
      </c>
      <c r="B6" s="292" t="str">
        <f>+CONCATENATE("Pénzkészlet ",LEFT(ÖSSZEFÜGGÉSEK!A4,4),". január 1-jén",CHAR(10),"ebből:")</f>
        <v>Pénzkészlet 2017. január 1-jén
ebből:</v>
      </c>
      <c r="C6" s="293">
        <f>C7+C8</f>
        <v>181735560</v>
      </c>
    </row>
    <row r="7" spans="1:3" ht="18" customHeight="1">
      <c r="A7" s="294" t="s">
        <v>7</v>
      </c>
      <c r="B7" s="295" t="s">
        <v>306</v>
      </c>
      <c r="C7" s="296">
        <v>181666410</v>
      </c>
    </row>
    <row r="8" spans="1:3" ht="18" customHeight="1" thickBot="1">
      <c r="A8" s="294" t="s">
        <v>8</v>
      </c>
      <c r="B8" s="295" t="s">
        <v>307</v>
      </c>
      <c r="C8" s="306">
        <v>69150</v>
      </c>
    </row>
    <row r="9" spans="1:3" ht="18" customHeight="1">
      <c r="A9" s="294" t="s">
        <v>9</v>
      </c>
      <c r="B9" s="297" t="s">
        <v>308</v>
      </c>
      <c r="C9" s="296">
        <f>325111569+5119012+855700</f>
        <v>331086281</v>
      </c>
    </row>
    <row r="10" spans="1:3" ht="18" customHeight="1" thickBot="1">
      <c r="A10" s="298" t="s">
        <v>10</v>
      </c>
      <c r="B10" s="299" t="s">
        <v>309</v>
      </c>
      <c r="C10" s="300">
        <f>368908345+4818490</f>
        <v>373726835</v>
      </c>
    </row>
    <row r="11" spans="1:3" ht="25.5" customHeight="1">
      <c r="A11" s="301" t="s">
        <v>11</v>
      </c>
      <c r="B11" s="302" t="str">
        <f>+CONCATENATE("Záró pénzkészlet ",LEFT(ÖSSZEFÜGGÉSEK!A4,4),". december 31-én",CHAR(10),"ebből:")</f>
        <v>Záró pénzkészlet 2017. december 31-én
ebből:</v>
      </c>
      <c r="C11" s="303">
        <f>C6+C9-C10</f>
        <v>139095006</v>
      </c>
    </row>
    <row r="12" spans="1:3" ht="18" customHeight="1">
      <c r="A12" s="294" t="s">
        <v>12</v>
      </c>
      <c r="B12" s="295" t="s">
        <v>306</v>
      </c>
      <c r="C12" s="296">
        <v>139095006</v>
      </c>
    </row>
    <row r="13" spans="1:3" ht="18" customHeight="1" thickBot="1">
      <c r="A13" s="304" t="s">
        <v>13</v>
      </c>
      <c r="B13" s="305" t="s">
        <v>307</v>
      </c>
      <c r="C13" s="306">
        <v>0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BreakPreview" zoomScaleNormal="130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6" width="9.375" style="416" hidden="1" customWidth="1"/>
    <col min="7" max="16384" width="9.375" style="416" customWidth="1"/>
  </cols>
  <sheetData>
    <row r="1" spans="1:5" ht="15.75" customHeight="1">
      <c r="A1" s="756" t="s">
        <v>3</v>
      </c>
      <c r="B1" s="756"/>
      <c r="C1" s="756"/>
      <c r="D1" s="756"/>
      <c r="E1" s="756"/>
    </row>
    <row r="2" spans="1:5" ht="15.75" customHeight="1" thickBot="1">
      <c r="A2" s="45" t="s">
        <v>111</v>
      </c>
      <c r="B2" s="45"/>
      <c r="C2" s="403"/>
      <c r="D2" s="403"/>
      <c r="E2" s="403" t="s">
        <v>879</v>
      </c>
    </row>
    <row r="3" spans="1:6" ht="15.75" customHeight="1">
      <c r="A3" s="762" t="s">
        <v>59</v>
      </c>
      <c r="B3" s="759" t="s">
        <v>5</v>
      </c>
      <c r="C3" s="757" t="str">
        <f>+'1.1.sz.mell.'!C3:E3</f>
        <v>2017. évi</v>
      </c>
      <c r="D3" s="757"/>
      <c r="E3" s="758"/>
      <c r="F3" s="674"/>
    </row>
    <row r="4" spans="1:6" ht="37.5" customHeight="1" thickBot="1">
      <c r="A4" s="763"/>
      <c r="B4" s="760"/>
      <c r="C4" s="47" t="s">
        <v>180</v>
      </c>
      <c r="D4" s="47" t="s">
        <v>185</v>
      </c>
      <c r="E4" s="48" t="s">
        <v>186</v>
      </c>
      <c r="F4" s="674"/>
    </row>
    <row r="5" spans="1:6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29" t="s">
        <v>431</v>
      </c>
      <c r="F5" s="675"/>
    </row>
    <row r="6" spans="1:6" s="418" customFormat="1" ht="12" customHeight="1" thickBot="1">
      <c r="A6" s="376" t="s">
        <v>6</v>
      </c>
      <c r="B6" s="377" t="s">
        <v>311</v>
      </c>
      <c r="C6" s="408">
        <f>SUM(C7:C12)</f>
        <v>0</v>
      </c>
      <c r="D6" s="408">
        <f>SUM(D7:D12)</f>
        <v>0</v>
      </c>
      <c r="E6" s="408">
        <f>SUM(E7:E12)</f>
        <v>0</v>
      </c>
      <c r="F6" s="676" t="s">
        <v>740</v>
      </c>
    </row>
    <row r="7" spans="1:6" s="418" customFormat="1" ht="12" customHeight="1">
      <c r="A7" s="371" t="s">
        <v>71</v>
      </c>
      <c r="B7" s="419" t="s">
        <v>312</v>
      </c>
      <c r="C7" s="410"/>
      <c r="D7" s="410">
        <v>0</v>
      </c>
      <c r="E7" s="393">
        <v>0</v>
      </c>
      <c r="F7" s="676" t="s">
        <v>741</v>
      </c>
    </row>
    <row r="8" spans="1:6" s="418" customFormat="1" ht="12" customHeight="1">
      <c r="A8" s="370" t="s">
        <v>72</v>
      </c>
      <c r="B8" s="420" t="s">
        <v>313</v>
      </c>
      <c r="C8" s="409"/>
      <c r="D8" s="409">
        <v>0</v>
      </c>
      <c r="E8" s="392">
        <v>0</v>
      </c>
      <c r="F8" s="676" t="s">
        <v>742</v>
      </c>
    </row>
    <row r="9" spans="1:6" s="418" customFormat="1" ht="12" customHeight="1">
      <c r="A9" s="370" t="s">
        <v>73</v>
      </c>
      <c r="B9" s="420" t="s">
        <v>314</v>
      </c>
      <c r="C9" s="409"/>
      <c r="D9" s="409">
        <v>0</v>
      </c>
      <c r="E9" s="392">
        <v>0</v>
      </c>
      <c r="F9" s="676" t="s">
        <v>743</v>
      </c>
    </row>
    <row r="10" spans="1:6" s="418" customFormat="1" ht="12" customHeight="1">
      <c r="A10" s="370" t="s">
        <v>74</v>
      </c>
      <c r="B10" s="420" t="s">
        <v>315</v>
      </c>
      <c r="C10" s="409"/>
      <c r="D10" s="409">
        <v>0</v>
      </c>
      <c r="E10" s="392">
        <v>0</v>
      </c>
      <c r="F10" s="676" t="s">
        <v>744</v>
      </c>
    </row>
    <row r="11" spans="1:6" s="418" customFormat="1" ht="12" customHeight="1">
      <c r="A11" s="370" t="s">
        <v>107</v>
      </c>
      <c r="B11" s="420" t="s">
        <v>316</v>
      </c>
      <c r="C11" s="409"/>
      <c r="D11" s="409">
        <v>0</v>
      </c>
      <c r="E11" s="392">
        <v>0</v>
      </c>
      <c r="F11" s="676" t="s">
        <v>745</v>
      </c>
    </row>
    <row r="12" spans="1:6" s="418" customFormat="1" ht="12" customHeight="1" thickBot="1">
      <c r="A12" s="372" t="s">
        <v>75</v>
      </c>
      <c r="B12" s="421" t="s">
        <v>317</v>
      </c>
      <c r="C12" s="411"/>
      <c r="D12" s="411">
        <v>0</v>
      </c>
      <c r="E12" s="394">
        <v>0</v>
      </c>
      <c r="F12" s="676" t="s">
        <v>746</v>
      </c>
    </row>
    <row r="13" spans="1:6" s="418" customFormat="1" ht="12" customHeight="1" thickBot="1">
      <c r="A13" s="376" t="s">
        <v>7</v>
      </c>
      <c r="B13" s="398" t="s">
        <v>318</v>
      </c>
      <c r="C13" s="408">
        <f>SUM(C14:C19)</f>
        <v>0</v>
      </c>
      <c r="D13" s="408">
        <f>SUM(D14:D19)</f>
        <v>0</v>
      </c>
      <c r="E13" s="408">
        <f>SUM(E14:E19)</f>
        <v>0</v>
      </c>
      <c r="F13" s="676" t="s">
        <v>747</v>
      </c>
    </row>
    <row r="14" spans="1:6" s="418" customFormat="1" ht="12" customHeight="1">
      <c r="A14" s="371" t="s">
        <v>77</v>
      </c>
      <c r="B14" s="419" t="s">
        <v>319</v>
      </c>
      <c r="C14" s="410">
        <v>0</v>
      </c>
      <c r="D14" s="410">
        <v>0</v>
      </c>
      <c r="E14" s="393">
        <v>0</v>
      </c>
      <c r="F14" s="676" t="s">
        <v>748</v>
      </c>
    </row>
    <row r="15" spans="1:6" s="418" customFormat="1" ht="12" customHeight="1">
      <c r="A15" s="370" t="s">
        <v>78</v>
      </c>
      <c r="B15" s="420" t="s">
        <v>320</v>
      </c>
      <c r="C15" s="409">
        <v>0</v>
      </c>
      <c r="D15" s="409">
        <v>0</v>
      </c>
      <c r="E15" s="392">
        <v>0</v>
      </c>
      <c r="F15" s="676" t="s">
        <v>749</v>
      </c>
    </row>
    <row r="16" spans="1:6" s="418" customFormat="1" ht="12" customHeight="1">
      <c r="A16" s="370" t="s">
        <v>79</v>
      </c>
      <c r="B16" s="420" t="s">
        <v>321</v>
      </c>
      <c r="C16" s="409">
        <v>0</v>
      </c>
      <c r="D16" s="409">
        <v>0</v>
      </c>
      <c r="E16" s="392">
        <v>0</v>
      </c>
      <c r="F16" s="676" t="s">
        <v>750</v>
      </c>
    </row>
    <row r="17" spans="1:6" s="418" customFormat="1" ht="12" customHeight="1">
      <c r="A17" s="370" t="s">
        <v>80</v>
      </c>
      <c r="B17" s="420" t="s">
        <v>322</v>
      </c>
      <c r="C17" s="409">
        <v>0</v>
      </c>
      <c r="D17" s="409">
        <v>0</v>
      </c>
      <c r="E17" s="392">
        <v>0</v>
      </c>
      <c r="F17" s="676" t="s">
        <v>751</v>
      </c>
    </row>
    <row r="18" spans="1:6" s="418" customFormat="1" ht="12" customHeight="1">
      <c r="A18" s="370" t="s">
        <v>81</v>
      </c>
      <c r="B18" s="420" t="s">
        <v>323</v>
      </c>
      <c r="C18" s="409"/>
      <c r="D18" s="409">
        <v>0</v>
      </c>
      <c r="E18" s="392">
        <v>0</v>
      </c>
      <c r="F18" s="676" t="s">
        <v>752</v>
      </c>
    </row>
    <row r="19" spans="1:6" s="418" customFormat="1" ht="12" customHeight="1" thickBot="1">
      <c r="A19" s="372" t="s">
        <v>88</v>
      </c>
      <c r="B19" s="421" t="s">
        <v>324</v>
      </c>
      <c r="C19" s="411">
        <v>0</v>
      </c>
      <c r="D19" s="411">
        <v>0</v>
      </c>
      <c r="E19" s="394">
        <v>0</v>
      </c>
      <c r="F19" s="676" t="s">
        <v>753</v>
      </c>
    </row>
    <row r="20" spans="1:6" s="418" customFormat="1" ht="12" customHeight="1" thickBot="1">
      <c r="A20" s="376" t="s">
        <v>8</v>
      </c>
      <c r="B20" s="377" t="s">
        <v>325</v>
      </c>
      <c r="C20" s="408">
        <f>SUM(C21:C25)</f>
        <v>0</v>
      </c>
      <c r="D20" s="408">
        <f>SUM(D21:D25)</f>
        <v>0</v>
      </c>
      <c r="E20" s="408">
        <f>SUM(E21:E25)</f>
        <v>0</v>
      </c>
      <c r="F20" s="676" t="s">
        <v>754</v>
      </c>
    </row>
    <row r="21" spans="1:6" s="418" customFormat="1" ht="12" customHeight="1">
      <c r="A21" s="371" t="s">
        <v>60</v>
      </c>
      <c r="B21" s="419" t="s">
        <v>326</v>
      </c>
      <c r="C21" s="410"/>
      <c r="D21" s="410">
        <v>0</v>
      </c>
      <c r="E21" s="393">
        <v>0</v>
      </c>
      <c r="F21" s="676" t="s">
        <v>755</v>
      </c>
    </row>
    <row r="22" spans="1:6" s="418" customFormat="1" ht="12" customHeight="1">
      <c r="A22" s="370" t="s">
        <v>61</v>
      </c>
      <c r="B22" s="420" t="s">
        <v>327</v>
      </c>
      <c r="C22" s="409">
        <v>0</v>
      </c>
      <c r="D22" s="409">
        <v>0</v>
      </c>
      <c r="E22" s="392">
        <v>0</v>
      </c>
      <c r="F22" s="676" t="s">
        <v>756</v>
      </c>
    </row>
    <row r="23" spans="1:6" s="418" customFormat="1" ht="12" customHeight="1">
      <c r="A23" s="370" t="s">
        <v>62</v>
      </c>
      <c r="B23" s="420" t="s">
        <v>328</v>
      </c>
      <c r="C23" s="409">
        <v>0</v>
      </c>
      <c r="D23" s="409">
        <v>0</v>
      </c>
      <c r="E23" s="392">
        <v>0</v>
      </c>
      <c r="F23" s="676" t="s">
        <v>757</v>
      </c>
    </row>
    <row r="24" spans="1:6" s="418" customFormat="1" ht="12" customHeight="1">
      <c r="A24" s="370" t="s">
        <v>63</v>
      </c>
      <c r="B24" s="420" t="s">
        <v>329</v>
      </c>
      <c r="C24" s="409">
        <v>0</v>
      </c>
      <c r="D24" s="409">
        <v>0</v>
      </c>
      <c r="E24" s="392">
        <v>0</v>
      </c>
      <c r="F24" s="676" t="s">
        <v>758</v>
      </c>
    </row>
    <row r="25" spans="1:6" s="418" customFormat="1" ht="12" customHeight="1">
      <c r="A25" s="370" t="s">
        <v>121</v>
      </c>
      <c r="B25" s="420" t="s">
        <v>330</v>
      </c>
      <c r="C25" s="409"/>
      <c r="D25" s="409">
        <v>0</v>
      </c>
      <c r="E25" s="392">
        <v>0</v>
      </c>
      <c r="F25" s="676" t="s">
        <v>759</v>
      </c>
    </row>
    <row r="26" spans="1:6" s="418" customFormat="1" ht="12" customHeight="1" thickBot="1">
      <c r="A26" s="372" t="s">
        <v>122</v>
      </c>
      <c r="B26" s="421" t="s">
        <v>331</v>
      </c>
      <c r="C26" s="411">
        <v>0</v>
      </c>
      <c r="D26" s="411">
        <v>0</v>
      </c>
      <c r="E26" s="394">
        <v>0</v>
      </c>
      <c r="F26" s="676" t="s">
        <v>760</v>
      </c>
    </row>
    <row r="27" spans="1:6" s="418" customFormat="1" ht="12" customHeight="1" thickBot="1">
      <c r="A27" s="376" t="s">
        <v>123</v>
      </c>
      <c r="B27" s="377" t="s">
        <v>332</v>
      </c>
      <c r="C27" s="414">
        <f>C28+C31+C32+C33</f>
        <v>0</v>
      </c>
      <c r="D27" s="414">
        <f>D28+D31+D32+D33</f>
        <v>0</v>
      </c>
      <c r="E27" s="414">
        <f>E28+E31+E32+E33</f>
        <v>0</v>
      </c>
      <c r="F27" s="676" t="s">
        <v>761</v>
      </c>
    </row>
    <row r="28" spans="1:6" s="418" customFormat="1" ht="12" customHeight="1">
      <c r="A28" s="371" t="s">
        <v>333</v>
      </c>
      <c r="B28" s="419" t="s">
        <v>334</v>
      </c>
      <c r="C28" s="428">
        <f>C29+C30</f>
        <v>0</v>
      </c>
      <c r="D28" s="428">
        <f>D29+D30</f>
        <v>0</v>
      </c>
      <c r="E28" s="428">
        <f>E29+E30</f>
        <v>0</v>
      </c>
      <c r="F28" s="676" t="s">
        <v>762</v>
      </c>
    </row>
    <row r="29" spans="1:6" s="418" customFormat="1" ht="12" customHeight="1">
      <c r="A29" s="370" t="s">
        <v>335</v>
      </c>
      <c r="B29" s="420" t="s">
        <v>336</v>
      </c>
      <c r="C29" s="409"/>
      <c r="D29" s="409">
        <v>0</v>
      </c>
      <c r="E29" s="392">
        <v>0</v>
      </c>
      <c r="F29" s="676" t="s">
        <v>763</v>
      </c>
    </row>
    <row r="30" spans="1:6" s="418" customFormat="1" ht="12" customHeight="1">
      <c r="A30" s="370" t="s">
        <v>337</v>
      </c>
      <c r="B30" s="420" t="s">
        <v>338</v>
      </c>
      <c r="C30" s="409">
        <v>0</v>
      </c>
      <c r="D30" s="409">
        <v>0</v>
      </c>
      <c r="E30" s="392">
        <v>0</v>
      </c>
      <c r="F30" s="676" t="s">
        <v>764</v>
      </c>
    </row>
    <row r="31" spans="1:6" s="418" customFormat="1" ht="12" customHeight="1">
      <c r="A31" s="370" t="s">
        <v>339</v>
      </c>
      <c r="B31" s="420" t="s">
        <v>340</v>
      </c>
      <c r="C31" s="409"/>
      <c r="D31" s="409">
        <v>0</v>
      </c>
      <c r="E31" s="392">
        <v>0</v>
      </c>
      <c r="F31" s="676" t="s">
        <v>765</v>
      </c>
    </row>
    <row r="32" spans="1:6" s="418" customFormat="1" ht="12" customHeight="1">
      <c r="A32" s="370" t="s">
        <v>341</v>
      </c>
      <c r="B32" s="420" t="s">
        <v>342</v>
      </c>
      <c r="C32" s="409"/>
      <c r="D32" s="409">
        <v>0</v>
      </c>
      <c r="E32" s="392"/>
      <c r="F32" s="676" t="s">
        <v>766</v>
      </c>
    </row>
    <row r="33" spans="1:6" s="418" customFormat="1" ht="12" customHeight="1" thickBot="1">
      <c r="A33" s="372" t="s">
        <v>343</v>
      </c>
      <c r="B33" s="421" t="s">
        <v>344</v>
      </c>
      <c r="C33" s="411">
        <v>0</v>
      </c>
      <c r="D33" s="411">
        <v>0</v>
      </c>
      <c r="E33" s="394">
        <v>0</v>
      </c>
      <c r="F33" s="676" t="s">
        <v>767</v>
      </c>
    </row>
    <row r="34" spans="1:6" s="418" customFormat="1" ht="12" customHeight="1" thickBot="1">
      <c r="A34" s="376" t="s">
        <v>10</v>
      </c>
      <c r="B34" s="377" t="s">
        <v>345</v>
      </c>
      <c r="C34" s="408">
        <f>SUM(C35:C44)</f>
        <v>0</v>
      </c>
      <c r="D34" s="408">
        <f>SUM(D35:D44)</f>
        <v>0</v>
      </c>
      <c r="E34" s="408">
        <f>SUM(E35:E44)</f>
        <v>0</v>
      </c>
      <c r="F34" s="676" t="s">
        <v>768</v>
      </c>
    </row>
    <row r="35" spans="1:6" s="418" customFormat="1" ht="12" customHeight="1">
      <c r="A35" s="371" t="s">
        <v>64</v>
      </c>
      <c r="B35" s="419" t="s">
        <v>346</v>
      </c>
      <c r="C35" s="410">
        <v>0</v>
      </c>
      <c r="D35" s="410">
        <v>0</v>
      </c>
      <c r="E35" s="393">
        <v>0</v>
      </c>
      <c r="F35" s="676" t="s">
        <v>769</v>
      </c>
    </row>
    <row r="36" spans="1:6" s="418" customFormat="1" ht="12" customHeight="1">
      <c r="A36" s="370" t="s">
        <v>65</v>
      </c>
      <c r="B36" s="420" t="s">
        <v>347</v>
      </c>
      <c r="C36" s="409"/>
      <c r="D36" s="409">
        <v>0</v>
      </c>
      <c r="E36" s="392">
        <v>0</v>
      </c>
      <c r="F36" s="676" t="s">
        <v>770</v>
      </c>
    </row>
    <row r="37" spans="1:6" s="418" customFormat="1" ht="12" customHeight="1">
      <c r="A37" s="370" t="s">
        <v>66</v>
      </c>
      <c r="B37" s="420" t="s">
        <v>348</v>
      </c>
      <c r="C37" s="409"/>
      <c r="D37" s="409">
        <v>0</v>
      </c>
      <c r="E37" s="392">
        <v>0</v>
      </c>
      <c r="F37" s="676" t="s">
        <v>771</v>
      </c>
    </row>
    <row r="38" spans="1:6" s="418" customFormat="1" ht="12" customHeight="1">
      <c r="A38" s="370" t="s">
        <v>125</v>
      </c>
      <c r="B38" s="420" t="s">
        <v>349</v>
      </c>
      <c r="C38" s="409"/>
      <c r="D38" s="409">
        <v>0</v>
      </c>
      <c r="E38" s="392">
        <v>0</v>
      </c>
      <c r="F38" s="676" t="s">
        <v>772</v>
      </c>
    </row>
    <row r="39" spans="1:6" s="418" customFormat="1" ht="12" customHeight="1">
      <c r="A39" s="370" t="s">
        <v>126</v>
      </c>
      <c r="B39" s="420" t="s">
        <v>350</v>
      </c>
      <c r="C39" s="409"/>
      <c r="D39" s="409">
        <v>0</v>
      </c>
      <c r="E39" s="392">
        <v>0</v>
      </c>
      <c r="F39" s="676" t="s">
        <v>773</v>
      </c>
    </row>
    <row r="40" spans="1:6" s="418" customFormat="1" ht="12" customHeight="1">
      <c r="A40" s="370" t="s">
        <v>127</v>
      </c>
      <c r="B40" s="420" t="s">
        <v>351</v>
      </c>
      <c r="C40" s="409"/>
      <c r="D40" s="409">
        <v>0</v>
      </c>
      <c r="E40" s="392">
        <v>0</v>
      </c>
      <c r="F40" s="676" t="s">
        <v>774</v>
      </c>
    </row>
    <row r="41" spans="1:6" s="418" customFormat="1" ht="12" customHeight="1">
      <c r="A41" s="370" t="s">
        <v>128</v>
      </c>
      <c r="B41" s="420" t="s">
        <v>352</v>
      </c>
      <c r="C41" s="409"/>
      <c r="D41" s="409">
        <v>0</v>
      </c>
      <c r="E41" s="392">
        <v>0</v>
      </c>
      <c r="F41" s="676" t="s">
        <v>775</v>
      </c>
    </row>
    <row r="42" spans="1:6" s="418" customFormat="1" ht="12" customHeight="1">
      <c r="A42" s="370" t="s">
        <v>129</v>
      </c>
      <c r="B42" s="420" t="s">
        <v>353</v>
      </c>
      <c r="C42" s="409"/>
      <c r="D42" s="409">
        <v>0</v>
      </c>
      <c r="E42" s="392">
        <v>0</v>
      </c>
      <c r="F42" s="676" t="s">
        <v>776</v>
      </c>
    </row>
    <row r="43" spans="1:6" s="418" customFormat="1" ht="12" customHeight="1">
      <c r="A43" s="370" t="s">
        <v>354</v>
      </c>
      <c r="B43" s="420" t="s">
        <v>355</v>
      </c>
      <c r="C43" s="412"/>
      <c r="D43" s="412">
        <v>0</v>
      </c>
      <c r="E43" s="395">
        <v>0</v>
      </c>
      <c r="F43" s="676" t="s">
        <v>777</v>
      </c>
    </row>
    <row r="44" spans="1:6" s="418" customFormat="1" ht="12" customHeight="1" thickBot="1">
      <c r="A44" s="372" t="s">
        <v>356</v>
      </c>
      <c r="B44" s="421" t="s">
        <v>357</v>
      </c>
      <c r="C44" s="413"/>
      <c r="D44" s="413">
        <v>0</v>
      </c>
      <c r="E44" s="396">
        <v>0</v>
      </c>
      <c r="F44" s="676" t="s">
        <v>778</v>
      </c>
    </row>
    <row r="45" spans="1:6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0</v>
      </c>
      <c r="E45" s="408">
        <f>SUM(E46:E50)</f>
        <v>0</v>
      </c>
      <c r="F45" s="676" t="s">
        <v>779</v>
      </c>
    </row>
    <row r="46" spans="1:6" s="418" customFormat="1" ht="12" customHeight="1">
      <c r="A46" s="371" t="s">
        <v>67</v>
      </c>
      <c r="B46" s="419" t="s">
        <v>359</v>
      </c>
      <c r="C46" s="430">
        <v>0</v>
      </c>
      <c r="D46" s="430">
        <v>0</v>
      </c>
      <c r="E46" s="397">
        <v>0</v>
      </c>
      <c r="F46" s="676" t="s">
        <v>780</v>
      </c>
    </row>
    <row r="47" spans="1:6" s="418" customFormat="1" ht="12" customHeight="1">
      <c r="A47" s="370" t="s">
        <v>68</v>
      </c>
      <c r="B47" s="420" t="s">
        <v>360</v>
      </c>
      <c r="C47" s="412">
        <v>0</v>
      </c>
      <c r="D47" s="412">
        <v>0</v>
      </c>
      <c r="E47" s="395">
        <v>0</v>
      </c>
      <c r="F47" s="676" t="s">
        <v>781</v>
      </c>
    </row>
    <row r="48" spans="1:6" s="418" customFormat="1" ht="12" customHeight="1">
      <c r="A48" s="370" t="s">
        <v>361</v>
      </c>
      <c r="B48" s="420" t="s">
        <v>362</v>
      </c>
      <c r="C48" s="412"/>
      <c r="D48" s="412">
        <v>0</v>
      </c>
      <c r="E48" s="395">
        <v>0</v>
      </c>
      <c r="F48" s="676" t="s">
        <v>782</v>
      </c>
    </row>
    <row r="49" spans="1:6" s="418" customFormat="1" ht="12" customHeight="1">
      <c r="A49" s="370" t="s">
        <v>363</v>
      </c>
      <c r="B49" s="420" t="s">
        <v>364</v>
      </c>
      <c r="C49" s="412">
        <v>0</v>
      </c>
      <c r="D49" s="412">
        <v>0</v>
      </c>
      <c r="E49" s="395">
        <v>0</v>
      </c>
      <c r="F49" s="676" t="s">
        <v>783</v>
      </c>
    </row>
    <row r="50" spans="1:6" s="418" customFormat="1" ht="12" customHeight="1" thickBot="1">
      <c r="A50" s="372" t="s">
        <v>365</v>
      </c>
      <c r="B50" s="421" t="s">
        <v>366</v>
      </c>
      <c r="C50" s="413">
        <v>0</v>
      </c>
      <c r="D50" s="413">
        <v>0</v>
      </c>
      <c r="E50" s="396">
        <v>0</v>
      </c>
      <c r="F50" s="676" t="s">
        <v>784</v>
      </c>
    </row>
    <row r="51" spans="1:6" s="418" customFormat="1" ht="17.25" customHeight="1" thickBot="1">
      <c r="A51" s="376" t="s">
        <v>130</v>
      </c>
      <c r="B51" s="377" t="s">
        <v>367</v>
      </c>
      <c r="C51" s="408">
        <f>SUM(C52:C54)</f>
        <v>0</v>
      </c>
      <c r="D51" s="408">
        <f>SUM(D52:D54)</f>
        <v>0</v>
      </c>
      <c r="E51" s="408">
        <f>SUM(E52:E54)</f>
        <v>0</v>
      </c>
      <c r="F51" s="676" t="s">
        <v>785</v>
      </c>
    </row>
    <row r="52" spans="1:6" s="418" customFormat="1" ht="12" customHeight="1">
      <c r="A52" s="371" t="s">
        <v>69</v>
      </c>
      <c r="B52" s="419" t="s">
        <v>368</v>
      </c>
      <c r="C52" s="410">
        <v>0</v>
      </c>
      <c r="D52" s="410">
        <v>0</v>
      </c>
      <c r="E52" s="393">
        <v>0</v>
      </c>
      <c r="F52" s="676" t="s">
        <v>786</v>
      </c>
    </row>
    <row r="53" spans="1:6" s="418" customFormat="1" ht="12" customHeight="1">
      <c r="A53" s="370" t="s">
        <v>70</v>
      </c>
      <c r="B53" s="420" t="s">
        <v>369</v>
      </c>
      <c r="C53" s="409">
        <v>0</v>
      </c>
      <c r="D53" s="409">
        <v>0</v>
      </c>
      <c r="E53" s="392">
        <v>0</v>
      </c>
      <c r="F53" s="676" t="s">
        <v>787</v>
      </c>
    </row>
    <row r="54" spans="1:6" s="418" customFormat="1" ht="12" customHeight="1">
      <c r="A54" s="370" t="s">
        <v>370</v>
      </c>
      <c r="B54" s="420" t="s">
        <v>371</v>
      </c>
      <c r="C54" s="409"/>
      <c r="D54" s="409">
        <v>0</v>
      </c>
      <c r="E54" s="392">
        <v>0</v>
      </c>
      <c r="F54" s="676" t="s">
        <v>788</v>
      </c>
    </row>
    <row r="55" spans="1:6" s="418" customFormat="1" ht="12" customHeight="1" thickBot="1">
      <c r="A55" s="372" t="s">
        <v>372</v>
      </c>
      <c r="B55" s="421" t="s">
        <v>373</v>
      </c>
      <c r="C55" s="411">
        <v>0</v>
      </c>
      <c r="D55" s="411">
        <v>0</v>
      </c>
      <c r="E55" s="394">
        <v>0</v>
      </c>
      <c r="F55" s="676" t="s">
        <v>789</v>
      </c>
    </row>
    <row r="56" spans="1:6" s="418" customFormat="1" ht="12" customHeight="1" thickBot="1">
      <c r="A56" s="376" t="s">
        <v>13</v>
      </c>
      <c r="B56" s="398" t="s">
        <v>374</v>
      </c>
      <c r="C56" s="408">
        <f>SUM(C57:C59)</f>
        <v>0</v>
      </c>
      <c r="D56" s="408">
        <f>SUM(D57:D59)</f>
        <v>0</v>
      </c>
      <c r="E56" s="408">
        <f>SUM(E57:E59)</f>
        <v>0</v>
      </c>
      <c r="F56" s="676" t="s">
        <v>790</v>
      </c>
    </row>
    <row r="57" spans="1:6" s="418" customFormat="1" ht="12" customHeight="1">
      <c r="A57" s="371" t="s">
        <v>131</v>
      </c>
      <c r="B57" s="419" t="s">
        <v>375</v>
      </c>
      <c r="C57" s="412">
        <v>0</v>
      </c>
      <c r="D57" s="412">
        <v>0</v>
      </c>
      <c r="E57" s="395">
        <v>0</v>
      </c>
      <c r="F57" s="676" t="s">
        <v>791</v>
      </c>
    </row>
    <row r="58" spans="1:6" s="418" customFormat="1" ht="12" customHeight="1">
      <c r="A58" s="370" t="s">
        <v>132</v>
      </c>
      <c r="B58" s="420" t="s">
        <v>376</v>
      </c>
      <c r="C58" s="412"/>
      <c r="D58" s="412">
        <v>0</v>
      </c>
      <c r="E58" s="395">
        <v>0</v>
      </c>
      <c r="F58" s="676" t="s">
        <v>792</v>
      </c>
    </row>
    <row r="59" spans="1:6" s="418" customFormat="1" ht="12" customHeight="1">
      <c r="A59" s="370" t="s">
        <v>159</v>
      </c>
      <c r="B59" s="420" t="s">
        <v>377</v>
      </c>
      <c r="C59" s="412">
        <v>0</v>
      </c>
      <c r="D59" s="412">
        <v>0</v>
      </c>
      <c r="E59" s="395">
        <v>0</v>
      </c>
      <c r="F59" s="676" t="s">
        <v>793</v>
      </c>
    </row>
    <row r="60" spans="1:6" s="418" customFormat="1" ht="12" customHeight="1" thickBot="1">
      <c r="A60" s="372" t="s">
        <v>378</v>
      </c>
      <c r="B60" s="421" t="s">
        <v>379</v>
      </c>
      <c r="C60" s="412">
        <v>0</v>
      </c>
      <c r="D60" s="412">
        <v>0</v>
      </c>
      <c r="E60" s="395">
        <v>0</v>
      </c>
      <c r="F60" s="676" t="s">
        <v>794</v>
      </c>
    </row>
    <row r="61" spans="1:6" s="418" customFormat="1" ht="12" customHeight="1" thickBot="1">
      <c r="A61" s="376" t="s">
        <v>14</v>
      </c>
      <c r="B61" s="377" t="s">
        <v>380</v>
      </c>
      <c r="C61" s="414">
        <f>C6+C13+C20+C27+C34+C45+C51+C56</f>
        <v>0</v>
      </c>
      <c r="D61" s="414">
        <f>D6+D13+D20+D27+D34+D45+D51+D56</f>
        <v>0</v>
      </c>
      <c r="E61" s="414">
        <f>E6+E13+E20+E27+E34+E45+E51+E56</f>
        <v>0</v>
      </c>
      <c r="F61" s="676" t="s">
        <v>795</v>
      </c>
    </row>
    <row r="62" spans="1:6" s="418" customFormat="1" ht="12" customHeight="1" thickBot="1">
      <c r="A62" s="431" t="s">
        <v>381</v>
      </c>
      <c r="B62" s="398" t="s">
        <v>382</v>
      </c>
      <c r="C62" s="408">
        <f>SUM(C63:C65)</f>
        <v>0</v>
      </c>
      <c r="D62" s="408">
        <f>SUM(D63:D65)</f>
        <v>0</v>
      </c>
      <c r="E62" s="408">
        <f>SUM(E63:E65)</f>
        <v>0</v>
      </c>
      <c r="F62" s="676" t="s">
        <v>796</v>
      </c>
    </row>
    <row r="63" spans="1:6" s="418" customFormat="1" ht="12" customHeight="1">
      <c r="A63" s="371" t="s">
        <v>383</v>
      </c>
      <c r="B63" s="419" t="s">
        <v>384</v>
      </c>
      <c r="C63" s="412">
        <v>0</v>
      </c>
      <c r="D63" s="412">
        <v>0</v>
      </c>
      <c r="E63" s="395">
        <v>0</v>
      </c>
      <c r="F63" s="676" t="s">
        <v>797</v>
      </c>
    </row>
    <row r="64" spans="1:6" s="418" customFormat="1" ht="12" customHeight="1">
      <c r="A64" s="370" t="s">
        <v>385</v>
      </c>
      <c r="B64" s="420" t="s">
        <v>386</v>
      </c>
      <c r="C64" s="412">
        <v>0</v>
      </c>
      <c r="D64" s="412">
        <v>0</v>
      </c>
      <c r="E64" s="395">
        <v>0</v>
      </c>
      <c r="F64" s="676" t="s">
        <v>798</v>
      </c>
    </row>
    <row r="65" spans="1:6" s="418" customFormat="1" ht="12" customHeight="1" thickBot="1">
      <c r="A65" s="372" t="s">
        <v>387</v>
      </c>
      <c r="B65" s="356" t="s">
        <v>432</v>
      </c>
      <c r="C65" s="412">
        <v>0</v>
      </c>
      <c r="D65" s="412">
        <v>0</v>
      </c>
      <c r="E65" s="395">
        <v>0</v>
      </c>
      <c r="F65" s="676" t="s">
        <v>799</v>
      </c>
    </row>
    <row r="66" spans="1:6" s="418" customFormat="1" ht="12" customHeight="1" thickBot="1">
      <c r="A66" s="431" t="s">
        <v>389</v>
      </c>
      <c r="B66" s="398" t="s">
        <v>390</v>
      </c>
      <c r="C66" s="408">
        <f>SUM(C67:C70)</f>
        <v>0</v>
      </c>
      <c r="D66" s="408">
        <f>SUM(D67:D70)</f>
        <v>0</v>
      </c>
      <c r="E66" s="408">
        <f>SUM(E67:E70)</f>
        <v>0</v>
      </c>
      <c r="F66" s="408">
        <f>SUM(F67:F70)</f>
        <v>0</v>
      </c>
    </row>
    <row r="67" spans="1:6" s="418" customFormat="1" ht="13.5" customHeight="1">
      <c r="A67" s="371" t="s">
        <v>108</v>
      </c>
      <c r="B67" s="419" t="s">
        <v>391</v>
      </c>
      <c r="C67" s="412">
        <v>0</v>
      </c>
      <c r="D67" s="412">
        <v>0</v>
      </c>
      <c r="E67" s="395">
        <v>0</v>
      </c>
      <c r="F67" s="676" t="s">
        <v>801</v>
      </c>
    </row>
    <row r="68" spans="1:6" s="418" customFormat="1" ht="12" customHeight="1">
      <c r="A68" s="370" t="s">
        <v>109</v>
      </c>
      <c r="B68" s="420" t="s">
        <v>392</v>
      </c>
      <c r="C68" s="412">
        <v>0</v>
      </c>
      <c r="D68" s="412">
        <v>0</v>
      </c>
      <c r="E68" s="395">
        <v>0</v>
      </c>
      <c r="F68" s="676" t="s">
        <v>802</v>
      </c>
    </row>
    <row r="69" spans="1:6" s="418" customFormat="1" ht="12" customHeight="1">
      <c r="A69" s="370" t="s">
        <v>393</v>
      </c>
      <c r="B69" s="420" t="s">
        <v>394</v>
      </c>
      <c r="C69" s="412">
        <v>0</v>
      </c>
      <c r="D69" s="412">
        <v>0</v>
      </c>
      <c r="E69" s="395">
        <v>0</v>
      </c>
      <c r="F69" s="676" t="s">
        <v>803</v>
      </c>
    </row>
    <row r="70" spans="1:6" s="418" customFormat="1" ht="12" customHeight="1" thickBot="1">
      <c r="A70" s="372" t="s">
        <v>395</v>
      </c>
      <c r="B70" s="421" t="s">
        <v>396</v>
      </c>
      <c r="C70" s="412">
        <v>0</v>
      </c>
      <c r="D70" s="412">
        <v>0</v>
      </c>
      <c r="E70" s="395">
        <v>0</v>
      </c>
      <c r="F70" s="676" t="s">
        <v>804</v>
      </c>
    </row>
    <row r="71" spans="1:6" s="418" customFormat="1" ht="12" customHeight="1" thickBot="1">
      <c r="A71" s="431" t="s">
        <v>397</v>
      </c>
      <c r="B71" s="398" t="s">
        <v>398</v>
      </c>
      <c r="C71" s="408">
        <f>SUM(C72:C73)</f>
        <v>0</v>
      </c>
      <c r="D71" s="408">
        <f>SUM(D72:D73)</f>
        <v>0</v>
      </c>
      <c r="E71" s="408">
        <f>SUM(E72:E73)</f>
        <v>0</v>
      </c>
      <c r="F71" s="676" t="s">
        <v>805</v>
      </c>
    </row>
    <row r="72" spans="1:6" s="418" customFormat="1" ht="12" customHeight="1">
      <c r="A72" s="371" t="s">
        <v>399</v>
      </c>
      <c r="B72" s="419" t="s">
        <v>400</v>
      </c>
      <c r="C72" s="412"/>
      <c r="D72" s="412"/>
      <c r="E72" s="395"/>
      <c r="F72" s="676" t="s">
        <v>806</v>
      </c>
    </row>
    <row r="73" spans="1:6" s="418" customFormat="1" ht="12" customHeight="1" thickBot="1">
      <c r="A73" s="372" t="s">
        <v>401</v>
      </c>
      <c r="B73" s="421" t="s">
        <v>402</v>
      </c>
      <c r="C73" s="412">
        <v>0</v>
      </c>
      <c r="D73" s="412">
        <v>0</v>
      </c>
      <c r="E73" s="395">
        <v>0</v>
      </c>
      <c r="F73" s="676" t="s">
        <v>807</v>
      </c>
    </row>
    <row r="74" spans="1:6" s="418" customFormat="1" ht="12" customHeight="1" thickBot="1">
      <c r="A74" s="431" t="s">
        <v>403</v>
      </c>
      <c r="B74" s="398" t="s">
        <v>404</v>
      </c>
      <c r="C74" s="408">
        <f>SUM(C75:C77)</f>
        <v>0</v>
      </c>
      <c r="D74" s="408">
        <f>SUM(D75:D77)</f>
        <v>0</v>
      </c>
      <c r="E74" s="408">
        <f>SUM(E75:E77)</f>
        <v>0</v>
      </c>
      <c r="F74" s="676" t="s">
        <v>808</v>
      </c>
    </row>
    <row r="75" spans="1:6" s="418" customFormat="1" ht="12" customHeight="1">
      <c r="A75" s="371" t="s">
        <v>405</v>
      </c>
      <c r="B75" s="419" t="s">
        <v>406</v>
      </c>
      <c r="C75" s="412"/>
      <c r="D75" s="412">
        <v>0</v>
      </c>
      <c r="E75" s="395">
        <v>0</v>
      </c>
      <c r="F75" s="676" t="s">
        <v>809</v>
      </c>
    </row>
    <row r="76" spans="1:6" s="418" customFormat="1" ht="12" customHeight="1">
      <c r="A76" s="370" t="s">
        <v>407</v>
      </c>
      <c r="B76" s="420" t="s">
        <v>408</v>
      </c>
      <c r="C76" s="412">
        <v>0</v>
      </c>
      <c r="D76" s="412">
        <v>0</v>
      </c>
      <c r="E76" s="395">
        <v>0</v>
      </c>
      <c r="F76" s="676" t="s">
        <v>810</v>
      </c>
    </row>
    <row r="77" spans="1:6" s="418" customFormat="1" ht="12" customHeight="1" thickBot="1">
      <c r="A77" s="372" t="s">
        <v>409</v>
      </c>
      <c r="B77" s="400" t="s">
        <v>410</v>
      </c>
      <c r="C77" s="412">
        <v>0</v>
      </c>
      <c r="D77" s="412">
        <v>0</v>
      </c>
      <c r="E77" s="395">
        <v>0</v>
      </c>
      <c r="F77" s="676" t="s">
        <v>811</v>
      </c>
    </row>
    <row r="78" spans="1:6" s="418" customFormat="1" ht="12" customHeight="1" thickBot="1">
      <c r="A78" s="431" t="s">
        <v>411</v>
      </c>
      <c r="B78" s="398" t="s">
        <v>412</v>
      </c>
      <c r="C78" s="408">
        <f>SUM(C79:C82)</f>
        <v>0</v>
      </c>
      <c r="D78" s="408">
        <f>SUM(D79:D82)</f>
        <v>0</v>
      </c>
      <c r="E78" s="408">
        <f>SUM(E79:E82)</f>
        <v>0</v>
      </c>
      <c r="F78" s="676" t="s">
        <v>812</v>
      </c>
    </row>
    <row r="79" spans="1:6" s="418" customFormat="1" ht="12" customHeight="1">
      <c r="A79" s="422" t="s">
        <v>413</v>
      </c>
      <c r="B79" s="419" t="s">
        <v>414</v>
      </c>
      <c r="C79" s="412">
        <v>0</v>
      </c>
      <c r="D79" s="412">
        <v>0</v>
      </c>
      <c r="E79" s="395">
        <v>0</v>
      </c>
      <c r="F79" s="676" t="s">
        <v>813</v>
      </c>
    </row>
    <row r="80" spans="1:6" s="418" customFormat="1" ht="12" customHeight="1">
      <c r="A80" s="423" t="s">
        <v>415</v>
      </c>
      <c r="B80" s="420" t="s">
        <v>416</v>
      </c>
      <c r="C80" s="412">
        <v>0</v>
      </c>
      <c r="D80" s="412">
        <v>0</v>
      </c>
      <c r="E80" s="395">
        <v>0</v>
      </c>
      <c r="F80" s="676" t="s">
        <v>814</v>
      </c>
    </row>
    <row r="81" spans="1:6" s="418" customFormat="1" ht="12" customHeight="1">
      <c r="A81" s="423" t="s">
        <v>417</v>
      </c>
      <c r="B81" s="420" t="s">
        <v>418</v>
      </c>
      <c r="C81" s="412">
        <v>0</v>
      </c>
      <c r="D81" s="412">
        <v>0</v>
      </c>
      <c r="E81" s="395">
        <v>0</v>
      </c>
      <c r="F81" s="676" t="s">
        <v>815</v>
      </c>
    </row>
    <row r="82" spans="1:6" s="418" customFormat="1" ht="12" customHeight="1" thickBot="1">
      <c r="A82" s="432" t="s">
        <v>419</v>
      </c>
      <c r="B82" s="400" t="s">
        <v>420</v>
      </c>
      <c r="C82" s="412">
        <v>0</v>
      </c>
      <c r="D82" s="412">
        <v>0</v>
      </c>
      <c r="E82" s="395">
        <v>0</v>
      </c>
      <c r="F82" s="676" t="s">
        <v>816</v>
      </c>
    </row>
    <row r="83" spans="1:6" s="418" customFormat="1" ht="12" customHeight="1" thickBot="1">
      <c r="A83" s="431" t="s">
        <v>421</v>
      </c>
      <c r="B83" s="398" t="s">
        <v>422</v>
      </c>
      <c r="C83" s="434">
        <v>0</v>
      </c>
      <c r="D83" s="434">
        <v>0</v>
      </c>
      <c r="E83" s="435">
        <v>0</v>
      </c>
      <c r="F83" s="676" t="s">
        <v>817</v>
      </c>
    </row>
    <row r="84" spans="1:6" s="418" customFormat="1" ht="12" customHeight="1" thickBot="1">
      <c r="A84" s="431" t="s">
        <v>423</v>
      </c>
      <c r="B84" s="354" t="s">
        <v>424</v>
      </c>
      <c r="C84" s="414">
        <f>C62+C66+C71+C74+C78+C83</f>
        <v>0</v>
      </c>
      <c r="D84" s="414">
        <f>D62+D66+D71+D74+D78+D83</f>
        <v>0</v>
      </c>
      <c r="E84" s="414">
        <f>E62+E66+E71+E74+E78+E83</f>
        <v>0</v>
      </c>
      <c r="F84" s="676" t="s">
        <v>818</v>
      </c>
    </row>
    <row r="85" spans="1:6" s="418" customFormat="1" ht="27.75" customHeight="1" thickBot="1">
      <c r="A85" s="433" t="s">
        <v>425</v>
      </c>
      <c r="B85" s="357" t="s">
        <v>426</v>
      </c>
      <c r="C85" s="414">
        <f>C61+C84</f>
        <v>0</v>
      </c>
      <c r="D85" s="414">
        <f>D61+D84</f>
        <v>0</v>
      </c>
      <c r="E85" s="414">
        <f>E61+E84</f>
        <v>0</v>
      </c>
      <c r="F85" s="676" t="s">
        <v>819</v>
      </c>
    </row>
    <row r="86" spans="1:6" s="418" customFormat="1" ht="12" customHeight="1">
      <c r="A86" s="352"/>
      <c r="B86" s="352"/>
      <c r="C86" s="353"/>
      <c r="D86" s="353"/>
      <c r="E86" s="353"/>
      <c r="F86" s="676"/>
    </row>
    <row r="87" spans="1:6" ht="16.5" customHeight="1">
      <c r="A87" s="756" t="s">
        <v>35</v>
      </c>
      <c r="B87" s="756"/>
      <c r="C87" s="756"/>
      <c r="D87" s="756"/>
      <c r="E87" s="756"/>
      <c r="F87" s="674"/>
    </row>
    <row r="88" spans="1:6" s="424" customFormat="1" ht="16.5" customHeight="1" thickBot="1">
      <c r="A88" s="46" t="s">
        <v>112</v>
      </c>
      <c r="B88" s="46"/>
      <c r="C88" s="385"/>
      <c r="D88" s="385"/>
      <c r="E88" s="385" t="s">
        <v>158</v>
      </c>
      <c r="F88" s="677"/>
    </row>
    <row r="89" spans="1:6" s="424" customFormat="1" ht="16.5" customHeight="1">
      <c r="A89" s="762" t="s">
        <v>59</v>
      </c>
      <c r="B89" s="759" t="s">
        <v>179</v>
      </c>
      <c r="C89" s="757" t="str">
        <f>+C3</f>
        <v>2017. évi</v>
      </c>
      <c r="D89" s="757"/>
      <c r="E89" s="758"/>
      <c r="F89" s="677"/>
    </row>
    <row r="90" spans="1:6" ht="37.5" customHeight="1" thickBot="1">
      <c r="A90" s="763"/>
      <c r="B90" s="760"/>
      <c r="C90" s="47" t="s">
        <v>180</v>
      </c>
      <c r="D90" s="47" t="s">
        <v>185</v>
      </c>
      <c r="E90" s="48" t="s">
        <v>186</v>
      </c>
      <c r="F90" s="674"/>
    </row>
    <row r="91" spans="1:6" s="417" customFormat="1" ht="12" customHeight="1" thickBot="1">
      <c r="A91" s="381" t="s">
        <v>427</v>
      </c>
      <c r="B91" s="382" t="s">
        <v>428</v>
      </c>
      <c r="C91" s="382" t="s">
        <v>429</v>
      </c>
      <c r="D91" s="382" t="s">
        <v>430</v>
      </c>
      <c r="E91" s="383" t="s">
        <v>431</v>
      </c>
      <c r="F91" s="675"/>
    </row>
    <row r="92" spans="1:6" ht="12" customHeight="1" thickBot="1">
      <c r="A92" s="378" t="s">
        <v>6</v>
      </c>
      <c r="B92" s="380" t="s">
        <v>433</v>
      </c>
      <c r="C92" s="407">
        <f>SUM(C93:C97)</f>
        <v>0</v>
      </c>
      <c r="D92" s="407">
        <f>SUM(D93:D97)</f>
        <v>0</v>
      </c>
      <c r="E92" s="407">
        <f>SUM(E93:E97)</f>
        <v>0</v>
      </c>
      <c r="F92" s="674" t="s">
        <v>740</v>
      </c>
    </row>
    <row r="93" spans="1:6" ht="12" customHeight="1">
      <c r="A93" s="373" t="s">
        <v>71</v>
      </c>
      <c r="B93" s="366" t="s">
        <v>36</v>
      </c>
      <c r="C93" s="98"/>
      <c r="D93" s="98"/>
      <c r="E93" s="361"/>
      <c r="F93" s="674" t="s">
        <v>741</v>
      </c>
    </row>
    <row r="94" spans="1:6" ht="12" customHeight="1">
      <c r="A94" s="370" t="s">
        <v>72</v>
      </c>
      <c r="B94" s="364" t="s">
        <v>133</v>
      </c>
      <c r="C94" s="409"/>
      <c r="D94" s="409"/>
      <c r="E94" s="392"/>
      <c r="F94" s="674" t="s">
        <v>742</v>
      </c>
    </row>
    <row r="95" spans="1:6" ht="12" customHeight="1">
      <c r="A95" s="370" t="s">
        <v>73</v>
      </c>
      <c r="B95" s="364" t="s">
        <v>100</v>
      </c>
      <c r="C95" s="411"/>
      <c r="D95" s="411"/>
      <c r="E95" s="394"/>
      <c r="F95" s="674" t="s">
        <v>743</v>
      </c>
    </row>
    <row r="96" spans="1:6" ht="12" customHeight="1">
      <c r="A96" s="370" t="s">
        <v>74</v>
      </c>
      <c r="B96" s="367" t="s">
        <v>134</v>
      </c>
      <c r="C96" s="411"/>
      <c r="D96" s="411"/>
      <c r="E96" s="394"/>
      <c r="F96" s="674" t="s">
        <v>744</v>
      </c>
    </row>
    <row r="97" spans="1:6" ht="12" customHeight="1">
      <c r="A97" s="370" t="s">
        <v>83</v>
      </c>
      <c r="B97" s="375" t="s">
        <v>135</v>
      </c>
      <c r="C97" s="411"/>
      <c r="D97" s="411"/>
      <c r="E97" s="411"/>
      <c r="F97" s="674" t="s">
        <v>745</v>
      </c>
    </row>
    <row r="98" spans="1:6" ht="12" customHeight="1">
      <c r="A98" s="370" t="s">
        <v>75</v>
      </c>
      <c r="B98" s="364" t="s">
        <v>434</v>
      </c>
      <c r="C98" s="411">
        <v>0</v>
      </c>
      <c r="D98" s="411">
        <v>0</v>
      </c>
      <c r="E98" s="394">
        <v>0</v>
      </c>
      <c r="F98" s="674" t="s">
        <v>746</v>
      </c>
    </row>
    <row r="99" spans="1:6" ht="12" customHeight="1">
      <c r="A99" s="370" t="s">
        <v>76</v>
      </c>
      <c r="B99" s="387" t="s">
        <v>435</v>
      </c>
      <c r="C99" s="411">
        <v>0</v>
      </c>
      <c r="D99" s="411">
        <v>0</v>
      </c>
      <c r="E99" s="394">
        <v>0</v>
      </c>
      <c r="F99" s="674" t="s">
        <v>747</v>
      </c>
    </row>
    <row r="100" spans="1:6" ht="12" customHeight="1">
      <c r="A100" s="370" t="s">
        <v>84</v>
      </c>
      <c r="B100" s="388" t="s">
        <v>436</v>
      </c>
      <c r="C100" s="411">
        <v>0</v>
      </c>
      <c r="D100" s="411">
        <v>0</v>
      </c>
      <c r="E100" s="394">
        <v>0</v>
      </c>
      <c r="F100" s="674" t="s">
        <v>748</v>
      </c>
    </row>
    <row r="101" spans="1:6" ht="12" customHeight="1">
      <c r="A101" s="370" t="s">
        <v>85</v>
      </c>
      <c r="B101" s="388" t="s">
        <v>437</v>
      </c>
      <c r="C101" s="411">
        <v>0</v>
      </c>
      <c r="D101" s="411">
        <v>0</v>
      </c>
      <c r="E101" s="394">
        <v>0</v>
      </c>
      <c r="F101" s="674" t="s">
        <v>749</v>
      </c>
    </row>
    <row r="102" spans="1:6" ht="12" customHeight="1">
      <c r="A102" s="370" t="s">
        <v>86</v>
      </c>
      <c r="B102" s="387" t="s">
        <v>438</v>
      </c>
      <c r="C102" s="411">
        <v>0</v>
      </c>
      <c r="D102" s="411">
        <v>0</v>
      </c>
      <c r="E102" s="394">
        <v>0</v>
      </c>
      <c r="F102" s="674" t="s">
        <v>750</v>
      </c>
    </row>
    <row r="103" spans="1:6" ht="12" customHeight="1">
      <c r="A103" s="370" t="s">
        <v>87</v>
      </c>
      <c r="B103" s="387" t="s">
        <v>439</v>
      </c>
      <c r="C103" s="411">
        <v>0</v>
      </c>
      <c r="D103" s="411">
        <v>0</v>
      </c>
      <c r="E103" s="394">
        <v>0</v>
      </c>
      <c r="F103" s="674" t="s">
        <v>751</v>
      </c>
    </row>
    <row r="104" spans="1:6" ht="12" customHeight="1">
      <c r="A104" s="370" t="s">
        <v>89</v>
      </c>
      <c r="B104" s="388" t="s">
        <v>440</v>
      </c>
      <c r="C104" s="411">
        <v>0</v>
      </c>
      <c r="D104" s="411">
        <v>0</v>
      </c>
      <c r="E104" s="394">
        <v>0</v>
      </c>
      <c r="F104" s="674" t="s">
        <v>752</v>
      </c>
    </row>
    <row r="105" spans="1:6" ht="12" customHeight="1">
      <c r="A105" s="369" t="s">
        <v>136</v>
      </c>
      <c r="B105" s="389" t="s">
        <v>441</v>
      </c>
      <c r="C105" s="411">
        <v>0</v>
      </c>
      <c r="D105" s="411">
        <v>0</v>
      </c>
      <c r="E105" s="394">
        <v>0</v>
      </c>
      <c r="F105" s="674" t="s">
        <v>753</v>
      </c>
    </row>
    <row r="106" spans="1:6" ht="12" customHeight="1">
      <c r="A106" s="370" t="s">
        <v>442</v>
      </c>
      <c r="B106" s="389" t="s">
        <v>443</v>
      </c>
      <c r="C106" s="411">
        <v>0</v>
      </c>
      <c r="D106" s="411">
        <v>0</v>
      </c>
      <c r="E106" s="394">
        <v>0</v>
      </c>
      <c r="F106" s="674" t="s">
        <v>754</v>
      </c>
    </row>
    <row r="107" spans="1:6" ht="12" customHeight="1" thickBot="1">
      <c r="A107" s="374" t="s">
        <v>444</v>
      </c>
      <c r="B107" s="390" t="s">
        <v>445</v>
      </c>
      <c r="C107" s="99"/>
      <c r="D107" s="99"/>
      <c r="E107" s="355"/>
      <c r="F107" s="674" t="s">
        <v>755</v>
      </c>
    </row>
    <row r="108" spans="1:6" ht="12" customHeight="1" thickBot="1">
      <c r="A108" s="376" t="s">
        <v>7</v>
      </c>
      <c r="B108" s="379" t="s">
        <v>446</v>
      </c>
      <c r="C108" s="408">
        <f>C109+C111+C113</f>
        <v>0</v>
      </c>
      <c r="D108" s="408">
        <f>D109+D111+D113</f>
        <v>0</v>
      </c>
      <c r="E108" s="408">
        <f>E109+E111+E113</f>
        <v>0</v>
      </c>
      <c r="F108" s="674" t="s">
        <v>756</v>
      </c>
    </row>
    <row r="109" spans="1:6" ht="12" customHeight="1">
      <c r="A109" s="371" t="s">
        <v>77</v>
      </c>
      <c r="B109" s="364" t="s">
        <v>157</v>
      </c>
      <c r="C109" s="410"/>
      <c r="D109" s="410">
        <v>0</v>
      </c>
      <c r="E109" s="393">
        <v>0</v>
      </c>
      <c r="F109" s="674" t="s">
        <v>757</v>
      </c>
    </row>
    <row r="110" spans="1:6" ht="12" customHeight="1">
      <c r="A110" s="371" t="s">
        <v>78</v>
      </c>
      <c r="B110" s="368" t="s">
        <v>447</v>
      </c>
      <c r="C110" s="410"/>
      <c r="D110" s="410">
        <v>0</v>
      </c>
      <c r="E110" s="393">
        <v>0</v>
      </c>
      <c r="F110" s="674" t="s">
        <v>758</v>
      </c>
    </row>
    <row r="111" spans="1:6" ht="15.75">
      <c r="A111" s="371" t="s">
        <v>79</v>
      </c>
      <c r="B111" s="368" t="s">
        <v>137</v>
      </c>
      <c r="C111" s="409"/>
      <c r="D111" s="409">
        <v>0</v>
      </c>
      <c r="E111" s="392">
        <v>0</v>
      </c>
      <c r="F111" s="674" t="s">
        <v>759</v>
      </c>
    </row>
    <row r="112" spans="1:6" ht="12" customHeight="1">
      <c r="A112" s="371" t="s">
        <v>80</v>
      </c>
      <c r="B112" s="368" t="s">
        <v>448</v>
      </c>
      <c r="C112" s="409">
        <v>0</v>
      </c>
      <c r="D112" s="409">
        <v>0</v>
      </c>
      <c r="E112" s="392">
        <v>0</v>
      </c>
      <c r="F112" s="674" t="s">
        <v>760</v>
      </c>
    </row>
    <row r="113" spans="1:6" ht="12" customHeight="1">
      <c r="A113" s="371" t="s">
        <v>81</v>
      </c>
      <c r="B113" s="400" t="s">
        <v>160</v>
      </c>
      <c r="C113" s="409"/>
      <c r="D113" s="409"/>
      <c r="E113" s="409">
        <f>E121</f>
        <v>0</v>
      </c>
      <c r="F113" s="674" t="s">
        <v>761</v>
      </c>
    </row>
    <row r="114" spans="1:6" ht="21.75" customHeight="1">
      <c r="A114" s="371" t="s">
        <v>88</v>
      </c>
      <c r="B114" s="399" t="s">
        <v>449</v>
      </c>
      <c r="C114" s="409">
        <v>0</v>
      </c>
      <c r="D114" s="409">
        <v>0</v>
      </c>
      <c r="E114" s="392">
        <v>0</v>
      </c>
      <c r="F114" s="674" t="s">
        <v>762</v>
      </c>
    </row>
    <row r="115" spans="1:6" ht="24" customHeight="1">
      <c r="A115" s="371" t="s">
        <v>90</v>
      </c>
      <c r="B115" s="415" t="s">
        <v>450</v>
      </c>
      <c r="C115" s="409">
        <v>0</v>
      </c>
      <c r="D115" s="409">
        <v>0</v>
      </c>
      <c r="E115" s="392">
        <v>0</v>
      </c>
      <c r="F115" s="674" t="s">
        <v>763</v>
      </c>
    </row>
    <row r="116" spans="1:6" ht="12" customHeight="1">
      <c r="A116" s="371" t="s">
        <v>138</v>
      </c>
      <c r="B116" s="388" t="s">
        <v>437</v>
      </c>
      <c r="C116" s="409">
        <v>0</v>
      </c>
      <c r="D116" s="409">
        <v>0</v>
      </c>
      <c r="E116" s="392">
        <v>0</v>
      </c>
      <c r="F116" s="674" t="s">
        <v>764</v>
      </c>
    </row>
    <row r="117" spans="1:6" ht="12" customHeight="1">
      <c r="A117" s="371" t="s">
        <v>139</v>
      </c>
      <c r="B117" s="388" t="s">
        <v>451</v>
      </c>
      <c r="C117" s="409">
        <v>0</v>
      </c>
      <c r="D117" s="409">
        <v>0</v>
      </c>
      <c r="E117" s="392">
        <v>0</v>
      </c>
      <c r="F117" s="674" t="s">
        <v>765</v>
      </c>
    </row>
    <row r="118" spans="1:6" ht="12" customHeight="1">
      <c r="A118" s="371" t="s">
        <v>140</v>
      </c>
      <c r="B118" s="388" t="s">
        <v>452</v>
      </c>
      <c r="C118" s="409">
        <v>0</v>
      </c>
      <c r="D118" s="409">
        <v>0</v>
      </c>
      <c r="E118" s="392">
        <v>0</v>
      </c>
      <c r="F118" s="674" t="s">
        <v>766</v>
      </c>
    </row>
    <row r="119" spans="1:6" s="436" customFormat="1" ht="12" customHeight="1">
      <c r="A119" s="371" t="s">
        <v>453</v>
      </c>
      <c r="B119" s="388" t="s">
        <v>440</v>
      </c>
      <c r="C119" s="409">
        <v>0</v>
      </c>
      <c r="D119" s="409">
        <v>0</v>
      </c>
      <c r="E119" s="392">
        <v>0</v>
      </c>
      <c r="F119" s="674" t="s">
        <v>767</v>
      </c>
    </row>
    <row r="120" spans="1:6" ht="12" customHeight="1">
      <c r="A120" s="371" t="s">
        <v>454</v>
      </c>
      <c r="B120" s="388" t="s">
        <v>455</v>
      </c>
      <c r="C120" s="409">
        <v>0</v>
      </c>
      <c r="D120" s="409">
        <v>0</v>
      </c>
      <c r="E120" s="392">
        <v>0</v>
      </c>
      <c r="F120" s="674" t="s">
        <v>768</v>
      </c>
    </row>
    <row r="121" spans="1:6" ht="12" customHeight="1" thickBot="1">
      <c r="A121" s="369" t="s">
        <v>456</v>
      </c>
      <c r="B121" s="388" t="s">
        <v>457</v>
      </c>
      <c r="C121" s="411"/>
      <c r="D121" s="411"/>
      <c r="E121" s="394">
        <v>0</v>
      </c>
      <c r="F121" s="674" t="s">
        <v>769</v>
      </c>
    </row>
    <row r="122" spans="1:6" ht="12" customHeight="1" thickBot="1">
      <c r="A122" s="376" t="s">
        <v>8</v>
      </c>
      <c r="B122" s="384" t="s">
        <v>458</v>
      </c>
      <c r="C122" s="408">
        <f>SUM(C123:C124)</f>
        <v>0</v>
      </c>
      <c r="D122" s="408">
        <f>SUM(D123:D124)</f>
        <v>0</v>
      </c>
      <c r="E122" s="408">
        <f>SUM(E123:E124)</f>
        <v>0</v>
      </c>
      <c r="F122" s="674" t="s">
        <v>770</v>
      </c>
    </row>
    <row r="123" spans="1:6" ht="12" customHeight="1">
      <c r="A123" s="371" t="s">
        <v>60</v>
      </c>
      <c r="B123" s="365" t="s">
        <v>46</v>
      </c>
      <c r="C123" s="410"/>
      <c r="D123" s="410">
        <v>0</v>
      </c>
      <c r="E123" s="393">
        <v>0</v>
      </c>
      <c r="F123" s="674" t="s">
        <v>771</v>
      </c>
    </row>
    <row r="124" spans="1:6" ht="12" customHeight="1" thickBot="1">
      <c r="A124" s="372" t="s">
        <v>61</v>
      </c>
      <c r="B124" s="368" t="s">
        <v>47</v>
      </c>
      <c r="C124" s="411"/>
      <c r="D124" s="411">
        <v>0</v>
      </c>
      <c r="E124" s="394">
        <v>0</v>
      </c>
      <c r="F124" s="674" t="s">
        <v>772</v>
      </c>
    </row>
    <row r="125" spans="1:6" ht="12" customHeight="1" thickBot="1">
      <c r="A125" s="376" t="s">
        <v>9</v>
      </c>
      <c r="B125" s="384" t="s">
        <v>459</v>
      </c>
      <c r="C125" s="408">
        <f>C92+C108+C122</f>
        <v>0</v>
      </c>
      <c r="D125" s="408">
        <f>D92+D108+D122</f>
        <v>0</v>
      </c>
      <c r="E125" s="408">
        <f>E92+E108+E122</f>
        <v>0</v>
      </c>
      <c r="F125" s="674" t="s">
        <v>773</v>
      </c>
    </row>
    <row r="126" spans="1:6" ht="12" customHeight="1" thickBot="1">
      <c r="A126" s="376" t="s">
        <v>10</v>
      </c>
      <c r="B126" s="384" t="s">
        <v>460</v>
      </c>
      <c r="C126" s="408">
        <f>SUM(C127:C129)</f>
        <v>0</v>
      </c>
      <c r="D126" s="408">
        <f>SUM(D127:D129)</f>
        <v>0</v>
      </c>
      <c r="E126" s="408">
        <f>SUM(E127:E129)</f>
        <v>0</v>
      </c>
      <c r="F126" s="674" t="s">
        <v>774</v>
      </c>
    </row>
    <row r="127" spans="1:6" ht="12" customHeight="1">
      <c r="A127" s="371" t="s">
        <v>64</v>
      </c>
      <c r="B127" s="365" t="s">
        <v>461</v>
      </c>
      <c r="C127" s="409">
        <v>0</v>
      </c>
      <c r="D127" s="409">
        <v>0</v>
      </c>
      <c r="E127" s="392">
        <v>0</v>
      </c>
      <c r="F127" s="674" t="s">
        <v>775</v>
      </c>
    </row>
    <row r="128" spans="1:6" ht="12" customHeight="1">
      <c r="A128" s="371" t="s">
        <v>65</v>
      </c>
      <c r="B128" s="365" t="s">
        <v>462</v>
      </c>
      <c r="C128" s="409">
        <v>0</v>
      </c>
      <c r="D128" s="409">
        <v>0</v>
      </c>
      <c r="E128" s="392">
        <v>0</v>
      </c>
      <c r="F128" s="674" t="s">
        <v>776</v>
      </c>
    </row>
    <row r="129" spans="1:6" ht="12" customHeight="1" thickBot="1">
      <c r="A129" s="369" t="s">
        <v>66</v>
      </c>
      <c r="B129" s="363" t="s">
        <v>463</v>
      </c>
      <c r="C129" s="409">
        <v>0</v>
      </c>
      <c r="D129" s="409">
        <v>0</v>
      </c>
      <c r="E129" s="392">
        <v>0</v>
      </c>
      <c r="F129" s="674" t="s">
        <v>777</v>
      </c>
    </row>
    <row r="130" spans="1:6" ht="12" customHeight="1" thickBot="1">
      <c r="A130" s="376" t="s">
        <v>11</v>
      </c>
      <c r="B130" s="384" t="s">
        <v>464</v>
      </c>
      <c r="C130" s="408">
        <f>SUM(C131:C134)</f>
        <v>0</v>
      </c>
      <c r="D130" s="408">
        <f>SUM(D131:D134)</f>
        <v>0</v>
      </c>
      <c r="E130" s="408">
        <f>SUM(E131:E134)</f>
        <v>0</v>
      </c>
      <c r="F130" s="674" t="s">
        <v>778</v>
      </c>
    </row>
    <row r="131" spans="1:6" ht="12" customHeight="1">
      <c r="A131" s="371" t="s">
        <v>67</v>
      </c>
      <c r="B131" s="365" t="s">
        <v>465</v>
      </c>
      <c r="C131" s="409">
        <v>0</v>
      </c>
      <c r="D131" s="409">
        <v>0</v>
      </c>
      <c r="E131" s="392">
        <v>0</v>
      </c>
      <c r="F131" s="674" t="s">
        <v>779</v>
      </c>
    </row>
    <row r="132" spans="1:6" ht="12" customHeight="1">
      <c r="A132" s="371" t="s">
        <v>68</v>
      </c>
      <c r="B132" s="365" t="s">
        <v>466</v>
      </c>
      <c r="C132" s="409">
        <v>0</v>
      </c>
      <c r="D132" s="409">
        <v>0</v>
      </c>
      <c r="E132" s="392">
        <v>0</v>
      </c>
      <c r="F132" s="674" t="s">
        <v>780</v>
      </c>
    </row>
    <row r="133" spans="1:6" ht="12" customHeight="1">
      <c r="A133" s="371" t="s">
        <v>361</v>
      </c>
      <c r="B133" s="365" t="s">
        <v>467</v>
      </c>
      <c r="C133" s="409">
        <v>0</v>
      </c>
      <c r="D133" s="409">
        <v>0</v>
      </c>
      <c r="E133" s="392">
        <v>0</v>
      </c>
      <c r="F133" s="674" t="s">
        <v>781</v>
      </c>
    </row>
    <row r="134" spans="1:6" ht="12" customHeight="1" thickBot="1">
      <c r="A134" s="369" t="s">
        <v>363</v>
      </c>
      <c r="B134" s="363" t="s">
        <v>468</v>
      </c>
      <c r="C134" s="409">
        <v>0</v>
      </c>
      <c r="D134" s="409">
        <v>0</v>
      </c>
      <c r="E134" s="392">
        <v>0</v>
      </c>
      <c r="F134" s="674" t="s">
        <v>782</v>
      </c>
    </row>
    <row r="135" spans="1:6" ht="12" customHeight="1" thickBot="1">
      <c r="A135" s="376" t="s">
        <v>12</v>
      </c>
      <c r="B135" s="384" t="s">
        <v>469</v>
      </c>
      <c r="C135" s="414">
        <f>SUM(C136:C139)</f>
        <v>0</v>
      </c>
      <c r="D135" s="414">
        <f>SUM(D136:D139)</f>
        <v>0</v>
      </c>
      <c r="E135" s="414">
        <f>SUM(E136:E139)</f>
        <v>0</v>
      </c>
      <c r="F135" s="674" t="s">
        <v>783</v>
      </c>
    </row>
    <row r="136" spans="1:6" ht="12" customHeight="1">
      <c r="A136" s="371" t="s">
        <v>69</v>
      </c>
      <c r="B136" s="365" t="s">
        <v>470</v>
      </c>
      <c r="C136" s="409">
        <v>0</v>
      </c>
      <c r="D136" s="409">
        <v>0</v>
      </c>
      <c r="E136" s="392">
        <v>0</v>
      </c>
      <c r="F136" s="674" t="s">
        <v>784</v>
      </c>
    </row>
    <row r="137" spans="1:6" ht="12" customHeight="1">
      <c r="A137" s="371" t="s">
        <v>70</v>
      </c>
      <c r="B137" s="365" t="s">
        <v>471</v>
      </c>
      <c r="C137" s="409">
        <v>0</v>
      </c>
      <c r="D137" s="409">
        <v>0</v>
      </c>
      <c r="E137" s="392">
        <v>0</v>
      </c>
      <c r="F137" s="674" t="s">
        <v>785</v>
      </c>
    </row>
    <row r="138" spans="1:6" ht="12" customHeight="1">
      <c r="A138" s="371" t="s">
        <v>370</v>
      </c>
      <c r="B138" s="365" t="s">
        <v>472</v>
      </c>
      <c r="C138" s="409">
        <v>0</v>
      </c>
      <c r="D138" s="409">
        <v>0</v>
      </c>
      <c r="E138" s="392">
        <v>0</v>
      </c>
      <c r="F138" s="674" t="s">
        <v>786</v>
      </c>
    </row>
    <row r="139" spans="1:6" ht="12" customHeight="1" thickBot="1">
      <c r="A139" s="369" t="s">
        <v>372</v>
      </c>
      <c r="B139" s="363" t="s">
        <v>473</v>
      </c>
      <c r="C139" s="409">
        <v>0</v>
      </c>
      <c r="D139" s="409">
        <v>0</v>
      </c>
      <c r="E139" s="392">
        <v>0</v>
      </c>
      <c r="F139" s="674" t="s">
        <v>787</v>
      </c>
    </row>
    <row r="140" spans="1:9" ht="15" customHeight="1" thickBot="1">
      <c r="A140" s="376" t="s">
        <v>13</v>
      </c>
      <c r="B140" s="384" t="s">
        <v>474</v>
      </c>
      <c r="C140" s="100">
        <f>SUM(C141:C144)</f>
        <v>0</v>
      </c>
      <c r="D140" s="100">
        <f>SUM(D141:D144)</f>
        <v>0</v>
      </c>
      <c r="E140" s="100">
        <f>SUM(E141:E144)</f>
        <v>0</v>
      </c>
      <c r="F140" s="674" t="s">
        <v>788</v>
      </c>
      <c r="G140" s="425"/>
      <c r="H140" s="425"/>
      <c r="I140" s="425"/>
    </row>
    <row r="141" spans="1:6" s="418" customFormat="1" ht="12.75" customHeight="1">
      <c r="A141" s="371" t="s">
        <v>131</v>
      </c>
      <c r="B141" s="365" t="s">
        <v>475</v>
      </c>
      <c r="C141" s="409">
        <v>0</v>
      </c>
      <c r="D141" s="409">
        <v>0</v>
      </c>
      <c r="E141" s="392">
        <v>0</v>
      </c>
      <c r="F141" s="674" t="s">
        <v>789</v>
      </c>
    </row>
    <row r="142" spans="1:6" ht="12.75" customHeight="1">
      <c r="A142" s="371" t="s">
        <v>132</v>
      </c>
      <c r="B142" s="365" t="s">
        <v>476</v>
      </c>
      <c r="C142" s="409">
        <v>0</v>
      </c>
      <c r="D142" s="409">
        <v>0</v>
      </c>
      <c r="E142" s="392">
        <v>0</v>
      </c>
      <c r="F142" s="674" t="s">
        <v>790</v>
      </c>
    </row>
    <row r="143" spans="1:6" ht="12.75" customHeight="1">
      <c r="A143" s="371" t="s">
        <v>159</v>
      </c>
      <c r="B143" s="365" t="s">
        <v>477</v>
      </c>
      <c r="C143" s="409">
        <v>0</v>
      </c>
      <c r="D143" s="409">
        <v>0</v>
      </c>
      <c r="E143" s="392">
        <v>0</v>
      </c>
      <c r="F143" s="674" t="s">
        <v>791</v>
      </c>
    </row>
    <row r="144" spans="1:6" ht="12.75" customHeight="1" thickBot="1">
      <c r="A144" s="371" t="s">
        <v>378</v>
      </c>
      <c r="B144" s="365" t="s">
        <v>478</v>
      </c>
      <c r="C144" s="409">
        <v>0</v>
      </c>
      <c r="D144" s="409">
        <v>0</v>
      </c>
      <c r="E144" s="392">
        <v>0</v>
      </c>
      <c r="F144" s="674" t="s">
        <v>792</v>
      </c>
    </row>
    <row r="145" spans="1:6" ht="16.5" thickBot="1">
      <c r="A145" s="376" t="s">
        <v>14</v>
      </c>
      <c r="B145" s="384" t="s">
        <v>479</v>
      </c>
      <c r="C145" s="358">
        <f>C126+C130+C135+C140</f>
        <v>0</v>
      </c>
      <c r="D145" s="358">
        <f>D126+D130+D135+D140</f>
        <v>0</v>
      </c>
      <c r="E145" s="358">
        <f>E126+E130+E135+E140</f>
        <v>0</v>
      </c>
      <c r="F145" s="674" t="s">
        <v>793</v>
      </c>
    </row>
    <row r="146" spans="1:6" ht="16.5" thickBot="1">
      <c r="A146" s="401" t="s">
        <v>15</v>
      </c>
      <c r="B146" s="404" t="s">
        <v>480</v>
      </c>
      <c r="C146" s="358">
        <f>C125+C145</f>
        <v>0</v>
      </c>
      <c r="D146" s="358">
        <f>D125+D145</f>
        <v>0</v>
      </c>
      <c r="E146" s="358">
        <f>E125+E145</f>
        <v>0</v>
      </c>
      <c r="F146" s="674" t="s">
        <v>794</v>
      </c>
    </row>
    <row r="148" spans="1:5" ht="18.75" customHeight="1">
      <c r="A148" s="761" t="s">
        <v>481</v>
      </c>
      <c r="B148" s="761"/>
      <c r="C148" s="761"/>
      <c r="D148" s="761"/>
      <c r="E148" s="761"/>
    </row>
    <row r="149" spans="1:5" ht="13.5" customHeight="1" thickBot="1">
      <c r="A149" s="386" t="s">
        <v>113</v>
      </c>
      <c r="B149" s="386"/>
      <c r="C149" s="416"/>
      <c r="E149" s="403" t="s">
        <v>158</v>
      </c>
    </row>
    <row r="150" spans="1:5" ht="21.75" thickBot="1">
      <c r="A150" s="376">
        <v>1</v>
      </c>
      <c r="B150" s="379" t="s">
        <v>482</v>
      </c>
      <c r="C150" s="402">
        <f>+C61-C125</f>
        <v>0</v>
      </c>
      <c r="D150" s="402">
        <f>+D61-D125</f>
        <v>0</v>
      </c>
      <c r="E150" s="402">
        <f>+E61-E125</f>
        <v>0</v>
      </c>
    </row>
    <row r="151" spans="1:5" ht="21.75" thickBot="1">
      <c r="A151" s="376" t="s">
        <v>7</v>
      </c>
      <c r="B151" s="379" t="s">
        <v>483</v>
      </c>
      <c r="C151" s="402">
        <f>+C84-C145</f>
        <v>0</v>
      </c>
      <c r="D151" s="402">
        <f>+D84-D145</f>
        <v>0</v>
      </c>
      <c r="E151" s="40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405" customFormat="1" ht="12.75" customHeight="1">
      <c r="C161" s="406"/>
      <c r="D161" s="406"/>
      <c r="E161" s="406"/>
      <c r="F161" s="416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headerFooter alignWithMargins="0">
    <oddHeader>&amp;C&amp;"Times New Roman CE,Félkövér"&amp;12
Tengelic Község Önkormányzata
2017. ÉVI ZÁRSZÁMADÁS
ÖNKÉNT VÁLLALT FELADATAINAK MÉRLEGE
&amp;R&amp;"Times New Roman CE,Félkövér dőlt"&amp;11 1.3. melléklet a 6./2018. (V.30.)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BreakPreview" zoomScaleNormal="130" zoomScaleSheetLayoutView="100" zoomScalePageLayoutView="0" workbookViewId="0" topLeftCell="A1">
      <selection activeCell="C138" sqref="C138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6" width="9.375" style="416" hidden="1" customWidth="1"/>
    <col min="7" max="16384" width="9.375" style="416" customWidth="1"/>
  </cols>
  <sheetData>
    <row r="1" spans="1:5" ht="15.75" customHeight="1">
      <c r="A1" s="756" t="s">
        <v>3</v>
      </c>
      <c r="B1" s="756"/>
      <c r="C1" s="756"/>
      <c r="D1" s="756"/>
      <c r="E1" s="756"/>
    </row>
    <row r="2" spans="1:5" ht="15.75" customHeight="1" thickBot="1">
      <c r="A2" s="45" t="s">
        <v>111</v>
      </c>
      <c r="B2" s="45"/>
      <c r="C2" s="403"/>
      <c r="D2" s="403"/>
      <c r="E2" s="403" t="s">
        <v>879</v>
      </c>
    </row>
    <row r="3" spans="1:6" ht="15.75" customHeight="1">
      <c r="A3" s="762" t="s">
        <v>59</v>
      </c>
      <c r="B3" s="759" t="s">
        <v>5</v>
      </c>
      <c r="C3" s="757" t="str">
        <f>+'1.1.sz.mell.'!C3:E3</f>
        <v>2017. évi</v>
      </c>
      <c r="D3" s="757"/>
      <c r="E3" s="758"/>
      <c r="F3" s="674"/>
    </row>
    <row r="4" spans="1:6" ht="37.5" customHeight="1" thickBot="1">
      <c r="A4" s="763"/>
      <c r="B4" s="760"/>
      <c r="C4" s="47" t="s">
        <v>180</v>
      </c>
      <c r="D4" s="47" t="s">
        <v>185</v>
      </c>
      <c r="E4" s="48" t="s">
        <v>186</v>
      </c>
      <c r="F4" s="674"/>
    </row>
    <row r="5" spans="1:6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29" t="s">
        <v>431</v>
      </c>
      <c r="F5" s="675"/>
    </row>
    <row r="6" spans="1:6" s="418" customFormat="1" ht="12" customHeight="1" thickBot="1">
      <c r="A6" s="376" t="s">
        <v>6</v>
      </c>
      <c r="B6" s="377" t="s">
        <v>311</v>
      </c>
      <c r="C6" s="408">
        <v>0</v>
      </c>
      <c r="D6" s="408">
        <v>0</v>
      </c>
      <c r="E6" s="391">
        <v>0</v>
      </c>
      <c r="F6" s="676" t="s">
        <v>740</v>
      </c>
    </row>
    <row r="7" spans="1:6" s="418" customFormat="1" ht="12" customHeight="1">
      <c r="A7" s="371" t="s">
        <v>71</v>
      </c>
      <c r="B7" s="419" t="s">
        <v>312</v>
      </c>
      <c r="C7" s="410">
        <v>0</v>
      </c>
      <c r="D7" s="410">
        <v>0</v>
      </c>
      <c r="E7" s="393">
        <v>0</v>
      </c>
      <c r="F7" s="676" t="s">
        <v>741</v>
      </c>
    </row>
    <row r="8" spans="1:6" s="418" customFormat="1" ht="12" customHeight="1">
      <c r="A8" s="370" t="s">
        <v>72</v>
      </c>
      <c r="B8" s="420" t="s">
        <v>313</v>
      </c>
      <c r="C8" s="409">
        <v>0</v>
      </c>
      <c r="D8" s="409">
        <v>0</v>
      </c>
      <c r="E8" s="392">
        <v>0</v>
      </c>
      <c r="F8" s="676" t="s">
        <v>742</v>
      </c>
    </row>
    <row r="9" spans="1:6" s="418" customFormat="1" ht="12" customHeight="1">
      <c r="A9" s="370" t="s">
        <v>73</v>
      </c>
      <c r="B9" s="420" t="s">
        <v>314</v>
      </c>
      <c r="C9" s="409"/>
      <c r="D9" s="409">
        <v>0</v>
      </c>
      <c r="E9" s="392">
        <v>0</v>
      </c>
      <c r="F9" s="676" t="s">
        <v>743</v>
      </c>
    </row>
    <row r="10" spans="1:6" s="418" customFormat="1" ht="12" customHeight="1">
      <c r="A10" s="370" t="s">
        <v>74</v>
      </c>
      <c r="B10" s="420" t="s">
        <v>315</v>
      </c>
      <c r="C10" s="409"/>
      <c r="D10" s="409">
        <v>0</v>
      </c>
      <c r="E10" s="392">
        <v>0</v>
      </c>
      <c r="F10" s="676" t="s">
        <v>744</v>
      </c>
    </row>
    <row r="11" spans="1:6" s="418" customFormat="1" ht="12" customHeight="1">
      <c r="A11" s="370" t="s">
        <v>107</v>
      </c>
      <c r="B11" s="420" t="s">
        <v>316</v>
      </c>
      <c r="C11" s="409"/>
      <c r="D11" s="409">
        <v>0</v>
      </c>
      <c r="E11" s="392">
        <v>0</v>
      </c>
      <c r="F11" s="676" t="s">
        <v>745</v>
      </c>
    </row>
    <row r="12" spans="1:6" s="418" customFormat="1" ht="12" customHeight="1" thickBot="1">
      <c r="A12" s="372" t="s">
        <v>75</v>
      </c>
      <c r="B12" s="421" t="s">
        <v>317</v>
      </c>
      <c r="C12" s="411"/>
      <c r="D12" s="411">
        <v>0</v>
      </c>
      <c r="E12" s="394">
        <v>0</v>
      </c>
      <c r="F12" s="676" t="s">
        <v>746</v>
      </c>
    </row>
    <row r="13" spans="1:6" s="418" customFormat="1" ht="12" customHeight="1" thickBot="1">
      <c r="A13" s="376" t="s">
        <v>7</v>
      </c>
      <c r="B13" s="398" t="s">
        <v>318</v>
      </c>
      <c r="C13" s="408">
        <v>0</v>
      </c>
      <c r="D13" s="408">
        <v>0</v>
      </c>
      <c r="E13" s="391">
        <v>0</v>
      </c>
      <c r="F13" s="676" t="s">
        <v>747</v>
      </c>
    </row>
    <row r="14" spans="1:6" s="418" customFormat="1" ht="12" customHeight="1">
      <c r="A14" s="371" t="s">
        <v>77</v>
      </c>
      <c r="B14" s="419" t="s">
        <v>319</v>
      </c>
      <c r="C14" s="410">
        <v>0</v>
      </c>
      <c r="D14" s="410">
        <v>0</v>
      </c>
      <c r="E14" s="393">
        <v>0</v>
      </c>
      <c r="F14" s="676" t="s">
        <v>748</v>
      </c>
    </row>
    <row r="15" spans="1:6" s="418" customFormat="1" ht="12" customHeight="1">
      <c r="A15" s="370" t="s">
        <v>78</v>
      </c>
      <c r="B15" s="420" t="s">
        <v>320</v>
      </c>
      <c r="C15" s="409">
        <v>0</v>
      </c>
      <c r="D15" s="409">
        <v>0</v>
      </c>
      <c r="E15" s="392">
        <v>0</v>
      </c>
      <c r="F15" s="676" t="s">
        <v>749</v>
      </c>
    </row>
    <row r="16" spans="1:6" s="418" customFormat="1" ht="12" customHeight="1">
      <c r="A16" s="370" t="s">
        <v>79</v>
      </c>
      <c r="B16" s="420" t="s">
        <v>321</v>
      </c>
      <c r="C16" s="409">
        <v>0</v>
      </c>
      <c r="D16" s="409">
        <v>0</v>
      </c>
      <c r="E16" s="392">
        <v>0</v>
      </c>
      <c r="F16" s="676" t="s">
        <v>750</v>
      </c>
    </row>
    <row r="17" spans="1:6" s="418" customFormat="1" ht="12" customHeight="1">
      <c r="A17" s="370" t="s">
        <v>80</v>
      </c>
      <c r="B17" s="420" t="s">
        <v>322</v>
      </c>
      <c r="C17" s="409">
        <v>0</v>
      </c>
      <c r="D17" s="409">
        <v>0</v>
      </c>
      <c r="E17" s="392">
        <v>0</v>
      </c>
      <c r="F17" s="676" t="s">
        <v>751</v>
      </c>
    </row>
    <row r="18" spans="1:6" s="418" customFormat="1" ht="12" customHeight="1">
      <c r="A18" s="370" t="s">
        <v>81</v>
      </c>
      <c r="B18" s="420" t="s">
        <v>323</v>
      </c>
      <c r="C18" s="409"/>
      <c r="D18" s="409">
        <v>0</v>
      </c>
      <c r="E18" s="392">
        <v>0</v>
      </c>
      <c r="F18" s="676" t="s">
        <v>752</v>
      </c>
    </row>
    <row r="19" spans="1:6" s="418" customFormat="1" ht="12" customHeight="1" thickBot="1">
      <c r="A19" s="372" t="s">
        <v>88</v>
      </c>
      <c r="B19" s="421" t="s">
        <v>324</v>
      </c>
      <c r="C19" s="411">
        <v>0</v>
      </c>
      <c r="D19" s="411">
        <v>0</v>
      </c>
      <c r="E19" s="394">
        <v>0</v>
      </c>
      <c r="F19" s="676" t="s">
        <v>753</v>
      </c>
    </row>
    <row r="20" spans="1:6" s="418" customFormat="1" ht="12" customHeight="1" thickBot="1">
      <c r="A20" s="376" t="s">
        <v>8</v>
      </c>
      <c r="B20" s="377" t="s">
        <v>325</v>
      </c>
      <c r="C20" s="408">
        <v>0</v>
      </c>
      <c r="D20" s="408">
        <v>0</v>
      </c>
      <c r="E20" s="391">
        <v>0</v>
      </c>
      <c r="F20" s="676" t="s">
        <v>754</v>
      </c>
    </row>
    <row r="21" spans="1:6" s="418" customFormat="1" ht="12" customHeight="1">
      <c r="A21" s="371" t="s">
        <v>60</v>
      </c>
      <c r="B21" s="419" t="s">
        <v>326</v>
      </c>
      <c r="C21" s="410"/>
      <c r="D21" s="410">
        <v>0</v>
      </c>
      <c r="E21" s="393">
        <v>0</v>
      </c>
      <c r="F21" s="676" t="s">
        <v>755</v>
      </c>
    </row>
    <row r="22" spans="1:6" s="418" customFormat="1" ht="12" customHeight="1">
      <c r="A22" s="370" t="s">
        <v>61</v>
      </c>
      <c r="B22" s="420" t="s">
        <v>327</v>
      </c>
      <c r="C22" s="409">
        <v>0</v>
      </c>
      <c r="D22" s="409">
        <v>0</v>
      </c>
      <c r="E22" s="392">
        <v>0</v>
      </c>
      <c r="F22" s="676" t="s">
        <v>756</v>
      </c>
    </row>
    <row r="23" spans="1:6" s="418" customFormat="1" ht="12" customHeight="1">
      <c r="A23" s="370" t="s">
        <v>62</v>
      </c>
      <c r="B23" s="420" t="s">
        <v>328</v>
      </c>
      <c r="C23" s="409">
        <v>0</v>
      </c>
      <c r="D23" s="409">
        <v>0</v>
      </c>
      <c r="E23" s="392">
        <v>0</v>
      </c>
      <c r="F23" s="676" t="s">
        <v>757</v>
      </c>
    </row>
    <row r="24" spans="1:6" s="418" customFormat="1" ht="12" customHeight="1">
      <c r="A24" s="370" t="s">
        <v>63</v>
      </c>
      <c r="B24" s="420" t="s">
        <v>329</v>
      </c>
      <c r="C24" s="409">
        <v>0</v>
      </c>
      <c r="D24" s="409">
        <v>0</v>
      </c>
      <c r="E24" s="392">
        <v>0</v>
      </c>
      <c r="F24" s="676" t="s">
        <v>758</v>
      </c>
    </row>
    <row r="25" spans="1:6" s="418" customFormat="1" ht="12" customHeight="1">
      <c r="A25" s="370" t="s">
        <v>121</v>
      </c>
      <c r="B25" s="420" t="s">
        <v>330</v>
      </c>
      <c r="C25" s="409"/>
      <c r="D25" s="409">
        <v>0</v>
      </c>
      <c r="E25" s="392">
        <v>0</v>
      </c>
      <c r="F25" s="676" t="s">
        <v>759</v>
      </c>
    </row>
    <row r="26" spans="1:6" s="418" customFormat="1" ht="12" customHeight="1" thickBot="1">
      <c r="A26" s="372" t="s">
        <v>122</v>
      </c>
      <c r="B26" s="421" t="s">
        <v>331</v>
      </c>
      <c r="C26" s="411">
        <v>0</v>
      </c>
      <c r="D26" s="411">
        <v>0</v>
      </c>
      <c r="E26" s="394">
        <v>0</v>
      </c>
      <c r="F26" s="676" t="s">
        <v>760</v>
      </c>
    </row>
    <row r="27" spans="1:6" s="418" customFormat="1" ht="12" customHeight="1" thickBot="1">
      <c r="A27" s="376" t="s">
        <v>123</v>
      </c>
      <c r="B27" s="377" t="s">
        <v>332</v>
      </c>
      <c r="C27" s="414"/>
      <c r="D27" s="414">
        <v>0</v>
      </c>
      <c r="E27" s="426"/>
      <c r="F27" s="676" t="s">
        <v>761</v>
      </c>
    </row>
    <row r="28" spans="1:6" s="418" customFormat="1" ht="12" customHeight="1">
      <c r="A28" s="371" t="s">
        <v>333</v>
      </c>
      <c r="B28" s="419" t="s">
        <v>334</v>
      </c>
      <c r="C28" s="428"/>
      <c r="D28" s="428">
        <v>0</v>
      </c>
      <c r="E28" s="427"/>
      <c r="F28" s="676" t="s">
        <v>762</v>
      </c>
    </row>
    <row r="29" spans="1:6" s="418" customFormat="1" ht="12" customHeight="1">
      <c r="A29" s="370" t="s">
        <v>335</v>
      </c>
      <c r="B29" s="420" t="s">
        <v>336</v>
      </c>
      <c r="C29" s="409">
        <v>0</v>
      </c>
      <c r="D29" s="409">
        <v>0</v>
      </c>
      <c r="E29" s="392">
        <v>0</v>
      </c>
      <c r="F29" s="676" t="s">
        <v>763</v>
      </c>
    </row>
    <row r="30" spans="1:6" s="418" customFormat="1" ht="12" customHeight="1">
      <c r="A30" s="370" t="s">
        <v>337</v>
      </c>
      <c r="B30" s="420" t="s">
        <v>338</v>
      </c>
      <c r="C30" s="409">
        <v>0</v>
      </c>
      <c r="D30" s="409">
        <v>0</v>
      </c>
      <c r="E30" s="392">
        <v>0</v>
      </c>
      <c r="F30" s="676" t="s">
        <v>764</v>
      </c>
    </row>
    <row r="31" spans="1:6" s="418" customFormat="1" ht="12" customHeight="1">
      <c r="A31" s="370" t="s">
        <v>339</v>
      </c>
      <c r="B31" s="420" t="s">
        <v>340</v>
      </c>
      <c r="C31" s="409">
        <v>0</v>
      </c>
      <c r="D31" s="409">
        <v>0</v>
      </c>
      <c r="E31" s="392">
        <v>0</v>
      </c>
      <c r="F31" s="676" t="s">
        <v>765</v>
      </c>
    </row>
    <row r="32" spans="1:6" s="418" customFormat="1" ht="12" customHeight="1">
      <c r="A32" s="370" t="s">
        <v>341</v>
      </c>
      <c r="B32" s="420" t="s">
        <v>342</v>
      </c>
      <c r="C32" s="409"/>
      <c r="D32" s="409"/>
      <c r="E32" s="392"/>
      <c r="F32" s="676" t="s">
        <v>766</v>
      </c>
    </row>
    <row r="33" spans="1:6" s="418" customFormat="1" ht="12" customHeight="1" thickBot="1">
      <c r="A33" s="372" t="s">
        <v>343</v>
      </c>
      <c r="B33" s="421" t="s">
        <v>344</v>
      </c>
      <c r="C33" s="411"/>
      <c r="D33" s="411"/>
      <c r="E33" s="394"/>
      <c r="F33" s="676" t="s">
        <v>767</v>
      </c>
    </row>
    <row r="34" spans="1:6" s="418" customFormat="1" ht="12" customHeight="1" thickBot="1">
      <c r="A34" s="376" t="s">
        <v>10</v>
      </c>
      <c r="B34" s="377" t="s">
        <v>345</v>
      </c>
      <c r="C34" s="408">
        <v>0</v>
      </c>
      <c r="D34" s="408">
        <v>0</v>
      </c>
      <c r="E34" s="391">
        <v>0</v>
      </c>
      <c r="F34" s="676" t="s">
        <v>768</v>
      </c>
    </row>
    <row r="35" spans="1:6" s="418" customFormat="1" ht="12" customHeight="1">
      <c r="A35" s="371" t="s">
        <v>64</v>
      </c>
      <c r="B35" s="419" t="s">
        <v>346</v>
      </c>
      <c r="C35" s="410"/>
      <c r="D35" s="410"/>
      <c r="E35" s="393"/>
      <c r="F35" s="676" t="s">
        <v>769</v>
      </c>
    </row>
    <row r="36" spans="1:6" s="418" customFormat="1" ht="12" customHeight="1">
      <c r="A36" s="370" t="s">
        <v>65</v>
      </c>
      <c r="B36" s="420" t="s">
        <v>347</v>
      </c>
      <c r="C36" s="409"/>
      <c r="D36" s="409"/>
      <c r="E36" s="392"/>
      <c r="F36" s="676" t="s">
        <v>770</v>
      </c>
    </row>
    <row r="37" spans="1:6" s="418" customFormat="1" ht="12" customHeight="1">
      <c r="A37" s="370" t="s">
        <v>66</v>
      </c>
      <c r="B37" s="420" t="s">
        <v>348</v>
      </c>
      <c r="C37" s="409"/>
      <c r="D37" s="409"/>
      <c r="E37" s="392"/>
      <c r="F37" s="676" t="s">
        <v>771</v>
      </c>
    </row>
    <row r="38" spans="1:6" s="418" customFormat="1" ht="12" customHeight="1">
      <c r="A38" s="370" t="s">
        <v>125</v>
      </c>
      <c r="B38" s="420" t="s">
        <v>349</v>
      </c>
      <c r="C38" s="409"/>
      <c r="D38" s="409"/>
      <c r="E38" s="392"/>
      <c r="F38" s="676" t="s">
        <v>772</v>
      </c>
    </row>
    <row r="39" spans="1:6" s="418" customFormat="1" ht="12" customHeight="1">
      <c r="A39" s="370" t="s">
        <v>126</v>
      </c>
      <c r="B39" s="420" t="s">
        <v>350</v>
      </c>
      <c r="C39" s="409"/>
      <c r="D39" s="409"/>
      <c r="E39" s="392"/>
      <c r="F39" s="676" t="s">
        <v>773</v>
      </c>
    </row>
    <row r="40" spans="1:6" s="418" customFormat="1" ht="12" customHeight="1">
      <c r="A40" s="370" t="s">
        <v>127</v>
      </c>
      <c r="B40" s="420" t="s">
        <v>351</v>
      </c>
      <c r="C40" s="409"/>
      <c r="D40" s="409"/>
      <c r="E40" s="392"/>
      <c r="F40" s="676" t="s">
        <v>774</v>
      </c>
    </row>
    <row r="41" spans="1:6" s="418" customFormat="1" ht="12" customHeight="1">
      <c r="A41" s="370" t="s">
        <v>128</v>
      </c>
      <c r="B41" s="420" t="s">
        <v>352</v>
      </c>
      <c r="C41" s="409"/>
      <c r="D41" s="409"/>
      <c r="E41" s="392"/>
      <c r="F41" s="676" t="s">
        <v>775</v>
      </c>
    </row>
    <row r="42" spans="1:6" s="418" customFormat="1" ht="12" customHeight="1">
      <c r="A42" s="370" t="s">
        <v>129</v>
      </c>
      <c r="B42" s="420" t="s">
        <v>353</v>
      </c>
      <c r="C42" s="409"/>
      <c r="D42" s="409"/>
      <c r="E42" s="392"/>
      <c r="F42" s="676" t="s">
        <v>776</v>
      </c>
    </row>
    <row r="43" spans="1:6" s="418" customFormat="1" ht="12" customHeight="1">
      <c r="A43" s="370" t="s">
        <v>354</v>
      </c>
      <c r="B43" s="420" t="s">
        <v>355</v>
      </c>
      <c r="C43" s="412"/>
      <c r="D43" s="412"/>
      <c r="E43" s="395"/>
      <c r="F43" s="676" t="s">
        <v>777</v>
      </c>
    </row>
    <row r="44" spans="1:6" s="418" customFormat="1" ht="12" customHeight="1" thickBot="1">
      <c r="A44" s="372" t="s">
        <v>356</v>
      </c>
      <c r="B44" s="421" t="s">
        <v>357</v>
      </c>
      <c r="C44" s="413"/>
      <c r="D44" s="413"/>
      <c r="E44" s="396"/>
      <c r="F44" s="676" t="s">
        <v>778</v>
      </c>
    </row>
    <row r="45" spans="1:6" s="418" customFormat="1" ht="12" customHeight="1" thickBot="1">
      <c r="A45" s="376" t="s">
        <v>11</v>
      </c>
      <c r="B45" s="377" t="s">
        <v>358</v>
      </c>
      <c r="C45" s="408"/>
      <c r="D45" s="408"/>
      <c r="E45" s="391"/>
      <c r="F45" s="676" t="s">
        <v>779</v>
      </c>
    </row>
    <row r="46" spans="1:6" s="418" customFormat="1" ht="12" customHeight="1">
      <c r="A46" s="371" t="s">
        <v>67</v>
      </c>
      <c r="B46" s="419" t="s">
        <v>359</v>
      </c>
      <c r="C46" s="430"/>
      <c r="D46" s="430"/>
      <c r="E46" s="397"/>
      <c r="F46" s="676" t="s">
        <v>780</v>
      </c>
    </row>
    <row r="47" spans="1:6" s="418" customFormat="1" ht="12" customHeight="1">
      <c r="A47" s="370" t="s">
        <v>68</v>
      </c>
      <c r="B47" s="420" t="s">
        <v>360</v>
      </c>
      <c r="C47" s="412"/>
      <c r="D47" s="412"/>
      <c r="E47" s="395"/>
      <c r="F47" s="676" t="s">
        <v>781</v>
      </c>
    </row>
    <row r="48" spans="1:6" s="418" customFormat="1" ht="12" customHeight="1">
      <c r="A48" s="370" t="s">
        <v>361</v>
      </c>
      <c r="B48" s="420" t="s">
        <v>362</v>
      </c>
      <c r="C48" s="412"/>
      <c r="D48" s="412"/>
      <c r="E48" s="395"/>
      <c r="F48" s="676" t="s">
        <v>782</v>
      </c>
    </row>
    <row r="49" spans="1:6" s="418" customFormat="1" ht="12" customHeight="1">
      <c r="A49" s="370" t="s">
        <v>363</v>
      </c>
      <c r="B49" s="420" t="s">
        <v>364</v>
      </c>
      <c r="C49" s="412"/>
      <c r="D49" s="412"/>
      <c r="E49" s="395"/>
      <c r="F49" s="676" t="s">
        <v>783</v>
      </c>
    </row>
    <row r="50" spans="1:6" s="418" customFormat="1" ht="12" customHeight="1" thickBot="1">
      <c r="A50" s="372" t="s">
        <v>365</v>
      </c>
      <c r="B50" s="421" t="s">
        <v>366</v>
      </c>
      <c r="C50" s="413"/>
      <c r="D50" s="413"/>
      <c r="E50" s="396"/>
      <c r="F50" s="676" t="s">
        <v>784</v>
      </c>
    </row>
    <row r="51" spans="1:6" s="418" customFormat="1" ht="17.25" customHeight="1" thickBot="1">
      <c r="A51" s="376" t="s">
        <v>130</v>
      </c>
      <c r="B51" s="377" t="s">
        <v>367</v>
      </c>
      <c r="C51" s="408"/>
      <c r="D51" s="408"/>
      <c r="E51" s="391"/>
      <c r="F51" s="676" t="s">
        <v>785</v>
      </c>
    </row>
    <row r="52" spans="1:6" s="418" customFormat="1" ht="12" customHeight="1">
      <c r="A52" s="371" t="s">
        <v>69</v>
      </c>
      <c r="B52" s="419" t="s">
        <v>368</v>
      </c>
      <c r="C52" s="410"/>
      <c r="D52" s="410"/>
      <c r="E52" s="393"/>
      <c r="F52" s="676" t="s">
        <v>786</v>
      </c>
    </row>
    <row r="53" spans="1:6" s="418" customFormat="1" ht="12" customHeight="1">
      <c r="A53" s="370" t="s">
        <v>70</v>
      </c>
      <c r="B53" s="420" t="s">
        <v>369</v>
      </c>
      <c r="C53" s="409"/>
      <c r="D53" s="409"/>
      <c r="E53" s="392"/>
      <c r="F53" s="676" t="s">
        <v>787</v>
      </c>
    </row>
    <row r="54" spans="1:6" s="418" customFormat="1" ht="12" customHeight="1">
      <c r="A54" s="370" t="s">
        <v>370</v>
      </c>
      <c r="B54" s="420" t="s">
        <v>371</v>
      </c>
      <c r="C54" s="409"/>
      <c r="D54" s="409"/>
      <c r="E54" s="392"/>
      <c r="F54" s="676" t="s">
        <v>788</v>
      </c>
    </row>
    <row r="55" spans="1:6" s="418" customFormat="1" ht="12" customHeight="1" thickBot="1">
      <c r="A55" s="372" t="s">
        <v>372</v>
      </c>
      <c r="B55" s="421" t="s">
        <v>373</v>
      </c>
      <c r="C55" s="411"/>
      <c r="D55" s="411"/>
      <c r="E55" s="394"/>
      <c r="F55" s="676" t="s">
        <v>789</v>
      </c>
    </row>
    <row r="56" spans="1:6" s="418" customFormat="1" ht="12" customHeight="1" thickBot="1">
      <c r="A56" s="376" t="s">
        <v>13</v>
      </c>
      <c r="B56" s="398" t="s">
        <v>374</v>
      </c>
      <c r="C56" s="408"/>
      <c r="D56" s="408"/>
      <c r="E56" s="391"/>
      <c r="F56" s="676" t="s">
        <v>790</v>
      </c>
    </row>
    <row r="57" spans="1:6" s="418" customFormat="1" ht="12" customHeight="1">
      <c r="A57" s="371" t="s">
        <v>131</v>
      </c>
      <c r="B57" s="419" t="s">
        <v>375</v>
      </c>
      <c r="C57" s="412"/>
      <c r="D57" s="412"/>
      <c r="E57" s="395"/>
      <c r="F57" s="676" t="s">
        <v>791</v>
      </c>
    </row>
    <row r="58" spans="1:6" s="418" customFormat="1" ht="12" customHeight="1">
      <c r="A58" s="370" t="s">
        <v>132</v>
      </c>
      <c r="B58" s="420" t="s">
        <v>376</v>
      </c>
      <c r="C58" s="412"/>
      <c r="D58" s="412"/>
      <c r="E58" s="395"/>
      <c r="F58" s="676" t="s">
        <v>792</v>
      </c>
    </row>
    <row r="59" spans="1:6" s="418" customFormat="1" ht="12" customHeight="1">
      <c r="A59" s="370" t="s">
        <v>159</v>
      </c>
      <c r="B59" s="420" t="s">
        <v>377</v>
      </c>
      <c r="C59" s="412"/>
      <c r="D59" s="412"/>
      <c r="E59" s="395"/>
      <c r="F59" s="676" t="s">
        <v>793</v>
      </c>
    </row>
    <row r="60" spans="1:6" s="418" customFormat="1" ht="12" customHeight="1" thickBot="1">
      <c r="A60" s="372" t="s">
        <v>378</v>
      </c>
      <c r="B60" s="421" t="s">
        <v>379</v>
      </c>
      <c r="C60" s="412"/>
      <c r="D60" s="412"/>
      <c r="E60" s="395"/>
      <c r="F60" s="676" t="s">
        <v>794</v>
      </c>
    </row>
    <row r="61" spans="1:6" s="418" customFormat="1" ht="12" customHeight="1" thickBot="1">
      <c r="A61" s="376" t="s">
        <v>14</v>
      </c>
      <c r="B61" s="377" t="s">
        <v>380</v>
      </c>
      <c r="C61" s="414"/>
      <c r="D61" s="414"/>
      <c r="E61" s="426"/>
      <c r="F61" s="676" t="s">
        <v>795</v>
      </c>
    </row>
    <row r="62" spans="1:6" s="418" customFormat="1" ht="12" customHeight="1" thickBot="1">
      <c r="A62" s="431" t="s">
        <v>381</v>
      </c>
      <c r="B62" s="398" t="s">
        <v>382</v>
      </c>
      <c r="C62" s="408"/>
      <c r="D62" s="408"/>
      <c r="E62" s="391"/>
      <c r="F62" s="676" t="s">
        <v>796</v>
      </c>
    </row>
    <row r="63" spans="1:6" s="418" customFormat="1" ht="12" customHeight="1">
      <c r="A63" s="371" t="s">
        <v>383</v>
      </c>
      <c r="B63" s="419" t="s">
        <v>384</v>
      </c>
      <c r="C63" s="412"/>
      <c r="D63" s="412"/>
      <c r="E63" s="395"/>
      <c r="F63" s="676" t="s">
        <v>797</v>
      </c>
    </row>
    <row r="64" spans="1:6" s="418" customFormat="1" ht="12" customHeight="1">
      <c r="A64" s="370" t="s">
        <v>385</v>
      </c>
      <c r="B64" s="420" t="s">
        <v>386</v>
      </c>
      <c r="C64" s="412"/>
      <c r="D64" s="412"/>
      <c r="E64" s="395"/>
      <c r="F64" s="676" t="s">
        <v>798</v>
      </c>
    </row>
    <row r="65" spans="1:6" s="418" customFormat="1" ht="12" customHeight="1" thickBot="1">
      <c r="A65" s="372" t="s">
        <v>387</v>
      </c>
      <c r="B65" s="356" t="s">
        <v>432</v>
      </c>
      <c r="C65" s="412"/>
      <c r="D65" s="412"/>
      <c r="E65" s="395"/>
      <c r="F65" s="676" t="s">
        <v>799</v>
      </c>
    </row>
    <row r="66" spans="1:6" s="418" customFormat="1" ht="12" customHeight="1" thickBot="1">
      <c r="A66" s="431" t="s">
        <v>389</v>
      </c>
      <c r="B66" s="398" t="s">
        <v>390</v>
      </c>
      <c r="C66" s="408"/>
      <c r="D66" s="408"/>
      <c r="E66" s="391"/>
      <c r="F66" s="676" t="s">
        <v>800</v>
      </c>
    </row>
    <row r="67" spans="1:6" s="418" customFormat="1" ht="13.5" customHeight="1">
      <c r="A67" s="371" t="s">
        <v>108</v>
      </c>
      <c r="B67" s="419" t="s">
        <v>391</v>
      </c>
      <c r="C67" s="412"/>
      <c r="D67" s="412"/>
      <c r="E67" s="395"/>
      <c r="F67" s="676" t="s">
        <v>801</v>
      </c>
    </row>
    <row r="68" spans="1:6" s="418" customFormat="1" ht="12" customHeight="1">
      <c r="A68" s="370" t="s">
        <v>109</v>
      </c>
      <c r="B68" s="420" t="s">
        <v>392</v>
      </c>
      <c r="C68" s="412"/>
      <c r="D68" s="412"/>
      <c r="E68" s="395"/>
      <c r="F68" s="676" t="s">
        <v>802</v>
      </c>
    </row>
    <row r="69" spans="1:6" s="418" customFormat="1" ht="12" customHeight="1">
      <c r="A69" s="370" t="s">
        <v>393</v>
      </c>
      <c r="B69" s="420" t="s">
        <v>394</v>
      </c>
      <c r="C69" s="412"/>
      <c r="D69" s="412"/>
      <c r="E69" s="395"/>
      <c r="F69" s="676" t="s">
        <v>803</v>
      </c>
    </row>
    <row r="70" spans="1:6" s="418" customFormat="1" ht="12" customHeight="1" thickBot="1">
      <c r="A70" s="372" t="s">
        <v>395</v>
      </c>
      <c r="B70" s="421" t="s">
        <v>396</v>
      </c>
      <c r="C70" s="412"/>
      <c r="D70" s="412"/>
      <c r="E70" s="395"/>
      <c r="F70" s="676" t="s">
        <v>804</v>
      </c>
    </row>
    <row r="71" spans="1:6" s="418" customFormat="1" ht="12" customHeight="1" thickBot="1">
      <c r="A71" s="431" t="s">
        <v>397</v>
      </c>
      <c r="B71" s="398" t="s">
        <v>398</v>
      </c>
      <c r="C71" s="408"/>
      <c r="D71" s="408"/>
      <c r="E71" s="391"/>
      <c r="F71" s="676" t="s">
        <v>805</v>
      </c>
    </row>
    <row r="72" spans="1:6" s="418" customFormat="1" ht="12" customHeight="1">
      <c r="A72" s="371" t="s">
        <v>399</v>
      </c>
      <c r="B72" s="419" t="s">
        <v>400</v>
      </c>
      <c r="C72" s="412"/>
      <c r="D72" s="412"/>
      <c r="E72" s="395"/>
      <c r="F72" s="676" t="s">
        <v>806</v>
      </c>
    </row>
    <row r="73" spans="1:6" s="418" customFormat="1" ht="12" customHeight="1" thickBot="1">
      <c r="A73" s="372" t="s">
        <v>401</v>
      </c>
      <c r="B73" s="421" t="s">
        <v>402</v>
      </c>
      <c r="C73" s="412"/>
      <c r="D73" s="412"/>
      <c r="E73" s="395"/>
      <c r="F73" s="676" t="s">
        <v>807</v>
      </c>
    </row>
    <row r="74" spans="1:6" s="418" customFormat="1" ht="12" customHeight="1" thickBot="1">
      <c r="A74" s="431" t="s">
        <v>403</v>
      </c>
      <c r="B74" s="398" t="s">
        <v>404</v>
      </c>
      <c r="C74" s="408"/>
      <c r="D74" s="408"/>
      <c r="E74" s="391"/>
      <c r="F74" s="676" t="s">
        <v>808</v>
      </c>
    </row>
    <row r="75" spans="1:6" s="418" customFormat="1" ht="12" customHeight="1">
      <c r="A75" s="371" t="s">
        <v>405</v>
      </c>
      <c r="B75" s="419" t="s">
        <v>406</v>
      </c>
      <c r="C75" s="412"/>
      <c r="D75" s="412"/>
      <c r="E75" s="395"/>
      <c r="F75" s="676" t="s">
        <v>809</v>
      </c>
    </row>
    <row r="76" spans="1:6" s="418" customFormat="1" ht="12" customHeight="1">
      <c r="A76" s="370" t="s">
        <v>407</v>
      </c>
      <c r="B76" s="420" t="s">
        <v>408</v>
      </c>
      <c r="C76" s="412"/>
      <c r="D76" s="412"/>
      <c r="E76" s="395"/>
      <c r="F76" s="676" t="s">
        <v>810</v>
      </c>
    </row>
    <row r="77" spans="1:6" s="418" customFormat="1" ht="12" customHeight="1" thickBot="1">
      <c r="A77" s="372" t="s">
        <v>409</v>
      </c>
      <c r="B77" s="400" t="s">
        <v>410</v>
      </c>
      <c r="C77" s="412"/>
      <c r="D77" s="412"/>
      <c r="E77" s="395"/>
      <c r="F77" s="676" t="s">
        <v>811</v>
      </c>
    </row>
    <row r="78" spans="1:6" s="418" customFormat="1" ht="12" customHeight="1" thickBot="1">
      <c r="A78" s="431" t="s">
        <v>411</v>
      </c>
      <c r="B78" s="398" t="s">
        <v>412</v>
      </c>
      <c r="C78" s="408"/>
      <c r="D78" s="408"/>
      <c r="E78" s="391"/>
      <c r="F78" s="676" t="s">
        <v>812</v>
      </c>
    </row>
    <row r="79" spans="1:6" s="418" customFormat="1" ht="12" customHeight="1">
      <c r="A79" s="422" t="s">
        <v>413</v>
      </c>
      <c r="B79" s="419" t="s">
        <v>414</v>
      </c>
      <c r="C79" s="412"/>
      <c r="D79" s="412"/>
      <c r="E79" s="395"/>
      <c r="F79" s="676" t="s">
        <v>813</v>
      </c>
    </row>
    <row r="80" spans="1:6" s="418" customFormat="1" ht="12" customHeight="1">
      <c r="A80" s="423" t="s">
        <v>415</v>
      </c>
      <c r="B80" s="420" t="s">
        <v>416</v>
      </c>
      <c r="C80" s="412"/>
      <c r="D80" s="412"/>
      <c r="E80" s="395"/>
      <c r="F80" s="676" t="s">
        <v>814</v>
      </c>
    </row>
    <row r="81" spans="1:6" s="418" customFormat="1" ht="12" customHeight="1">
      <c r="A81" s="423" t="s">
        <v>417</v>
      </c>
      <c r="B81" s="420" t="s">
        <v>418</v>
      </c>
      <c r="C81" s="412"/>
      <c r="D81" s="412"/>
      <c r="E81" s="395"/>
      <c r="F81" s="676" t="s">
        <v>815</v>
      </c>
    </row>
    <row r="82" spans="1:6" s="418" customFormat="1" ht="12" customHeight="1" thickBot="1">
      <c r="A82" s="432" t="s">
        <v>419</v>
      </c>
      <c r="B82" s="400" t="s">
        <v>420</v>
      </c>
      <c r="C82" s="412"/>
      <c r="D82" s="412"/>
      <c r="E82" s="395"/>
      <c r="F82" s="676" t="s">
        <v>816</v>
      </c>
    </row>
    <row r="83" spans="1:6" s="418" customFormat="1" ht="12" customHeight="1" thickBot="1">
      <c r="A83" s="431" t="s">
        <v>421</v>
      </c>
      <c r="B83" s="398" t="s">
        <v>422</v>
      </c>
      <c r="C83" s="434"/>
      <c r="D83" s="434"/>
      <c r="E83" s="435"/>
      <c r="F83" s="676" t="s">
        <v>817</v>
      </c>
    </row>
    <row r="84" spans="1:6" s="418" customFormat="1" ht="12" customHeight="1" thickBot="1">
      <c r="A84" s="431" t="s">
        <v>423</v>
      </c>
      <c r="B84" s="354" t="s">
        <v>424</v>
      </c>
      <c r="C84" s="414"/>
      <c r="D84" s="414"/>
      <c r="E84" s="426"/>
      <c r="F84" s="676" t="s">
        <v>818</v>
      </c>
    </row>
    <row r="85" spans="1:6" s="418" customFormat="1" ht="18" customHeight="1" thickBot="1">
      <c r="A85" s="433" t="s">
        <v>425</v>
      </c>
      <c r="B85" s="357" t="s">
        <v>426</v>
      </c>
      <c r="C85" s="414">
        <v>0</v>
      </c>
      <c r="D85" s="414">
        <v>0</v>
      </c>
      <c r="E85" s="426">
        <v>0</v>
      </c>
      <c r="F85" s="676" t="s">
        <v>819</v>
      </c>
    </row>
    <row r="86" spans="1:6" s="418" customFormat="1" ht="12" customHeight="1">
      <c r="A86" s="352"/>
      <c r="B86" s="352"/>
      <c r="C86" s="353"/>
      <c r="D86" s="353"/>
      <c r="E86" s="353"/>
      <c r="F86" s="676"/>
    </row>
    <row r="87" spans="1:6" ht="16.5" customHeight="1">
      <c r="A87" s="756" t="s">
        <v>35</v>
      </c>
      <c r="B87" s="756"/>
      <c r="C87" s="756"/>
      <c r="D87" s="756"/>
      <c r="E87" s="756"/>
      <c r="F87" s="674"/>
    </row>
    <row r="88" spans="1:6" s="424" customFormat="1" ht="16.5" customHeight="1" thickBot="1">
      <c r="A88" s="46" t="s">
        <v>112</v>
      </c>
      <c r="B88" s="46"/>
      <c r="C88" s="385"/>
      <c r="D88" s="385"/>
      <c r="E88" s="385" t="s">
        <v>879</v>
      </c>
      <c r="F88" s="677"/>
    </row>
    <row r="89" spans="1:6" s="424" customFormat="1" ht="16.5" customHeight="1">
      <c r="A89" s="762" t="s">
        <v>59</v>
      </c>
      <c r="B89" s="759" t="s">
        <v>179</v>
      </c>
      <c r="C89" s="757" t="str">
        <f>+C3</f>
        <v>2017. évi</v>
      </c>
      <c r="D89" s="757"/>
      <c r="E89" s="758"/>
      <c r="F89" s="677"/>
    </row>
    <row r="90" spans="1:6" ht="37.5" customHeight="1" thickBot="1">
      <c r="A90" s="763"/>
      <c r="B90" s="760"/>
      <c r="C90" s="47" t="s">
        <v>180</v>
      </c>
      <c r="D90" s="47" t="s">
        <v>185</v>
      </c>
      <c r="E90" s="48" t="s">
        <v>186</v>
      </c>
      <c r="F90" s="674"/>
    </row>
    <row r="91" spans="1:6" s="417" customFormat="1" ht="12" customHeight="1" thickBot="1">
      <c r="A91" s="381" t="s">
        <v>427</v>
      </c>
      <c r="B91" s="382" t="s">
        <v>428</v>
      </c>
      <c r="C91" s="382" t="s">
        <v>429</v>
      </c>
      <c r="D91" s="382" t="s">
        <v>430</v>
      </c>
      <c r="E91" s="383" t="s">
        <v>431</v>
      </c>
      <c r="F91" s="675"/>
    </row>
    <row r="92" spans="1:6" ht="12" customHeight="1" thickBot="1">
      <c r="A92" s="378" t="s">
        <v>6</v>
      </c>
      <c r="B92" s="380" t="s">
        <v>433</v>
      </c>
      <c r="C92" s="407">
        <v>0</v>
      </c>
      <c r="D92" s="407">
        <v>0</v>
      </c>
      <c r="E92" s="362">
        <v>0</v>
      </c>
      <c r="F92" s="674" t="s">
        <v>740</v>
      </c>
    </row>
    <row r="93" spans="1:6" ht="12" customHeight="1">
      <c r="A93" s="373" t="s">
        <v>71</v>
      </c>
      <c r="B93" s="366" t="s">
        <v>36</v>
      </c>
      <c r="C93" s="98"/>
      <c r="D93" s="98"/>
      <c r="E93" s="361"/>
      <c r="F93" s="674" t="s">
        <v>741</v>
      </c>
    </row>
    <row r="94" spans="1:6" ht="12" customHeight="1">
      <c r="A94" s="370" t="s">
        <v>72</v>
      </c>
      <c r="B94" s="364" t="s">
        <v>133</v>
      </c>
      <c r="C94" s="409"/>
      <c r="D94" s="409"/>
      <c r="E94" s="392"/>
      <c r="F94" s="674" t="s">
        <v>742</v>
      </c>
    </row>
    <row r="95" spans="1:6" ht="12" customHeight="1">
      <c r="A95" s="370" t="s">
        <v>73</v>
      </c>
      <c r="B95" s="364" t="s">
        <v>100</v>
      </c>
      <c r="C95" s="411"/>
      <c r="D95" s="411"/>
      <c r="E95" s="394"/>
      <c r="F95" s="674" t="s">
        <v>743</v>
      </c>
    </row>
    <row r="96" spans="1:6" ht="12" customHeight="1">
      <c r="A96" s="370" t="s">
        <v>74</v>
      </c>
      <c r="B96" s="367" t="s">
        <v>134</v>
      </c>
      <c r="C96" s="411"/>
      <c r="D96" s="411"/>
      <c r="E96" s="394"/>
      <c r="F96" s="674" t="s">
        <v>744</v>
      </c>
    </row>
    <row r="97" spans="1:6" ht="12" customHeight="1">
      <c r="A97" s="370" t="s">
        <v>83</v>
      </c>
      <c r="B97" s="375" t="s">
        <v>135</v>
      </c>
      <c r="C97" s="411"/>
      <c r="D97" s="411"/>
      <c r="E97" s="394"/>
      <c r="F97" s="674" t="s">
        <v>745</v>
      </c>
    </row>
    <row r="98" spans="1:6" ht="12" customHeight="1">
      <c r="A98" s="370" t="s">
        <v>75</v>
      </c>
      <c r="B98" s="364" t="s">
        <v>434</v>
      </c>
      <c r="C98" s="411"/>
      <c r="D98" s="411"/>
      <c r="E98" s="394"/>
      <c r="F98" s="674" t="s">
        <v>746</v>
      </c>
    </row>
    <row r="99" spans="1:6" ht="12" customHeight="1">
      <c r="A99" s="370" t="s">
        <v>76</v>
      </c>
      <c r="B99" s="387" t="s">
        <v>435</v>
      </c>
      <c r="C99" s="411"/>
      <c r="D99" s="411"/>
      <c r="E99" s="394"/>
      <c r="F99" s="674" t="s">
        <v>747</v>
      </c>
    </row>
    <row r="100" spans="1:6" ht="12" customHeight="1">
      <c r="A100" s="370" t="s">
        <v>84</v>
      </c>
      <c r="B100" s="388" t="s">
        <v>436</v>
      </c>
      <c r="C100" s="411"/>
      <c r="D100" s="411"/>
      <c r="E100" s="394"/>
      <c r="F100" s="674" t="s">
        <v>748</v>
      </c>
    </row>
    <row r="101" spans="1:6" ht="12" customHeight="1">
      <c r="A101" s="370" t="s">
        <v>85</v>
      </c>
      <c r="B101" s="388" t="s">
        <v>437</v>
      </c>
      <c r="C101" s="411"/>
      <c r="D101" s="411"/>
      <c r="E101" s="394"/>
      <c r="F101" s="674" t="s">
        <v>749</v>
      </c>
    </row>
    <row r="102" spans="1:6" ht="12" customHeight="1">
      <c r="A102" s="370" t="s">
        <v>86</v>
      </c>
      <c r="B102" s="387" t="s">
        <v>438</v>
      </c>
      <c r="C102" s="411"/>
      <c r="D102" s="411"/>
      <c r="E102" s="394"/>
      <c r="F102" s="674" t="s">
        <v>750</v>
      </c>
    </row>
    <row r="103" spans="1:6" ht="12" customHeight="1">
      <c r="A103" s="370" t="s">
        <v>87</v>
      </c>
      <c r="B103" s="387" t="s">
        <v>439</v>
      </c>
      <c r="C103" s="411"/>
      <c r="D103" s="411"/>
      <c r="E103" s="394"/>
      <c r="F103" s="674" t="s">
        <v>751</v>
      </c>
    </row>
    <row r="104" spans="1:6" ht="12" customHeight="1">
      <c r="A104" s="370" t="s">
        <v>89</v>
      </c>
      <c r="B104" s="388" t="s">
        <v>440</v>
      </c>
      <c r="C104" s="411"/>
      <c r="D104" s="411"/>
      <c r="E104" s="394"/>
      <c r="F104" s="674" t="s">
        <v>752</v>
      </c>
    </row>
    <row r="105" spans="1:6" ht="12" customHeight="1">
      <c r="A105" s="369" t="s">
        <v>136</v>
      </c>
      <c r="B105" s="389" t="s">
        <v>441</v>
      </c>
      <c r="C105" s="411"/>
      <c r="D105" s="411"/>
      <c r="E105" s="394"/>
      <c r="F105" s="674" t="s">
        <v>753</v>
      </c>
    </row>
    <row r="106" spans="1:6" ht="12" customHeight="1">
      <c r="A106" s="370" t="s">
        <v>442</v>
      </c>
      <c r="B106" s="389" t="s">
        <v>443</v>
      </c>
      <c r="C106" s="411"/>
      <c r="D106" s="411"/>
      <c r="E106" s="394"/>
      <c r="F106" s="674" t="s">
        <v>754</v>
      </c>
    </row>
    <row r="107" spans="1:6" ht="12" customHeight="1" thickBot="1">
      <c r="A107" s="374" t="s">
        <v>444</v>
      </c>
      <c r="B107" s="390" t="s">
        <v>445</v>
      </c>
      <c r="C107" s="99"/>
      <c r="D107" s="99"/>
      <c r="E107" s="355"/>
      <c r="F107" s="674" t="s">
        <v>755</v>
      </c>
    </row>
    <row r="108" spans="1:6" ht="12" customHeight="1" thickBot="1">
      <c r="A108" s="376" t="s">
        <v>7</v>
      </c>
      <c r="B108" s="379" t="s">
        <v>446</v>
      </c>
      <c r="C108" s="408"/>
      <c r="D108" s="408"/>
      <c r="E108" s="391"/>
      <c r="F108" s="674" t="s">
        <v>756</v>
      </c>
    </row>
    <row r="109" spans="1:6" ht="12" customHeight="1">
      <c r="A109" s="371" t="s">
        <v>77</v>
      </c>
      <c r="B109" s="364" t="s">
        <v>157</v>
      </c>
      <c r="C109" s="410"/>
      <c r="D109" s="410"/>
      <c r="E109" s="393"/>
      <c r="F109" s="674" t="s">
        <v>757</v>
      </c>
    </row>
    <row r="110" spans="1:6" ht="12" customHeight="1">
      <c r="A110" s="371" t="s">
        <v>78</v>
      </c>
      <c r="B110" s="368" t="s">
        <v>447</v>
      </c>
      <c r="C110" s="410"/>
      <c r="D110" s="410"/>
      <c r="E110" s="393"/>
      <c r="F110" s="674" t="s">
        <v>758</v>
      </c>
    </row>
    <row r="111" spans="1:6" ht="15.75">
      <c r="A111" s="371" t="s">
        <v>79</v>
      </c>
      <c r="B111" s="368" t="s">
        <v>137</v>
      </c>
      <c r="C111" s="409"/>
      <c r="D111" s="409"/>
      <c r="E111" s="392"/>
      <c r="F111" s="674" t="s">
        <v>759</v>
      </c>
    </row>
    <row r="112" spans="1:6" ht="12" customHeight="1">
      <c r="A112" s="371" t="s">
        <v>80</v>
      </c>
      <c r="B112" s="368" t="s">
        <v>448</v>
      </c>
      <c r="C112" s="409"/>
      <c r="D112" s="409"/>
      <c r="E112" s="392"/>
      <c r="F112" s="674" t="s">
        <v>760</v>
      </c>
    </row>
    <row r="113" spans="1:6" ht="12" customHeight="1">
      <c r="A113" s="371" t="s">
        <v>81</v>
      </c>
      <c r="B113" s="400" t="s">
        <v>160</v>
      </c>
      <c r="C113" s="409"/>
      <c r="D113" s="409"/>
      <c r="E113" s="392"/>
      <c r="F113" s="674" t="s">
        <v>761</v>
      </c>
    </row>
    <row r="114" spans="1:6" ht="21.75" customHeight="1">
      <c r="A114" s="371" t="s">
        <v>88</v>
      </c>
      <c r="B114" s="399" t="s">
        <v>449</v>
      </c>
      <c r="C114" s="409"/>
      <c r="D114" s="409"/>
      <c r="E114" s="392"/>
      <c r="F114" s="674" t="s">
        <v>762</v>
      </c>
    </row>
    <row r="115" spans="1:6" ht="24" customHeight="1">
      <c r="A115" s="371" t="s">
        <v>90</v>
      </c>
      <c r="B115" s="415" t="s">
        <v>450</v>
      </c>
      <c r="C115" s="409"/>
      <c r="D115" s="409"/>
      <c r="E115" s="392"/>
      <c r="F115" s="674" t="s">
        <v>763</v>
      </c>
    </row>
    <row r="116" spans="1:6" ht="12" customHeight="1">
      <c r="A116" s="371" t="s">
        <v>138</v>
      </c>
      <c r="B116" s="388" t="s">
        <v>437</v>
      </c>
      <c r="C116" s="409"/>
      <c r="D116" s="409"/>
      <c r="E116" s="392"/>
      <c r="F116" s="674" t="s">
        <v>764</v>
      </c>
    </row>
    <row r="117" spans="1:6" ht="12" customHeight="1">
      <c r="A117" s="371" t="s">
        <v>139</v>
      </c>
      <c r="B117" s="388" t="s">
        <v>451</v>
      </c>
      <c r="C117" s="409"/>
      <c r="D117" s="409"/>
      <c r="E117" s="392"/>
      <c r="F117" s="674" t="s">
        <v>765</v>
      </c>
    </row>
    <row r="118" spans="1:6" ht="12" customHeight="1">
      <c r="A118" s="371" t="s">
        <v>140</v>
      </c>
      <c r="B118" s="388" t="s">
        <v>452</v>
      </c>
      <c r="C118" s="409"/>
      <c r="D118" s="409"/>
      <c r="E118" s="392"/>
      <c r="F118" s="674" t="s">
        <v>766</v>
      </c>
    </row>
    <row r="119" spans="1:6" s="436" customFormat="1" ht="12" customHeight="1">
      <c r="A119" s="371" t="s">
        <v>453</v>
      </c>
      <c r="B119" s="388" t="s">
        <v>440</v>
      </c>
      <c r="C119" s="409"/>
      <c r="D119" s="409"/>
      <c r="E119" s="392"/>
      <c r="F119" s="674" t="s">
        <v>767</v>
      </c>
    </row>
    <row r="120" spans="1:6" ht="12" customHeight="1">
      <c r="A120" s="371" t="s">
        <v>454</v>
      </c>
      <c r="B120" s="388" t="s">
        <v>455</v>
      </c>
      <c r="C120" s="409"/>
      <c r="D120" s="409"/>
      <c r="E120" s="392"/>
      <c r="F120" s="674" t="s">
        <v>768</v>
      </c>
    </row>
    <row r="121" spans="1:6" ht="12" customHeight="1" thickBot="1">
      <c r="A121" s="369" t="s">
        <v>456</v>
      </c>
      <c r="B121" s="388" t="s">
        <v>457</v>
      </c>
      <c r="C121" s="411"/>
      <c r="D121" s="411"/>
      <c r="E121" s="394"/>
      <c r="F121" s="674" t="s">
        <v>769</v>
      </c>
    </row>
    <row r="122" spans="1:6" ht="12" customHeight="1" thickBot="1">
      <c r="A122" s="376" t="s">
        <v>8</v>
      </c>
      <c r="B122" s="384" t="s">
        <v>458</v>
      </c>
      <c r="C122" s="408"/>
      <c r="D122" s="408"/>
      <c r="E122" s="391"/>
      <c r="F122" s="674" t="s">
        <v>770</v>
      </c>
    </row>
    <row r="123" spans="1:6" ht="12" customHeight="1">
      <c r="A123" s="371" t="s">
        <v>60</v>
      </c>
      <c r="B123" s="365" t="s">
        <v>46</v>
      </c>
      <c r="C123" s="410"/>
      <c r="D123" s="410"/>
      <c r="E123" s="393"/>
      <c r="F123" s="674" t="s">
        <v>771</v>
      </c>
    </row>
    <row r="124" spans="1:6" ht="12" customHeight="1" thickBot="1">
      <c r="A124" s="372" t="s">
        <v>61</v>
      </c>
      <c r="B124" s="368" t="s">
        <v>47</v>
      </c>
      <c r="C124" s="411"/>
      <c r="D124" s="411"/>
      <c r="E124" s="394"/>
      <c r="F124" s="674" t="s">
        <v>772</v>
      </c>
    </row>
    <row r="125" spans="1:6" ht="12" customHeight="1" thickBot="1">
      <c r="A125" s="376" t="s">
        <v>9</v>
      </c>
      <c r="B125" s="384" t="s">
        <v>459</v>
      </c>
      <c r="C125" s="408"/>
      <c r="D125" s="408"/>
      <c r="E125" s="391"/>
      <c r="F125" s="674" t="s">
        <v>773</v>
      </c>
    </row>
    <row r="126" spans="1:6" ht="12" customHeight="1" thickBot="1">
      <c r="A126" s="376" t="s">
        <v>10</v>
      </c>
      <c r="B126" s="384" t="s">
        <v>460</v>
      </c>
      <c r="C126" s="408"/>
      <c r="D126" s="408"/>
      <c r="E126" s="391"/>
      <c r="F126" s="674" t="s">
        <v>774</v>
      </c>
    </row>
    <row r="127" spans="1:6" ht="12" customHeight="1">
      <c r="A127" s="371" t="s">
        <v>64</v>
      </c>
      <c r="B127" s="365" t="s">
        <v>461</v>
      </c>
      <c r="C127" s="409"/>
      <c r="D127" s="409"/>
      <c r="E127" s="392"/>
      <c r="F127" s="674" t="s">
        <v>775</v>
      </c>
    </row>
    <row r="128" spans="1:6" ht="12" customHeight="1">
      <c r="A128" s="371" t="s">
        <v>65</v>
      </c>
      <c r="B128" s="365" t="s">
        <v>462</v>
      </c>
      <c r="C128" s="409"/>
      <c r="D128" s="409"/>
      <c r="E128" s="392"/>
      <c r="F128" s="674" t="s">
        <v>776</v>
      </c>
    </row>
    <row r="129" spans="1:6" ht="12" customHeight="1" thickBot="1">
      <c r="A129" s="369" t="s">
        <v>66</v>
      </c>
      <c r="B129" s="363" t="s">
        <v>463</v>
      </c>
      <c r="C129" s="409"/>
      <c r="D129" s="409"/>
      <c r="E129" s="392"/>
      <c r="F129" s="674" t="s">
        <v>777</v>
      </c>
    </row>
    <row r="130" spans="1:6" ht="12" customHeight="1" thickBot="1">
      <c r="A130" s="376" t="s">
        <v>11</v>
      </c>
      <c r="B130" s="384" t="s">
        <v>464</v>
      </c>
      <c r="C130" s="408"/>
      <c r="D130" s="408"/>
      <c r="E130" s="391"/>
      <c r="F130" s="674" t="s">
        <v>778</v>
      </c>
    </row>
    <row r="131" spans="1:6" ht="12" customHeight="1">
      <c r="A131" s="371" t="s">
        <v>67</v>
      </c>
      <c r="B131" s="365" t="s">
        <v>465</v>
      </c>
      <c r="C131" s="409"/>
      <c r="D131" s="409"/>
      <c r="E131" s="392"/>
      <c r="F131" s="674" t="s">
        <v>779</v>
      </c>
    </row>
    <row r="132" spans="1:6" ht="12" customHeight="1">
      <c r="A132" s="371" t="s">
        <v>68</v>
      </c>
      <c r="B132" s="365" t="s">
        <v>466</v>
      </c>
      <c r="C132" s="409"/>
      <c r="D132" s="409"/>
      <c r="E132" s="392"/>
      <c r="F132" s="674" t="s">
        <v>780</v>
      </c>
    </row>
    <row r="133" spans="1:6" ht="12" customHeight="1">
      <c r="A133" s="371" t="s">
        <v>361</v>
      </c>
      <c r="B133" s="365" t="s">
        <v>467</v>
      </c>
      <c r="C133" s="409"/>
      <c r="D133" s="409"/>
      <c r="E133" s="392"/>
      <c r="F133" s="674" t="s">
        <v>781</v>
      </c>
    </row>
    <row r="134" spans="1:6" ht="12" customHeight="1" thickBot="1">
      <c r="A134" s="369" t="s">
        <v>363</v>
      </c>
      <c r="B134" s="363" t="s">
        <v>468</v>
      </c>
      <c r="C134" s="409"/>
      <c r="D134" s="409"/>
      <c r="E134" s="392"/>
      <c r="F134" s="674" t="s">
        <v>782</v>
      </c>
    </row>
    <row r="135" spans="1:6" ht="12" customHeight="1" thickBot="1">
      <c r="A135" s="376" t="s">
        <v>12</v>
      </c>
      <c r="B135" s="384" t="s">
        <v>469</v>
      </c>
      <c r="C135" s="414"/>
      <c r="D135" s="414"/>
      <c r="E135" s="426"/>
      <c r="F135" s="674" t="s">
        <v>783</v>
      </c>
    </row>
    <row r="136" spans="1:6" ht="12" customHeight="1">
      <c r="A136" s="371" t="s">
        <v>69</v>
      </c>
      <c r="B136" s="365" t="s">
        <v>470</v>
      </c>
      <c r="C136" s="409"/>
      <c r="D136" s="409"/>
      <c r="E136" s="392"/>
      <c r="F136" s="674" t="s">
        <v>784</v>
      </c>
    </row>
    <row r="137" spans="1:6" ht="12" customHeight="1">
      <c r="A137" s="371" t="s">
        <v>70</v>
      </c>
      <c r="B137" s="365" t="s">
        <v>471</v>
      </c>
      <c r="C137" s="409"/>
      <c r="D137" s="409"/>
      <c r="E137" s="392"/>
      <c r="F137" s="674" t="s">
        <v>785</v>
      </c>
    </row>
    <row r="138" spans="1:6" ht="12" customHeight="1">
      <c r="A138" s="371" t="s">
        <v>370</v>
      </c>
      <c r="B138" s="365" t="s">
        <v>472</v>
      </c>
      <c r="C138" s="409"/>
      <c r="D138" s="409"/>
      <c r="E138" s="392"/>
      <c r="F138" s="674" t="s">
        <v>786</v>
      </c>
    </row>
    <row r="139" spans="1:6" ht="12" customHeight="1" thickBot="1">
      <c r="A139" s="369" t="s">
        <v>372</v>
      </c>
      <c r="B139" s="363" t="s">
        <v>473</v>
      </c>
      <c r="C139" s="409"/>
      <c r="D139" s="409"/>
      <c r="E139" s="392"/>
      <c r="F139" s="674" t="s">
        <v>787</v>
      </c>
    </row>
    <row r="140" spans="1:9" ht="15" customHeight="1" thickBot="1">
      <c r="A140" s="376" t="s">
        <v>13</v>
      </c>
      <c r="B140" s="384" t="s">
        <v>474</v>
      </c>
      <c r="C140" s="100"/>
      <c r="D140" s="100"/>
      <c r="E140" s="360"/>
      <c r="F140" s="674" t="s">
        <v>788</v>
      </c>
      <c r="G140" s="425"/>
      <c r="H140" s="425"/>
      <c r="I140" s="425"/>
    </row>
    <row r="141" spans="1:6" s="418" customFormat="1" ht="12.75" customHeight="1">
      <c r="A141" s="371" t="s">
        <v>131</v>
      </c>
      <c r="B141" s="365" t="s">
        <v>475</v>
      </c>
      <c r="C141" s="409"/>
      <c r="D141" s="409"/>
      <c r="E141" s="392"/>
      <c r="F141" s="674" t="s">
        <v>789</v>
      </c>
    </row>
    <row r="142" spans="1:6" ht="12.75" customHeight="1">
      <c r="A142" s="371" t="s">
        <v>132</v>
      </c>
      <c r="B142" s="365" t="s">
        <v>476</v>
      </c>
      <c r="C142" s="409"/>
      <c r="D142" s="409"/>
      <c r="E142" s="392"/>
      <c r="F142" s="674" t="s">
        <v>790</v>
      </c>
    </row>
    <row r="143" spans="1:6" ht="12.75" customHeight="1">
      <c r="A143" s="371" t="s">
        <v>159</v>
      </c>
      <c r="B143" s="365" t="s">
        <v>477</v>
      </c>
      <c r="C143" s="409"/>
      <c r="D143" s="409"/>
      <c r="E143" s="392"/>
      <c r="F143" s="674" t="s">
        <v>791</v>
      </c>
    </row>
    <row r="144" spans="1:6" ht="12.75" customHeight="1" thickBot="1">
      <c r="A144" s="371" t="s">
        <v>378</v>
      </c>
      <c r="B144" s="365" t="s">
        <v>478</v>
      </c>
      <c r="C144" s="409"/>
      <c r="D144" s="409"/>
      <c r="E144" s="392"/>
      <c r="F144" s="674" t="s">
        <v>792</v>
      </c>
    </row>
    <row r="145" spans="1:6" ht="16.5" thickBot="1">
      <c r="A145" s="376" t="s">
        <v>14</v>
      </c>
      <c r="B145" s="384" t="s">
        <v>479</v>
      </c>
      <c r="C145" s="358"/>
      <c r="D145" s="358"/>
      <c r="E145" s="359"/>
      <c r="F145" s="674" t="s">
        <v>793</v>
      </c>
    </row>
    <row r="146" spans="1:6" ht="16.5" thickBot="1">
      <c r="A146" s="401" t="s">
        <v>15</v>
      </c>
      <c r="B146" s="404" t="s">
        <v>480</v>
      </c>
      <c r="C146" s="358"/>
      <c r="D146" s="358"/>
      <c r="E146" s="359"/>
      <c r="F146" s="674" t="s">
        <v>794</v>
      </c>
    </row>
    <row r="148" spans="1:5" ht="18.75" customHeight="1">
      <c r="A148" s="761" t="s">
        <v>481</v>
      </c>
      <c r="B148" s="761"/>
      <c r="C148" s="761"/>
      <c r="D148" s="761"/>
      <c r="E148" s="761"/>
    </row>
    <row r="149" spans="1:5" ht="13.5" customHeight="1" thickBot="1">
      <c r="A149" s="386" t="s">
        <v>113</v>
      </c>
      <c r="B149" s="386"/>
      <c r="C149" s="416"/>
      <c r="E149" s="403" t="s">
        <v>879</v>
      </c>
    </row>
    <row r="150" spans="1:5" ht="21.75" thickBot="1">
      <c r="A150" s="376">
        <v>1</v>
      </c>
      <c r="B150" s="379" t="s">
        <v>482</v>
      </c>
      <c r="C150" s="402">
        <f>+C61-C125</f>
        <v>0</v>
      </c>
      <c r="D150" s="402">
        <f>+D61-D125</f>
        <v>0</v>
      </c>
      <c r="E150" s="402">
        <f>+E61-E125</f>
        <v>0</v>
      </c>
    </row>
    <row r="151" spans="1:5" ht="21.75" thickBot="1">
      <c r="A151" s="376" t="s">
        <v>7</v>
      </c>
      <c r="B151" s="379" t="s">
        <v>483</v>
      </c>
      <c r="C151" s="402">
        <f>+C84-C145</f>
        <v>0</v>
      </c>
      <c r="D151" s="402">
        <f>+D84-D145</f>
        <v>0</v>
      </c>
      <c r="E151" s="40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405" customFormat="1" ht="12.75" customHeight="1">
      <c r="C161" s="406"/>
      <c r="D161" s="406"/>
      <c r="E161" s="406"/>
      <c r="F161" s="416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headerFooter alignWithMargins="0">
    <oddHeader>&amp;C&amp;"Times New Roman CE,Félkövér"&amp;12
Tengelic Község Önkormányzata
2017. ÉVI ZÁRSZÁMADÁS
ÁLLAMIGAZGATÁSI FELADATOK MÉRLEGE
&amp;R&amp;"Times New Roman CE,Félkövér dőlt"&amp;11 1.4. melléklet a 6./2018. (V.30.)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view="pageBreakPreview" zoomScaleSheetLayoutView="100" zoomScalePageLayoutView="0" workbookViewId="0" topLeftCell="A1">
      <selection activeCell="J32" sqref="J32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8" hidden="1" customWidth="1"/>
    <col min="12" max="16384" width="9.375" style="10" customWidth="1"/>
  </cols>
  <sheetData>
    <row r="1" spans="2:10" ht="39.75" customHeight="1">
      <c r="B1" s="449" t="s">
        <v>117</v>
      </c>
      <c r="C1" s="450"/>
      <c r="D1" s="450"/>
      <c r="E1" s="450"/>
      <c r="F1" s="450"/>
      <c r="G1" s="450"/>
      <c r="H1" s="450"/>
      <c r="I1" s="450"/>
      <c r="J1" s="764" t="str">
        <f>+CONCATENATE("2.1. melléklet a 6 /",LEFT('1.1.sz.mell.'!C3,4)+1,". (V.30.) önkormányzati rendelethez")</f>
        <v>2.1. melléklet a 6 /2018. (V.30.) önkormányzati rendelethez</v>
      </c>
    </row>
    <row r="2" spans="7:10" ht="14.25" thickBot="1">
      <c r="G2" s="39"/>
      <c r="H2" s="39"/>
      <c r="I2" s="39" t="s">
        <v>880</v>
      </c>
      <c r="J2" s="764"/>
    </row>
    <row r="3" spans="1:10" ht="18" customHeight="1" thickBot="1">
      <c r="A3" s="765" t="s">
        <v>59</v>
      </c>
      <c r="B3" s="477" t="s">
        <v>43</v>
      </c>
      <c r="C3" s="478"/>
      <c r="D3" s="478"/>
      <c r="E3" s="478"/>
      <c r="F3" s="477" t="s">
        <v>44</v>
      </c>
      <c r="G3" s="479"/>
      <c r="H3" s="479"/>
      <c r="I3" s="479"/>
      <c r="J3" s="764"/>
    </row>
    <row r="4" spans="1:11" s="451" customFormat="1" ht="35.25" customHeight="1" thickBot="1">
      <c r="A4" s="766"/>
      <c r="B4" s="27" t="s">
        <v>52</v>
      </c>
      <c r="C4" s="28" t="str">
        <f>+CONCATENATE(LEFT('1.1.sz.mell.'!C3,4),". évi eredeti előirányzat")</f>
        <v>2017. évi eredeti előirányzat</v>
      </c>
      <c r="D4" s="437" t="str">
        <f>+CONCATENATE(LEFT('1.1.sz.mell.'!C3,4),". évi módosított előirányzat")</f>
        <v>2017. évi módosított előirányzat</v>
      </c>
      <c r="E4" s="28" t="str">
        <f>+CONCATENATE(LEFT('1.1.sz.mell.'!C3,4),". évi teljesítés")</f>
        <v>2017. évi teljesítés</v>
      </c>
      <c r="F4" s="27" t="s">
        <v>52</v>
      </c>
      <c r="G4" s="28" t="str">
        <f>+C4</f>
        <v>2017. évi eredeti előirányzat</v>
      </c>
      <c r="H4" s="437" t="str">
        <f>+D4</f>
        <v>2017. évi módosított előirányzat</v>
      </c>
      <c r="I4" s="467" t="str">
        <f>+E4</f>
        <v>2017. évi teljesítés</v>
      </c>
      <c r="J4" s="764"/>
      <c r="K4" s="679"/>
    </row>
    <row r="5" spans="1:11" s="452" customFormat="1" ht="12" customHeight="1" thickBot="1">
      <c r="A5" s="480" t="s">
        <v>427</v>
      </c>
      <c r="B5" s="481" t="s">
        <v>428</v>
      </c>
      <c r="C5" s="482" t="s">
        <v>429</v>
      </c>
      <c r="D5" s="482" t="s">
        <v>430</v>
      </c>
      <c r="E5" s="482" t="s">
        <v>431</v>
      </c>
      <c r="F5" s="481" t="s">
        <v>508</v>
      </c>
      <c r="G5" s="482" t="s">
        <v>509</v>
      </c>
      <c r="H5" s="482" t="s">
        <v>510</v>
      </c>
      <c r="I5" s="483" t="s">
        <v>511</v>
      </c>
      <c r="J5" s="764"/>
      <c r="K5" s="680"/>
    </row>
    <row r="6" spans="1:11" ht="15" customHeight="1">
      <c r="A6" s="453" t="s">
        <v>6</v>
      </c>
      <c r="B6" s="454" t="s">
        <v>484</v>
      </c>
      <c r="C6" s="440">
        <v>132835967</v>
      </c>
      <c r="D6" s="440">
        <v>139978789</v>
      </c>
      <c r="E6" s="440">
        <v>139978789</v>
      </c>
      <c r="F6" s="454" t="s">
        <v>53</v>
      </c>
      <c r="G6" s="440">
        <v>106746280</v>
      </c>
      <c r="H6" s="440">
        <v>118906086</v>
      </c>
      <c r="I6" s="446">
        <v>112015989</v>
      </c>
      <c r="J6" s="764"/>
      <c r="K6" s="678" t="s">
        <v>740</v>
      </c>
    </row>
    <row r="7" spans="1:11" ht="15" customHeight="1">
      <c r="A7" s="455" t="s">
        <v>7</v>
      </c>
      <c r="B7" s="456" t="s">
        <v>485</v>
      </c>
      <c r="C7" s="441">
        <v>15213374</v>
      </c>
      <c r="D7" s="441">
        <v>29877537</v>
      </c>
      <c r="E7" s="441">
        <v>29762620</v>
      </c>
      <c r="F7" s="456" t="s">
        <v>133</v>
      </c>
      <c r="G7" s="441">
        <v>25453326</v>
      </c>
      <c r="H7" s="441">
        <v>27841943</v>
      </c>
      <c r="I7" s="447">
        <v>25634182</v>
      </c>
      <c r="J7" s="764"/>
      <c r="K7" s="678" t="s">
        <v>741</v>
      </c>
    </row>
    <row r="8" spans="1:11" ht="15" customHeight="1">
      <c r="A8" s="455" t="s">
        <v>8</v>
      </c>
      <c r="B8" s="456" t="s">
        <v>486</v>
      </c>
      <c r="C8" s="441"/>
      <c r="D8" s="441"/>
      <c r="E8" s="441"/>
      <c r="F8" s="456" t="s">
        <v>163</v>
      </c>
      <c r="G8" s="441">
        <v>121017374</v>
      </c>
      <c r="H8" s="441">
        <v>126181276</v>
      </c>
      <c r="I8" s="447">
        <v>99410668</v>
      </c>
      <c r="J8" s="764"/>
      <c r="K8" s="678" t="s">
        <v>742</v>
      </c>
    </row>
    <row r="9" spans="1:11" ht="15" customHeight="1">
      <c r="A9" s="455" t="s">
        <v>9</v>
      </c>
      <c r="B9" s="456" t="s">
        <v>124</v>
      </c>
      <c r="C9" s="441">
        <v>60950000</v>
      </c>
      <c r="D9" s="441">
        <v>83093414</v>
      </c>
      <c r="E9" s="441">
        <v>79539692</v>
      </c>
      <c r="F9" s="456" t="s">
        <v>134</v>
      </c>
      <c r="G9" s="441">
        <v>5460000</v>
      </c>
      <c r="H9" s="441">
        <v>7425420</v>
      </c>
      <c r="I9" s="447">
        <v>6784270</v>
      </c>
      <c r="J9" s="764"/>
      <c r="K9" s="678" t="s">
        <v>743</v>
      </c>
    </row>
    <row r="10" spans="1:11" ht="15" customHeight="1">
      <c r="A10" s="455" t="s">
        <v>10</v>
      </c>
      <c r="B10" s="457" t="s">
        <v>487</v>
      </c>
      <c r="C10" s="441"/>
      <c r="D10" s="441">
        <v>0</v>
      </c>
      <c r="E10" s="441">
        <v>0</v>
      </c>
      <c r="F10" s="456" t="s">
        <v>135</v>
      </c>
      <c r="G10" s="441">
        <v>4000000</v>
      </c>
      <c r="H10" s="441">
        <v>9345169</v>
      </c>
      <c r="I10" s="447">
        <v>9319969</v>
      </c>
      <c r="J10" s="764"/>
      <c r="K10" s="678" t="s">
        <v>744</v>
      </c>
    </row>
    <row r="11" spans="1:11" ht="15" customHeight="1">
      <c r="A11" s="455" t="s">
        <v>11</v>
      </c>
      <c r="B11" s="456" t="s">
        <v>676</v>
      </c>
      <c r="C11" s="442"/>
      <c r="D11" s="442"/>
      <c r="E11" s="442"/>
      <c r="F11" s="456" t="s">
        <v>37</v>
      </c>
      <c r="G11" s="441">
        <v>25330230</v>
      </c>
      <c r="H11" s="441">
        <f>43069723+5119012</f>
        <v>48188735</v>
      </c>
      <c r="I11" s="447"/>
      <c r="J11" s="764"/>
      <c r="K11" s="678" t="s">
        <v>745</v>
      </c>
    </row>
    <row r="12" spans="1:11" ht="15" customHeight="1">
      <c r="A12" s="455" t="s">
        <v>12</v>
      </c>
      <c r="B12" s="456" t="s">
        <v>357</v>
      </c>
      <c r="C12" s="441">
        <v>33880863</v>
      </c>
      <c r="D12" s="441">
        <v>39767391</v>
      </c>
      <c r="E12" s="441">
        <v>36854431</v>
      </c>
      <c r="F12" s="7"/>
      <c r="G12" s="441"/>
      <c r="H12" s="441"/>
      <c r="I12" s="447"/>
      <c r="J12" s="764"/>
      <c r="K12" s="678" t="s">
        <v>746</v>
      </c>
    </row>
    <row r="13" spans="1:10" ht="15" customHeight="1">
      <c r="A13" s="455" t="s">
        <v>13</v>
      </c>
      <c r="B13" s="7"/>
      <c r="C13" s="441"/>
      <c r="D13" s="441"/>
      <c r="E13" s="441"/>
      <c r="F13" s="7"/>
      <c r="G13" s="441"/>
      <c r="H13" s="441"/>
      <c r="I13" s="447"/>
      <c r="J13" s="764"/>
    </row>
    <row r="14" spans="1:10" ht="15" customHeight="1">
      <c r="A14" s="455" t="s">
        <v>14</v>
      </c>
      <c r="B14" s="466"/>
      <c r="C14" s="442"/>
      <c r="D14" s="442"/>
      <c r="E14" s="442"/>
      <c r="F14" s="7"/>
      <c r="G14" s="441"/>
      <c r="H14" s="441"/>
      <c r="I14" s="447"/>
      <c r="J14" s="764"/>
    </row>
    <row r="15" spans="1:10" ht="15" customHeight="1">
      <c r="A15" s="455" t="s">
        <v>15</v>
      </c>
      <c r="B15" s="7"/>
      <c r="C15" s="441"/>
      <c r="D15" s="441"/>
      <c r="E15" s="441"/>
      <c r="F15" s="7"/>
      <c r="G15" s="441"/>
      <c r="H15" s="441"/>
      <c r="I15" s="447"/>
      <c r="J15" s="764"/>
    </row>
    <row r="16" spans="1:10" ht="15" customHeight="1">
      <c r="A16" s="455" t="s">
        <v>16</v>
      </c>
      <c r="B16" s="7"/>
      <c r="C16" s="441"/>
      <c r="D16" s="441"/>
      <c r="E16" s="441"/>
      <c r="F16" s="7"/>
      <c r="G16" s="441"/>
      <c r="H16" s="441"/>
      <c r="I16" s="447"/>
      <c r="J16" s="764"/>
    </row>
    <row r="17" spans="1:10" ht="15" customHeight="1" thickBot="1">
      <c r="A17" s="455" t="s">
        <v>17</v>
      </c>
      <c r="B17" s="12"/>
      <c r="C17" s="443"/>
      <c r="D17" s="443"/>
      <c r="E17" s="443"/>
      <c r="F17" s="7"/>
      <c r="G17" s="443"/>
      <c r="H17" s="443"/>
      <c r="I17" s="448"/>
      <c r="J17" s="764"/>
    </row>
    <row r="18" spans="1:11" ht="17.25" customHeight="1" thickBot="1">
      <c r="A18" s="458" t="s">
        <v>18</v>
      </c>
      <c r="B18" s="439" t="s">
        <v>488</v>
      </c>
      <c r="C18" s="444">
        <f>+C6+C7+C9+C10+C12+C13+C14+C15+C16+C17</f>
        <v>242880204</v>
      </c>
      <c r="D18" s="444">
        <f>+D6+D7+D9+D10+D12+D13+D14+D15+D16+D17</f>
        <v>292717131</v>
      </c>
      <c r="E18" s="444">
        <f>+E6+E7+E9+E10+E12+E13+E14+E15+E16+E17</f>
        <v>286135532</v>
      </c>
      <c r="F18" s="439" t="s">
        <v>495</v>
      </c>
      <c r="G18" s="444">
        <f>SUM(G6:G17)</f>
        <v>288007210</v>
      </c>
      <c r="H18" s="444">
        <f>SUM(H6:H17)</f>
        <v>337888629</v>
      </c>
      <c r="I18" s="444">
        <f>SUM(I6:I17)</f>
        <v>253165078</v>
      </c>
      <c r="J18" s="764"/>
      <c r="K18" s="678" t="s">
        <v>747</v>
      </c>
    </row>
    <row r="19" spans="1:11" ht="15" customHeight="1">
      <c r="A19" s="459" t="s">
        <v>19</v>
      </c>
      <c r="B19" s="460" t="s">
        <v>489</v>
      </c>
      <c r="C19" s="40">
        <f>+C20+C21+C22+C23</f>
        <v>45127006</v>
      </c>
      <c r="D19" s="40">
        <f>+D20+D21+D22+D23</f>
        <v>44870976</v>
      </c>
      <c r="E19" s="40">
        <f>+E20+E21+E22+E23</f>
        <v>44870976</v>
      </c>
      <c r="F19" s="461" t="s">
        <v>141</v>
      </c>
      <c r="G19" s="445"/>
      <c r="H19" s="445"/>
      <c r="I19" s="445"/>
      <c r="J19" s="764"/>
      <c r="K19" s="678" t="s">
        <v>748</v>
      </c>
    </row>
    <row r="20" spans="1:11" ht="15" customHeight="1">
      <c r="A20" s="462" t="s">
        <v>20</v>
      </c>
      <c r="B20" s="461" t="s">
        <v>155</v>
      </c>
      <c r="C20" s="438">
        <v>45127006</v>
      </c>
      <c r="D20" s="438">
        <v>44870976</v>
      </c>
      <c r="E20" s="438">
        <v>44870976</v>
      </c>
      <c r="F20" s="461" t="s">
        <v>496</v>
      </c>
      <c r="G20" s="438"/>
      <c r="H20" s="438"/>
      <c r="I20" s="438"/>
      <c r="J20" s="764"/>
      <c r="K20" s="678" t="s">
        <v>749</v>
      </c>
    </row>
    <row r="21" spans="1:11" ht="15" customHeight="1">
      <c r="A21" s="462" t="s">
        <v>21</v>
      </c>
      <c r="B21" s="461" t="s">
        <v>156</v>
      </c>
      <c r="C21" s="438"/>
      <c r="D21" s="438"/>
      <c r="E21" s="438"/>
      <c r="F21" s="461" t="s">
        <v>115</v>
      </c>
      <c r="G21" s="438"/>
      <c r="H21" s="438"/>
      <c r="I21" s="438"/>
      <c r="J21" s="764"/>
      <c r="K21" s="678" t="s">
        <v>750</v>
      </c>
    </row>
    <row r="22" spans="1:11" ht="15" customHeight="1">
      <c r="A22" s="462" t="s">
        <v>22</v>
      </c>
      <c r="B22" s="461" t="s">
        <v>161</v>
      </c>
      <c r="C22" s="438"/>
      <c r="D22" s="438"/>
      <c r="E22" s="438"/>
      <c r="F22" s="461" t="s">
        <v>116</v>
      </c>
      <c r="G22" s="438"/>
      <c r="H22" s="438"/>
      <c r="I22" s="438"/>
      <c r="J22" s="764"/>
      <c r="K22" s="678" t="s">
        <v>751</v>
      </c>
    </row>
    <row r="23" spans="1:11" ht="15" customHeight="1">
      <c r="A23" s="462" t="s">
        <v>23</v>
      </c>
      <c r="B23" s="461" t="s">
        <v>162</v>
      </c>
      <c r="C23" s="438"/>
      <c r="D23" s="438"/>
      <c r="E23" s="438"/>
      <c r="F23" s="460" t="s">
        <v>164</v>
      </c>
      <c r="G23" s="438"/>
      <c r="H23" s="438"/>
      <c r="I23" s="438"/>
      <c r="J23" s="764"/>
      <c r="K23" s="678" t="s">
        <v>752</v>
      </c>
    </row>
    <row r="24" spans="1:11" ht="15" customHeight="1">
      <c r="A24" s="462" t="s">
        <v>24</v>
      </c>
      <c r="B24" s="461" t="s">
        <v>490</v>
      </c>
      <c r="C24" s="463">
        <f>+C25+C26</f>
        <v>0</v>
      </c>
      <c r="D24" s="463">
        <f>+D25+D26</f>
        <v>0</v>
      </c>
      <c r="E24" s="463">
        <f>+E25+E26</f>
        <v>0</v>
      </c>
      <c r="F24" s="461" t="s">
        <v>142</v>
      </c>
      <c r="G24" s="438"/>
      <c r="H24" s="438"/>
      <c r="I24" s="438"/>
      <c r="J24" s="764"/>
      <c r="K24" s="678" t="s">
        <v>753</v>
      </c>
    </row>
    <row r="25" spans="1:11" ht="15" customHeight="1">
      <c r="A25" s="459" t="s">
        <v>25</v>
      </c>
      <c r="B25" s="460" t="s">
        <v>491</v>
      </c>
      <c r="C25" s="445"/>
      <c r="D25" s="445"/>
      <c r="E25" s="445"/>
      <c r="F25" s="454" t="s">
        <v>143</v>
      </c>
      <c r="G25" s="445"/>
      <c r="H25" s="445"/>
      <c r="I25" s="445"/>
      <c r="J25" s="764"/>
      <c r="K25" s="678" t="s">
        <v>754</v>
      </c>
    </row>
    <row r="26" spans="1:11" ht="15" customHeight="1">
      <c r="A26" s="462" t="s">
        <v>26</v>
      </c>
      <c r="B26" s="461" t="s">
        <v>492</v>
      </c>
      <c r="C26" s="438"/>
      <c r="D26" s="438"/>
      <c r="E26" s="438"/>
      <c r="F26" s="7" t="s">
        <v>471</v>
      </c>
      <c r="G26" s="438"/>
      <c r="H26" s="438">
        <v>4818490</v>
      </c>
      <c r="I26" s="438">
        <v>4818490</v>
      </c>
      <c r="J26" s="764"/>
      <c r="K26" s="678" t="s">
        <v>755</v>
      </c>
    </row>
    <row r="27" spans="1:10" ht="15" customHeight="1" thickBot="1">
      <c r="A27" s="744" t="s">
        <v>27</v>
      </c>
      <c r="B27" s="460" t="s">
        <v>406</v>
      </c>
      <c r="C27" s="445"/>
      <c r="D27" s="445">
        <v>5119012</v>
      </c>
      <c r="E27" s="445">
        <v>5119012</v>
      </c>
      <c r="F27" s="497"/>
      <c r="G27" s="445"/>
      <c r="H27" s="445"/>
      <c r="I27" s="445"/>
      <c r="J27" s="764"/>
    </row>
    <row r="28" spans="1:11" ht="17.25" customHeight="1" thickBot="1">
      <c r="A28" s="458" t="s">
        <v>27</v>
      </c>
      <c r="B28" s="439" t="s">
        <v>493</v>
      </c>
      <c r="C28" s="444">
        <f>+C19+C24</f>
        <v>45127006</v>
      </c>
      <c r="D28" s="444">
        <f>+D19+D24+D27</f>
        <v>49989988</v>
      </c>
      <c r="E28" s="444">
        <f>+E19+E24+E27</f>
        <v>49989988</v>
      </c>
      <c r="F28" s="439" t="s">
        <v>497</v>
      </c>
      <c r="G28" s="444">
        <f>SUM(G19:G26)</f>
        <v>0</v>
      </c>
      <c r="H28" s="444">
        <f>SUM(H19:H26)</f>
        <v>4818490</v>
      </c>
      <c r="I28" s="444">
        <f>SUM(I19:I26)</f>
        <v>4818490</v>
      </c>
      <c r="J28" s="764"/>
      <c r="K28" s="678" t="s">
        <v>756</v>
      </c>
    </row>
    <row r="29" spans="1:11" ht="17.25" customHeight="1" thickBot="1">
      <c r="A29" s="458" t="s">
        <v>28</v>
      </c>
      <c r="B29" s="464" t="s">
        <v>494</v>
      </c>
      <c r="C29" s="101">
        <f>+C18+C28</f>
        <v>288007210</v>
      </c>
      <c r="D29" s="101">
        <f>+D18+D28</f>
        <v>342707119</v>
      </c>
      <c r="E29" s="465">
        <f>+E18+E28</f>
        <v>336125520</v>
      </c>
      <c r="F29" s="464" t="s">
        <v>498</v>
      </c>
      <c r="G29" s="101">
        <f>+G18+G28</f>
        <v>288007210</v>
      </c>
      <c r="H29" s="101">
        <f>+H18+H28</f>
        <v>342707119</v>
      </c>
      <c r="I29" s="101">
        <f>+I18+I28</f>
        <v>257983568</v>
      </c>
      <c r="J29" s="764"/>
      <c r="K29" s="678" t="s">
        <v>757</v>
      </c>
    </row>
    <row r="30" spans="1:11" ht="17.25" customHeight="1" thickBot="1">
      <c r="A30" s="458" t="s">
        <v>29</v>
      </c>
      <c r="B30" s="464" t="s">
        <v>119</v>
      </c>
      <c r="C30" s="101">
        <f>IF(C18-G18&lt;0,G18-C18,"-")</f>
        <v>45127006</v>
      </c>
      <c r="D30" s="101">
        <f>IF(D18-H18&lt;0,H18-D18,"-")</f>
        <v>45171498</v>
      </c>
      <c r="E30" s="465" t="str">
        <f>IF(E18-I18&lt;0,I18-E18,"-")</f>
        <v>-</v>
      </c>
      <c r="F30" s="464" t="s">
        <v>120</v>
      </c>
      <c r="G30" s="101" t="str">
        <f>IF(C18-G18&gt;0,C18-G18,"-")</f>
        <v>-</v>
      </c>
      <c r="H30" s="101" t="str">
        <f>IF(D18-H18&gt;0,D18-H18,"-")</f>
        <v>-</v>
      </c>
      <c r="I30" s="101">
        <f>IF(E18-I18&gt;0,E18-I18,"-")</f>
        <v>32970454</v>
      </c>
      <c r="J30" s="764"/>
      <c r="K30" s="678" t="s">
        <v>758</v>
      </c>
    </row>
    <row r="31" spans="1:11" ht="17.25" customHeight="1" thickBot="1">
      <c r="A31" s="458" t="s">
        <v>30</v>
      </c>
      <c r="B31" s="464" t="s">
        <v>165</v>
      </c>
      <c r="C31" s="101" t="str">
        <f>IF(C29-G29&lt;0,G29-C29,"-")</f>
        <v>-</v>
      </c>
      <c r="D31" s="101" t="str">
        <f>IF(D29-H29&lt;0,H29-D29,"-")</f>
        <v>-</v>
      </c>
      <c r="E31" s="465" t="str">
        <f>IF(E29-I29&lt;0,I29-E29,"-")</f>
        <v>-</v>
      </c>
      <c r="F31" s="464" t="s">
        <v>166</v>
      </c>
      <c r="G31" s="101" t="str">
        <f>IF(C29-G29&gt;0,C29-G29,"-")</f>
        <v>-</v>
      </c>
      <c r="H31" s="101" t="str">
        <f>IF(D29-H29&gt;0,D29-H29,"-")</f>
        <v>-</v>
      </c>
      <c r="I31" s="101">
        <f>IF(E29-I29&gt;0,E29-I29,"-")</f>
        <v>78141952</v>
      </c>
      <c r="J31" s="764"/>
      <c r="K31" s="678" t="s">
        <v>759</v>
      </c>
    </row>
  </sheetData>
  <sheetProtection/>
  <mergeCells count="2">
    <mergeCell ref="J1:J31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SheetLayoutView="100" zoomScalePageLayoutView="0" workbookViewId="0" topLeftCell="A1">
      <selection activeCell="J34" sqref="J34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8" hidden="1" customWidth="1"/>
    <col min="12" max="16384" width="9.375" style="10" customWidth="1"/>
  </cols>
  <sheetData>
    <row r="1" spans="2:10" ht="39.75" customHeight="1">
      <c r="B1" s="449" t="s">
        <v>118</v>
      </c>
      <c r="C1" s="450"/>
      <c r="D1" s="450"/>
      <c r="E1" s="450"/>
      <c r="F1" s="450"/>
      <c r="G1" s="450"/>
      <c r="H1" s="450"/>
      <c r="I1" s="450"/>
      <c r="J1" s="767" t="str">
        <f>+CONCATENATE("2.2. melléklet a 6 /",LEFT('1.1.sz.mell.'!C3,4)+1,". (V.30.) önkormányzati rendelethez")</f>
        <v>2.2. melléklet a 6 /2018. (V.30.) önkormányzati rendelethez</v>
      </c>
    </row>
    <row r="2" spans="7:10" ht="14.25" thickBot="1">
      <c r="G2" s="39"/>
      <c r="H2" s="39"/>
      <c r="I2" s="39" t="s">
        <v>880</v>
      </c>
      <c r="J2" s="767"/>
    </row>
    <row r="3" spans="1:10" ht="24" customHeight="1" thickBot="1">
      <c r="A3" s="768" t="s">
        <v>59</v>
      </c>
      <c r="B3" s="477" t="s">
        <v>43</v>
      </c>
      <c r="C3" s="478"/>
      <c r="D3" s="478"/>
      <c r="E3" s="478"/>
      <c r="F3" s="477" t="s">
        <v>44</v>
      </c>
      <c r="G3" s="479"/>
      <c r="H3" s="479"/>
      <c r="I3" s="479"/>
      <c r="J3" s="767"/>
    </row>
    <row r="4" spans="1:11" s="451" customFormat="1" ht="35.25" customHeight="1" thickBot="1">
      <c r="A4" s="769"/>
      <c r="B4" s="27" t="s">
        <v>52</v>
      </c>
      <c r="C4" s="28" t="str">
        <f>+'2.1.sz.mell  '!C4</f>
        <v>2017. évi eredeti előirányzat</v>
      </c>
      <c r="D4" s="437" t="str">
        <f>+'2.1.sz.mell  '!D4</f>
        <v>2017. évi módosított előirányzat</v>
      </c>
      <c r="E4" s="28" t="str">
        <f>+'2.1.sz.mell  '!E4</f>
        <v>2017. évi teljesítés</v>
      </c>
      <c r="F4" s="27" t="s">
        <v>52</v>
      </c>
      <c r="G4" s="28" t="str">
        <f>+'2.1.sz.mell  '!C4</f>
        <v>2017. évi eredeti előirányzat</v>
      </c>
      <c r="H4" s="437" t="str">
        <f>+'2.1.sz.mell  '!D4</f>
        <v>2017. évi módosított előirányzat</v>
      </c>
      <c r="I4" s="467" t="str">
        <f>+'2.1.sz.mell  '!E4</f>
        <v>2017. évi teljesítés</v>
      </c>
      <c r="J4" s="767"/>
      <c r="K4" s="679"/>
    </row>
    <row r="5" spans="1:11" s="451" customFormat="1" ht="13.5" thickBot="1">
      <c r="A5" s="480" t="s">
        <v>427</v>
      </c>
      <c r="B5" s="481" t="s">
        <v>428</v>
      </c>
      <c r="C5" s="482" t="s">
        <v>429</v>
      </c>
      <c r="D5" s="482" t="s">
        <v>430</v>
      </c>
      <c r="E5" s="482" t="s">
        <v>431</v>
      </c>
      <c r="F5" s="481" t="s">
        <v>508</v>
      </c>
      <c r="G5" s="482" t="s">
        <v>509</v>
      </c>
      <c r="H5" s="482" t="s">
        <v>510</v>
      </c>
      <c r="I5" s="483" t="s">
        <v>511</v>
      </c>
      <c r="J5" s="767"/>
      <c r="K5" s="680"/>
    </row>
    <row r="6" spans="1:11" ht="12.75" customHeight="1">
      <c r="A6" s="453" t="s">
        <v>6</v>
      </c>
      <c r="B6" s="454" t="s">
        <v>499</v>
      </c>
      <c r="C6" s="440">
        <v>0</v>
      </c>
      <c r="D6" s="440">
        <v>0</v>
      </c>
      <c r="E6" s="440">
        <v>0</v>
      </c>
      <c r="F6" s="454" t="s">
        <v>157</v>
      </c>
      <c r="G6" s="440">
        <v>17001978</v>
      </c>
      <c r="H6" s="440">
        <v>25775294</v>
      </c>
      <c r="I6" s="446">
        <v>21066388</v>
      </c>
      <c r="J6" s="767"/>
      <c r="K6" s="678" t="s">
        <v>740</v>
      </c>
    </row>
    <row r="7" spans="1:11" ht="12.75">
      <c r="A7" s="455" t="s">
        <v>7</v>
      </c>
      <c r="B7" s="456" t="s">
        <v>500</v>
      </c>
      <c r="C7" s="441"/>
      <c r="D7" s="441"/>
      <c r="E7" s="441"/>
      <c r="F7" s="456" t="s">
        <v>512</v>
      </c>
      <c r="G7" s="441"/>
      <c r="H7" s="441"/>
      <c r="I7" s="447"/>
      <c r="J7" s="767"/>
      <c r="K7" s="678" t="s">
        <v>741</v>
      </c>
    </row>
    <row r="8" spans="1:11" ht="12.75" customHeight="1">
      <c r="A8" s="455" t="s">
        <v>8</v>
      </c>
      <c r="B8" s="456" t="s">
        <v>501</v>
      </c>
      <c r="C8" s="441"/>
      <c r="D8" s="441">
        <v>804331</v>
      </c>
      <c r="E8" s="441">
        <v>804331</v>
      </c>
      <c r="F8" s="456" t="s">
        <v>137</v>
      </c>
      <c r="G8" s="441">
        <v>71673523</v>
      </c>
      <c r="H8" s="441">
        <v>95876494</v>
      </c>
      <c r="I8" s="447">
        <v>93876879</v>
      </c>
      <c r="J8" s="767"/>
      <c r="K8" s="678" t="s">
        <v>742</v>
      </c>
    </row>
    <row r="9" spans="1:11" ht="12.75" customHeight="1">
      <c r="A9" s="455" t="s">
        <v>9</v>
      </c>
      <c r="B9" s="456" t="s">
        <v>502</v>
      </c>
      <c r="C9" s="441"/>
      <c r="D9" s="441">
        <v>0</v>
      </c>
      <c r="E9" s="441">
        <v>0</v>
      </c>
      <c r="F9" s="456" t="s">
        <v>513</v>
      </c>
      <c r="G9" s="441"/>
      <c r="H9" s="441"/>
      <c r="I9" s="447"/>
      <c r="J9" s="767"/>
      <c r="K9" s="678" t="s">
        <v>743</v>
      </c>
    </row>
    <row r="10" spans="1:11" ht="12.75" customHeight="1">
      <c r="A10" s="455" t="s">
        <v>10</v>
      </c>
      <c r="B10" s="456" t="s">
        <v>503</v>
      </c>
      <c r="C10" s="441"/>
      <c r="D10" s="441"/>
      <c r="E10" s="441"/>
      <c r="F10" s="456" t="s">
        <v>160</v>
      </c>
      <c r="G10" s="441">
        <v>1500000</v>
      </c>
      <c r="H10" s="441">
        <v>1500000</v>
      </c>
      <c r="I10" s="447">
        <v>800000</v>
      </c>
      <c r="J10" s="767"/>
      <c r="K10" s="678" t="s">
        <v>744</v>
      </c>
    </row>
    <row r="11" spans="1:11" ht="12.75" customHeight="1">
      <c r="A11" s="455" t="s">
        <v>11</v>
      </c>
      <c r="B11" s="456" t="s">
        <v>504</v>
      </c>
      <c r="C11" s="442">
        <v>9800000</v>
      </c>
      <c r="D11" s="442">
        <v>38171706</v>
      </c>
      <c r="E11" s="442">
        <v>38171706</v>
      </c>
      <c r="F11" s="498"/>
      <c r="G11" s="441"/>
      <c r="H11" s="441"/>
      <c r="I11" s="447"/>
      <c r="J11" s="767"/>
      <c r="K11" s="678" t="s">
        <v>745</v>
      </c>
    </row>
    <row r="12" spans="1:10" ht="12.75" customHeight="1">
      <c r="A12" s="455" t="s">
        <v>12</v>
      </c>
      <c r="B12" s="7"/>
      <c r="C12" s="441"/>
      <c r="D12" s="441"/>
      <c r="E12" s="441"/>
      <c r="F12" s="498"/>
      <c r="G12" s="441"/>
      <c r="H12" s="441"/>
      <c r="I12" s="447"/>
      <c r="J12" s="767"/>
    </row>
    <row r="13" spans="1:10" ht="12.75" customHeight="1">
      <c r="A13" s="455" t="s">
        <v>13</v>
      </c>
      <c r="B13" s="7"/>
      <c r="C13" s="441"/>
      <c r="D13" s="441"/>
      <c r="E13" s="441"/>
      <c r="F13" s="499"/>
      <c r="G13" s="441"/>
      <c r="H13" s="441"/>
      <c r="I13" s="447"/>
      <c r="J13" s="767"/>
    </row>
    <row r="14" spans="1:10" ht="12.75" customHeight="1">
      <c r="A14" s="455" t="s">
        <v>14</v>
      </c>
      <c r="B14" s="496"/>
      <c r="C14" s="442"/>
      <c r="D14" s="442"/>
      <c r="E14" s="442"/>
      <c r="F14" s="498"/>
      <c r="G14" s="441"/>
      <c r="H14" s="441"/>
      <c r="I14" s="447"/>
      <c r="J14" s="767"/>
    </row>
    <row r="15" spans="1:10" ht="12.75">
      <c r="A15" s="455" t="s">
        <v>15</v>
      </c>
      <c r="B15" s="7"/>
      <c r="C15" s="442"/>
      <c r="D15" s="442"/>
      <c r="E15" s="442"/>
      <c r="F15" s="498"/>
      <c r="G15" s="441"/>
      <c r="H15" s="441"/>
      <c r="I15" s="447"/>
      <c r="J15" s="767"/>
    </row>
    <row r="16" spans="1:10" ht="12.75" customHeight="1" thickBot="1">
      <c r="A16" s="493" t="s">
        <v>16</v>
      </c>
      <c r="B16" s="497"/>
      <c r="C16" s="495"/>
      <c r="D16" s="108"/>
      <c r="E16" s="115"/>
      <c r="F16" s="494" t="s">
        <v>37</v>
      </c>
      <c r="G16" s="441">
        <v>56233053</v>
      </c>
      <c r="H16" s="441">
        <v>52432803</v>
      </c>
      <c r="I16" s="447"/>
      <c r="J16" s="767"/>
    </row>
    <row r="17" spans="1:11" ht="15.75" customHeight="1" thickBot="1">
      <c r="A17" s="458" t="s">
        <v>17</v>
      </c>
      <c r="B17" s="439" t="s">
        <v>505</v>
      </c>
      <c r="C17" s="444">
        <f>+C6+C8+C9+C11+C12+C13+C14+C15+C16</f>
        <v>9800000</v>
      </c>
      <c r="D17" s="444">
        <f>+D6+D8+D9+D11+D12+D13+D14+D15+D16</f>
        <v>38976037</v>
      </c>
      <c r="E17" s="444">
        <f>+E6+E8+E9+E11+E12+E13+E14+E15+E16</f>
        <v>38976037</v>
      </c>
      <c r="F17" s="439" t="s">
        <v>514</v>
      </c>
      <c r="G17" s="444">
        <f>+G6+G8+G10+G11+G12+G13+G14+G15+G16</f>
        <v>146408554</v>
      </c>
      <c r="H17" s="444">
        <f>+H6+H8+H10+H11+H12+H13+H14+H15+H16</f>
        <v>175584591</v>
      </c>
      <c r="I17" s="476">
        <f>+I6+I8+I10+I11+I12+I13+I14+I15+I16</f>
        <v>115743267</v>
      </c>
      <c r="J17" s="767"/>
      <c r="K17" s="678" t="s">
        <v>746</v>
      </c>
    </row>
    <row r="18" spans="1:11" ht="12.75" customHeight="1">
      <c r="A18" s="453" t="s">
        <v>18</v>
      </c>
      <c r="B18" s="485" t="s">
        <v>178</v>
      </c>
      <c r="C18" s="492">
        <f>+C19+C20+C21+C22+C23</f>
        <v>136608554</v>
      </c>
      <c r="D18" s="492">
        <f>+D19+D20+D21+D22+D23</f>
        <v>136608554</v>
      </c>
      <c r="E18" s="492">
        <f>+E19+E20+E21+E22+E23</f>
        <v>136608554</v>
      </c>
      <c r="F18" s="461" t="s">
        <v>141</v>
      </c>
      <c r="G18" s="103"/>
      <c r="H18" s="103"/>
      <c r="I18" s="471"/>
      <c r="J18" s="767"/>
      <c r="K18" s="678" t="s">
        <v>747</v>
      </c>
    </row>
    <row r="19" spans="1:11" ht="12.75" customHeight="1">
      <c r="A19" s="455" t="s">
        <v>19</v>
      </c>
      <c r="B19" s="486" t="s">
        <v>167</v>
      </c>
      <c r="C19" s="438">
        <v>136608554</v>
      </c>
      <c r="D19" s="438">
        <v>136608554</v>
      </c>
      <c r="E19" s="438">
        <v>136608554</v>
      </c>
      <c r="F19" s="461" t="s">
        <v>144</v>
      </c>
      <c r="G19" s="438"/>
      <c r="H19" s="438"/>
      <c r="I19" s="472"/>
      <c r="J19" s="767"/>
      <c r="K19" s="678" t="s">
        <v>748</v>
      </c>
    </row>
    <row r="20" spans="1:11" ht="12.75" customHeight="1">
      <c r="A20" s="453" t="s">
        <v>20</v>
      </c>
      <c r="B20" s="486" t="s">
        <v>168</v>
      </c>
      <c r="C20" s="438"/>
      <c r="D20" s="438"/>
      <c r="E20" s="438"/>
      <c r="F20" s="461" t="s">
        <v>115</v>
      </c>
      <c r="G20" s="438"/>
      <c r="H20" s="438"/>
      <c r="I20" s="472"/>
      <c r="J20" s="767"/>
      <c r="K20" s="678" t="s">
        <v>749</v>
      </c>
    </row>
    <row r="21" spans="1:11" ht="12.75" customHeight="1">
      <c r="A21" s="455" t="s">
        <v>21</v>
      </c>
      <c r="B21" s="486" t="s">
        <v>169</v>
      </c>
      <c r="C21" s="438"/>
      <c r="D21" s="438"/>
      <c r="E21" s="438"/>
      <c r="F21" s="461" t="s">
        <v>116</v>
      </c>
      <c r="G21" s="438"/>
      <c r="H21" s="438"/>
      <c r="I21" s="472"/>
      <c r="J21" s="767"/>
      <c r="K21" s="678" t="s">
        <v>750</v>
      </c>
    </row>
    <row r="22" spans="1:11" ht="12.75" customHeight="1">
      <c r="A22" s="453" t="s">
        <v>22</v>
      </c>
      <c r="B22" s="486" t="s">
        <v>170</v>
      </c>
      <c r="C22" s="438"/>
      <c r="D22" s="438"/>
      <c r="E22" s="438"/>
      <c r="F22" s="460" t="s">
        <v>164</v>
      </c>
      <c r="G22" s="438"/>
      <c r="H22" s="438"/>
      <c r="I22" s="472"/>
      <c r="J22" s="767"/>
      <c r="K22" s="678" t="s">
        <v>751</v>
      </c>
    </row>
    <row r="23" spans="1:11" ht="12.75" customHeight="1">
      <c r="A23" s="455" t="s">
        <v>23</v>
      </c>
      <c r="B23" s="487" t="s">
        <v>171</v>
      </c>
      <c r="C23" s="438"/>
      <c r="D23" s="438"/>
      <c r="E23" s="438"/>
      <c r="F23" s="461" t="s">
        <v>145</v>
      </c>
      <c r="G23" s="438"/>
      <c r="H23" s="438"/>
      <c r="I23" s="472"/>
      <c r="J23" s="767"/>
      <c r="K23" s="678" t="s">
        <v>752</v>
      </c>
    </row>
    <row r="24" spans="1:11" ht="12.75" customHeight="1">
      <c r="A24" s="453" t="s">
        <v>24</v>
      </c>
      <c r="B24" s="488" t="s">
        <v>172</v>
      </c>
      <c r="C24" s="463">
        <f>+C25+C26+C27+C28+C29</f>
        <v>0</v>
      </c>
      <c r="D24" s="463">
        <f>+D25+D26+D27+D28+D29</f>
        <v>0</v>
      </c>
      <c r="E24" s="463">
        <f>+E25+E26+E27+E28+E29</f>
        <v>0</v>
      </c>
      <c r="F24" s="489" t="s">
        <v>143</v>
      </c>
      <c r="G24" s="438"/>
      <c r="H24" s="438"/>
      <c r="I24" s="472"/>
      <c r="J24" s="767"/>
      <c r="K24" s="678" t="s">
        <v>753</v>
      </c>
    </row>
    <row r="25" spans="1:11" ht="12.75" customHeight="1">
      <c r="A25" s="455" t="s">
        <v>25</v>
      </c>
      <c r="B25" s="487" t="s">
        <v>173</v>
      </c>
      <c r="C25" s="438"/>
      <c r="D25" s="438"/>
      <c r="E25" s="438"/>
      <c r="F25" s="489" t="s">
        <v>515</v>
      </c>
      <c r="G25" s="438"/>
      <c r="H25" s="438"/>
      <c r="I25" s="472"/>
      <c r="J25" s="767"/>
      <c r="K25" s="678" t="s">
        <v>754</v>
      </c>
    </row>
    <row r="26" spans="1:11" ht="12.75" customHeight="1">
      <c r="A26" s="453" t="s">
        <v>26</v>
      </c>
      <c r="B26" s="487" t="s">
        <v>174</v>
      </c>
      <c r="C26" s="438"/>
      <c r="D26" s="438"/>
      <c r="E26" s="438"/>
      <c r="F26" s="484"/>
      <c r="G26" s="438"/>
      <c r="H26" s="438"/>
      <c r="I26" s="472"/>
      <c r="J26" s="767"/>
      <c r="K26" s="678" t="s">
        <v>755</v>
      </c>
    </row>
    <row r="27" spans="1:11" ht="12.75" customHeight="1">
      <c r="A27" s="455" t="s">
        <v>27</v>
      </c>
      <c r="B27" s="486" t="s">
        <v>175</v>
      </c>
      <c r="C27" s="438"/>
      <c r="D27" s="438"/>
      <c r="E27" s="438"/>
      <c r="F27" s="473"/>
      <c r="G27" s="438"/>
      <c r="H27" s="438"/>
      <c r="I27" s="472"/>
      <c r="J27" s="767"/>
      <c r="K27" s="678" t="s">
        <v>756</v>
      </c>
    </row>
    <row r="28" spans="1:11" ht="12.75" customHeight="1">
      <c r="A28" s="453" t="s">
        <v>28</v>
      </c>
      <c r="B28" s="490" t="s">
        <v>176</v>
      </c>
      <c r="C28" s="438"/>
      <c r="D28" s="438"/>
      <c r="E28" s="438"/>
      <c r="F28" s="7"/>
      <c r="G28" s="438"/>
      <c r="H28" s="438"/>
      <c r="I28" s="472"/>
      <c r="J28" s="767"/>
      <c r="K28" s="678" t="s">
        <v>757</v>
      </c>
    </row>
    <row r="29" spans="1:11" ht="12.75" customHeight="1" thickBot="1">
      <c r="A29" s="455" t="s">
        <v>29</v>
      </c>
      <c r="B29" s="491" t="s">
        <v>177</v>
      </c>
      <c r="C29" s="438"/>
      <c r="D29" s="438"/>
      <c r="E29" s="438"/>
      <c r="F29" s="473"/>
      <c r="G29" s="438"/>
      <c r="H29" s="438"/>
      <c r="I29" s="472"/>
      <c r="J29" s="767"/>
      <c r="K29" s="678" t="s">
        <v>758</v>
      </c>
    </row>
    <row r="30" spans="1:11" ht="16.5" customHeight="1" thickBot="1">
      <c r="A30" s="458" t="s">
        <v>30</v>
      </c>
      <c r="B30" s="439" t="s">
        <v>506</v>
      </c>
      <c r="C30" s="444">
        <f>+C18+C24</f>
        <v>136608554</v>
      </c>
      <c r="D30" s="444">
        <f>+D18+D24</f>
        <v>136608554</v>
      </c>
      <c r="E30" s="444">
        <f>+E18+E24</f>
        <v>136608554</v>
      </c>
      <c r="F30" s="439" t="s">
        <v>517</v>
      </c>
      <c r="G30" s="444">
        <f>SUM(G18:G29)</f>
        <v>0</v>
      </c>
      <c r="H30" s="444">
        <f>SUM(H18:H29)</f>
        <v>0</v>
      </c>
      <c r="I30" s="476">
        <f>SUM(I18:I29)</f>
        <v>0</v>
      </c>
      <c r="J30" s="767"/>
      <c r="K30" s="678" t="s">
        <v>759</v>
      </c>
    </row>
    <row r="31" spans="1:11" ht="16.5" customHeight="1" thickBot="1">
      <c r="A31" s="458" t="s">
        <v>31</v>
      </c>
      <c r="B31" s="464" t="s">
        <v>507</v>
      </c>
      <c r="C31" s="101">
        <f>+C17+C30</f>
        <v>146408554</v>
      </c>
      <c r="D31" s="101">
        <f>+D17+D30</f>
        <v>175584591</v>
      </c>
      <c r="E31" s="465">
        <f>+E17+E30</f>
        <v>175584591</v>
      </c>
      <c r="F31" s="464" t="s">
        <v>516</v>
      </c>
      <c r="G31" s="101">
        <f>+G17+G30</f>
        <v>146408554</v>
      </c>
      <c r="H31" s="101">
        <f>+H17+H30</f>
        <v>175584591</v>
      </c>
      <c r="I31" s="102">
        <f>+I17+I30</f>
        <v>115743267</v>
      </c>
      <c r="J31" s="767"/>
      <c r="K31" s="678" t="s">
        <v>760</v>
      </c>
    </row>
    <row r="32" spans="1:11" ht="16.5" customHeight="1" thickBot="1">
      <c r="A32" s="458" t="s">
        <v>32</v>
      </c>
      <c r="B32" s="464" t="s">
        <v>119</v>
      </c>
      <c r="C32" s="101">
        <f>IF(C17-G17&lt;0,G17-C17,"-")</f>
        <v>136608554</v>
      </c>
      <c r="D32" s="101">
        <f>IF(D17-H17&lt;0,H17-D17,"-")</f>
        <v>136608554</v>
      </c>
      <c r="E32" s="465">
        <f>IF(E17-I17&lt;0,I17-E17,"-")</f>
        <v>76767230</v>
      </c>
      <c r="F32" s="464" t="s">
        <v>120</v>
      </c>
      <c r="G32" s="101" t="str">
        <f>IF(C17-G17&gt;0,C17-G17,"-")</f>
        <v>-</v>
      </c>
      <c r="H32" s="101" t="str">
        <f>IF(D17-H17&gt;0,D17-H17,"-")</f>
        <v>-</v>
      </c>
      <c r="I32" s="102" t="str">
        <f>IF(E17-I17&gt;0,E17-I17,"-")</f>
        <v>-</v>
      </c>
      <c r="J32" s="767"/>
      <c r="K32" s="678" t="s">
        <v>761</v>
      </c>
    </row>
    <row r="33" spans="1:11" ht="16.5" customHeight="1" thickBot="1">
      <c r="A33" s="458" t="s">
        <v>33</v>
      </c>
      <c r="B33" s="464" t="s">
        <v>165</v>
      </c>
      <c r="C33" s="101" t="str">
        <f>IF(C26-G26&lt;0,G26-C26,"-")</f>
        <v>-</v>
      </c>
      <c r="D33" s="101" t="str">
        <f>IF(D26-H26&lt;0,H26-D26,"-")</f>
        <v>-</v>
      </c>
      <c r="E33" s="465" t="str">
        <f>IF(E26-I26&lt;0,I26-E26,"-")</f>
        <v>-</v>
      </c>
      <c r="F33" s="464" t="s">
        <v>166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767"/>
      <c r="K33" s="678" t="s">
        <v>762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46.375" style="311" customWidth="1"/>
    <col min="2" max="2" width="13.875" style="311" customWidth="1"/>
    <col min="3" max="3" width="66.125" style="311" customWidth="1"/>
    <col min="4" max="5" width="13.875" style="311" customWidth="1"/>
    <col min="6" max="16384" width="9.375" style="311" customWidth="1"/>
  </cols>
  <sheetData>
    <row r="1" spans="1:5" ht="18.75">
      <c r="A1" s="500" t="s">
        <v>110</v>
      </c>
      <c r="E1" s="506" t="s">
        <v>114</v>
      </c>
    </row>
    <row r="3" spans="1:5" ht="12.75">
      <c r="A3" s="501"/>
      <c r="B3" s="507"/>
      <c r="C3" s="501"/>
      <c r="D3" s="508"/>
      <c r="E3" s="507"/>
    </row>
    <row r="4" spans="1:5" ht="15.75">
      <c r="A4" s="475" t="str">
        <f>+ÖSSZEFÜGGÉSEK!A4</f>
        <v>2017. évi eredeti előirányzat BEVÉTELEK</v>
      </c>
      <c r="B4" s="509"/>
      <c r="C4" s="502"/>
      <c r="D4" s="508"/>
      <c r="E4" s="507"/>
    </row>
    <row r="5" spans="1:5" ht="12.75">
      <c r="A5" s="501"/>
      <c r="B5" s="507"/>
      <c r="C5" s="501"/>
      <c r="D5" s="508"/>
      <c r="E5" s="507"/>
    </row>
    <row r="6" spans="1:5" ht="12.75">
      <c r="A6" s="501" t="s">
        <v>521</v>
      </c>
      <c r="B6" s="507">
        <f>+'1.1.sz.mell.'!C61</f>
        <v>252680204</v>
      </c>
      <c r="C6" s="501" t="s">
        <v>522</v>
      </c>
      <c r="D6" s="508">
        <f>+'2.1.sz.mell  '!C18+'2.2.sz.mell  '!C17</f>
        <v>252680204</v>
      </c>
      <c r="E6" s="507">
        <f>+B6-D6</f>
        <v>0</v>
      </c>
    </row>
    <row r="7" spans="1:5" ht="12.75">
      <c r="A7" s="501" t="s">
        <v>523</v>
      </c>
      <c r="B7" s="507">
        <f>+'1.1.sz.mell.'!C84</f>
        <v>181735560</v>
      </c>
      <c r="C7" s="501" t="s">
        <v>524</v>
      </c>
      <c r="D7" s="508">
        <f>+'2.1.sz.mell  '!C28+'2.2.sz.mell  '!C30</f>
        <v>181735560</v>
      </c>
      <c r="E7" s="507">
        <f>+B7-D7</f>
        <v>0</v>
      </c>
    </row>
    <row r="8" spans="1:5" ht="12.75">
      <c r="A8" s="501" t="s">
        <v>525</v>
      </c>
      <c r="B8" s="507">
        <f>+'1.1.sz.mell.'!C85</f>
        <v>434415764</v>
      </c>
      <c r="C8" s="501" t="s">
        <v>526</v>
      </c>
      <c r="D8" s="508">
        <f>+'2.1.sz.mell  '!C29+'2.2.sz.mell  '!C31</f>
        <v>434415764</v>
      </c>
      <c r="E8" s="507">
        <f>+B8-D8</f>
        <v>0</v>
      </c>
    </row>
    <row r="9" spans="1:5" ht="12.75">
      <c r="A9" s="501"/>
      <c r="B9" s="507"/>
      <c r="C9" s="501"/>
      <c r="D9" s="508"/>
      <c r="E9" s="507"/>
    </row>
    <row r="10" spans="1:5" ht="15.75">
      <c r="A10" s="475" t="str">
        <f>+ÖSSZEFÜGGÉSEK!A10</f>
        <v>2017. évi módosított előirányzat BEVÉTELEK</v>
      </c>
      <c r="B10" s="509"/>
      <c r="C10" s="502"/>
      <c r="D10" s="508"/>
      <c r="E10" s="507"/>
    </row>
    <row r="11" spans="1:5" ht="12.75">
      <c r="A11" s="501"/>
      <c r="B11" s="507"/>
      <c r="C11" s="501"/>
      <c r="D11" s="508"/>
      <c r="E11" s="507"/>
    </row>
    <row r="12" spans="1:5" ht="12.75">
      <c r="A12" s="501" t="s">
        <v>527</v>
      </c>
      <c r="B12" s="507">
        <f>+'1.1.sz.mell.'!D61</f>
        <v>331693168</v>
      </c>
      <c r="C12" s="501" t="s">
        <v>533</v>
      </c>
      <c r="D12" s="508">
        <f>+'2.1.sz.mell  '!D18+'2.2.sz.mell  '!D17</f>
        <v>331693168</v>
      </c>
      <c r="E12" s="507">
        <f>+B12-D12</f>
        <v>0</v>
      </c>
    </row>
    <row r="13" spans="1:5" ht="12.75">
      <c r="A13" s="501" t="s">
        <v>528</v>
      </c>
      <c r="B13" s="507">
        <f>+'1.1.sz.mell.'!D84</f>
        <v>186598542</v>
      </c>
      <c r="C13" s="501" t="s">
        <v>534</v>
      </c>
      <c r="D13" s="508">
        <f>+'2.1.sz.mell  '!D28+'2.2.sz.mell  '!D30</f>
        <v>186598542</v>
      </c>
      <c r="E13" s="507">
        <f>+B13-D13</f>
        <v>0</v>
      </c>
    </row>
    <row r="14" spans="1:5" ht="12.75">
      <c r="A14" s="501" t="s">
        <v>529</v>
      </c>
      <c r="B14" s="507">
        <f>+'1.1.sz.mell.'!D85</f>
        <v>518291710</v>
      </c>
      <c r="C14" s="501" t="s">
        <v>535</v>
      </c>
      <c r="D14" s="508">
        <f>+'2.1.sz.mell  '!D29+'2.2.sz.mell  '!D31</f>
        <v>518291710</v>
      </c>
      <c r="E14" s="507">
        <f>+B14-D14</f>
        <v>0</v>
      </c>
    </row>
    <row r="15" spans="1:5" ht="12.75">
      <c r="A15" s="501"/>
      <c r="B15" s="507"/>
      <c r="C15" s="501"/>
      <c r="D15" s="508"/>
      <c r="E15" s="507"/>
    </row>
    <row r="16" spans="1:5" ht="14.25">
      <c r="A16" s="510" t="str">
        <f>+ÖSSZEFÜGGÉSEK!A16</f>
        <v>2017. évi teljesítés BEVÉTELEK</v>
      </c>
      <c r="B16" s="474"/>
      <c r="C16" s="502"/>
      <c r="D16" s="508"/>
      <c r="E16" s="507"/>
    </row>
    <row r="17" spans="1:5" ht="12.75">
      <c r="A17" s="501"/>
      <c r="B17" s="507"/>
      <c r="C17" s="501"/>
      <c r="D17" s="508"/>
      <c r="E17" s="507"/>
    </row>
    <row r="18" spans="1:5" ht="12.75">
      <c r="A18" s="501" t="s">
        <v>530</v>
      </c>
      <c r="B18" s="507">
        <f>+'1.1.sz.mell.'!E61</f>
        <v>325111569</v>
      </c>
      <c r="C18" s="501" t="s">
        <v>536</v>
      </c>
      <c r="D18" s="508">
        <f>+'2.1.sz.mell  '!E18+'2.2.sz.mell  '!E17</f>
        <v>325111569</v>
      </c>
      <c r="E18" s="507">
        <f>+B18-D18</f>
        <v>0</v>
      </c>
    </row>
    <row r="19" spans="1:5" ht="12.75">
      <c r="A19" s="501" t="s">
        <v>531</v>
      </c>
      <c r="B19" s="507">
        <f>+'1.1.sz.mell.'!E84</f>
        <v>186598542</v>
      </c>
      <c r="C19" s="501" t="s">
        <v>537</v>
      </c>
      <c r="D19" s="508">
        <f>+'2.1.sz.mell  '!E28+'2.2.sz.mell  '!E30</f>
        <v>186598542</v>
      </c>
      <c r="E19" s="507">
        <f>+B19-D19</f>
        <v>0</v>
      </c>
    </row>
    <row r="20" spans="1:5" ht="12.75">
      <c r="A20" s="501" t="s">
        <v>532</v>
      </c>
      <c r="B20" s="507">
        <f>+'1.1.sz.mell.'!E85</f>
        <v>511710111</v>
      </c>
      <c r="C20" s="501" t="s">
        <v>538</v>
      </c>
      <c r="D20" s="508">
        <f>+'2.1.sz.mell  '!E29+'2.2.sz.mell  '!E31</f>
        <v>511710111</v>
      </c>
      <c r="E20" s="507">
        <f>+B20-D20</f>
        <v>0</v>
      </c>
    </row>
    <row r="21" spans="1:5" ht="12.75">
      <c r="A21" s="501"/>
      <c r="B21" s="507"/>
      <c r="C21" s="501"/>
      <c r="D21" s="508"/>
      <c r="E21" s="507"/>
    </row>
    <row r="22" spans="1:5" ht="15.75">
      <c r="A22" s="475" t="str">
        <f>+ÖSSZEFÜGGÉSEK!A22</f>
        <v>2017. évi eredeti előirányzat KIADÁSOK</v>
      </c>
      <c r="B22" s="509"/>
      <c r="C22" s="502"/>
      <c r="D22" s="508"/>
      <c r="E22" s="507"/>
    </row>
    <row r="23" spans="1:5" ht="12.75">
      <c r="A23" s="501"/>
      <c r="B23" s="507"/>
      <c r="C23" s="501"/>
      <c r="D23" s="508"/>
      <c r="E23" s="507"/>
    </row>
    <row r="24" spans="1:5" ht="12.75">
      <c r="A24" s="501" t="s">
        <v>539</v>
      </c>
      <c r="B24" s="507">
        <f>+'1.1.sz.mell.'!C125</f>
        <v>434415764</v>
      </c>
      <c r="C24" s="501" t="s">
        <v>545</v>
      </c>
      <c r="D24" s="508">
        <f>+'2.1.sz.mell  '!G18+'2.2.sz.mell  '!G17</f>
        <v>434415764</v>
      </c>
      <c r="E24" s="507">
        <f>+B24-D24</f>
        <v>0</v>
      </c>
    </row>
    <row r="25" spans="1:5" ht="12.75">
      <c r="A25" s="501" t="s">
        <v>518</v>
      </c>
      <c r="B25" s="507">
        <f>+'1.1.sz.mell.'!C145</f>
        <v>0</v>
      </c>
      <c r="C25" s="501" t="s">
        <v>546</v>
      </c>
      <c r="D25" s="508">
        <f>+'2.1.sz.mell  '!G28+'2.2.sz.mell  '!G30</f>
        <v>0</v>
      </c>
      <c r="E25" s="507">
        <f>+B25-D25</f>
        <v>0</v>
      </c>
    </row>
    <row r="26" spans="1:5" ht="12.75">
      <c r="A26" s="501" t="s">
        <v>540</v>
      </c>
      <c r="B26" s="507">
        <f>+'1.1.sz.mell.'!C146</f>
        <v>434415764</v>
      </c>
      <c r="C26" s="501" t="s">
        <v>547</v>
      </c>
      <c r="D26" s="508">
        <f>+'2.1.sz.mell  '!G29+'2.2.sz.mell  '!G31</f>
        <v>434415764</v>
      </c>
      <c r="E26" s="507">
        <f>+B26-D26</f>
        <v>0</v>
      </c>
    </row>
    <row r="27" spans="1:5" ht="12.75">
      <c r="A27" s="501"/>
      <c r="B27" s="507"/>
      <c r="C27" s="501"/>
      <c r="D27" s="508"/>
      <c r="E27" s="507"/>
    </row>
    <row r="28" spans="1:5" ht="15.75">
      <c r="A28" s="475" t="str">
        <f>+ÖSSZEFÜGGÉSEK!A28</f>
        <v>2017. évi módosított előirányzat KIADÁSOK</v>
      </c>
      <c r="B28" s="509"/>
      <c r="C28" s="502"/>
      <c r="D28" s="508"/>
      <c r="E28" s="507"/>
    </row>
    <row r="29" spans="1:5" ht="12.75">
      <c r="A29" s="501"/>
      <c r="B29" s="507"/>
      <c r="C29" s="501"/>
      <c r="D29" s="508"/>
      <c r="E29" s="507"/>
    </row>
    <row r="30" spans="1:5" ht="12.75">
      <c r="A30" s="501" t="s">
        <v>541</v>
      </c>
      <c r="B30" s="507">
        <f>+'1.1.sz.mell.'!D125</f>
        <v>513473220</v>
      </c>
      <c r="C30" s="501" t="s">
        <v>552</v>
      </c>
      <c r="D30" s="508">
        <f>+'2.1.sz.mell  '!H18+'2.2.sz.mell  '!H17</f>
        <v>513473220</v>
      </c>
      <c r="E30" s="507">
        <f>+B30-D30</f>
        <v>0</v>
      </c>
    </row>
    <row r="31" spans="1:5" ht="12.75">
      <c r="A31" s="501" t="s">
        <v>519</v>
      </c>
      <c r="B31" s="507">
        <f>+'1.1.sz.mell.'!D145</f>
        <v>4818490</v>
      </c>
      <c r="C31" s="501" t="s">
        <v>549</v>
      </c>
      <c r="D31" s="508">
        <f>+'2.1.sz.mell  '!H28+'2.2.sz.mell  '!H30</f>
        <v>4818490</v>
      </c>
      <c r="E31" s="507">
        <f>+B31-D31</f>
        <v>0</v>
      </c>
    </row>
    <row r="32" spans="1:5" ht="12.75">
      <c r="A32" s="501" t="s">
        <v>542</v>
      </c>
      <c r="B32" s="507">
        <f>+'1.1.sz.mell.'!D146</f>
        <v>518291710</v>
      </c>
      <c r="C32" s="501" t="s">
        <v>548</v>
      </c>
      <c r="D32" s="508">
        <f>+'2.1.sz.mell  '!H29+'2.2.sz.mell  '!H31</f>
        <v>518291710</v>
      </c>
      <c r="E32" s="507">
        <f>+B32-D32</f>
        <v>0</v>
      </c>
    </row>
    <row r="33" spans="1:5" ht="12.75">
      <c r="A33" s="501"/>
      <c r="B33" s="507"/>
      <c r="C33" s="501"/>
      <c r="D33" s="508"/>
      <c r="E33" s="507"/>
    </row>
    <row r="34" spans="1:5" ht="15.75">
      <c r="A34" s="505" t="str">
        <f>+ÖSSZEFÜGGÉSEK!A34</f>
        <v>2017. évi teljesítés KIADÁSOK</v>
      </c>
      <c r="B34" s="509"/>
      <c r="C34" s="502"/>
      <c r="D34" s="508"/>
      <c r="E34" s="507"/>
    </row>
    <row r="35" spans="1:5" ht="12.75">
      <c r="A35" s="501"/>
      <c r="B35" s="507"/>
      <c r="C35" s="501"/>
      <c r="D35" s="508"/>
      <c r="E35" s="507"/>
    </row>
    <row r="36" spans="1:5" ht="12.75">
      <c r="A36" s="501" t="s">
        <v>543</v>
      </c>
      <c r="B36" s="507">
        <f>+'1.1.sz.mell.'!E125</f>
        <v>368908345</v>
      </c>
      <c r="C36" s="501" t="s">
        <v>553</v>
      </c>
      <c r="D36" s="508">
        <f>+'2.1.sz.mell  '!I18+'2.2.sz.mell  '!I17</f>
        <v>368908345</v>
      </c>
      <c r="E36" s="507">
        <f>+B36-D36</f>
        <v>0</v>
      </c>
    </row>
    <row r="37" spans="1:5" ht="12.75">
      <c r="A37" s="501" t="s">
        <v>520</v>
      </c>
      <c r="B37" s="507">
        <f>+'1.1.sz.mell.'!E145</f>
        <v>4818490</v>
      </c>
      <c r="C37" s="501" t="s">
        <v>551</v>
      </c>
      <c r="D37" s="508">
        <f>+'2.1.sz.mell  '!I28+'2.2.sz.mell  '!I30</f>
        <v>4818490</v>
      </c>
      <c r="E37" s="507">
        <f>+B37-D37</f>
        <v>0</v>
      </c>
    </row>
    <row r="38" spans="1:5" ht="12.75">
      <c r="A38" s="501" t="s">
        <v>544</v>
      </c>
      <c r="B38" s="507">
        <f>+'1.1.sz.mell.'!E146</f>
        <v>373726835</v>
      </c>
      <c r="C38" s="501" t="s">
        <v>550</v>
      </c>
      <c r="D38" s="508">
        <f>+'2.1.sz.mell  '!I29+'2.2.sz.mell  '!I31</f>
        <v>373726835</v>
      </c>
      <c r="E38" s="50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1" t="s">
        <v>0</v>
      </c>
      <c r="B1" s="771"/>
      <c r="C1" s="771"/>
      <c r="D1" s="771"/>
      <c r="E1" s="771"/>
      <c r="F1" s="771"/>
      <c r="G1" s="771"/>
      <c r="H1" s="770" t="str">
        <f>+CONCATENATE("3. melléklet a 6 /",LEFT(ÖSSZEFÜGGÉSEK!A4,4)+1,". (V.30.) önkormányzati rendelethez")</f>
        <v>3. melléklet a 6 /2018. (V.30.) önkormányzati rendelethez</v>
      </c>
    </row>
    <row r="2" spans="1:8" ht="22.5" customHeight="1" thickBot="1">
      <c r="A2" s="26"/>
      <c r="B2" s="10"/>
      <c r="C2" s="10"/>
      <c r="D2" s="10"/>
      <c r="E2" s="10"/>
      <c r="F2" s="772" t="s">
        <v>880</v>
      </c>
      <c r="G2" s="772"/>
      <c r="H2" s="770"/>
    </row>
    <row r="3" spans="1:8" s="6" customFormat="1" ht="50.25" customHeight="1" thickBot="1">
      <c r="A3" s="27" t="s">
        <v>55</v>
      </c>
      <c r="B3" s="28" t="s">
        <v>56</v>
      </c>
      <c r="C3" s="28" t="s">
        <v>57</v>
      </c>
      <c r="D3" s="28" t="s">
        <v>907</v>
      </c>
      <c r="E3" s="28" t="s">
        <v>904</v>
      </c>
      <c r="F3" s="105" t="s">
        <v>905</v>
      </c>
      <c r="G3" s="104" t="s">
        <v>906</v>
      </c>
      <c r="H3" s="770"/>
    </row>
    <row r="4" spans="1:8" s="10" customFormat="1" ht="12" customHeight="1" thickBot="1">
      <c r="A4" s="468" t="s">
        <v>427</v>
      </c>
      <c r="B4" s="469" t="s">
        <v>428</v>
      </c>
      <c r="C4" s="469" t="s">
        <v>429</v>
      </c>
      <c r="D4" s="469" t="s">
        <v>430</v>
      </c>
      <c r="E4" s="469" t="s">
        <v>431</v>
      </c>
      <c r="F4" s="49" t="s">
        <v>508</v>
      </c>
      <c r="G4" s="470" t="s">
        <v>554</v>
      </c>
      <c r="H4" s="770"/>
    </row>
    <row r="5" spans="1:8" ht="15.75" customHeight="1">
      <c r="A5" s="689" t="s">
        <v>908</v>
      </c>
      <c r="B5" s="2">
        <v>856400</v>
      </c>
      <c r="C5" s="690" t="s">
        <v>903</v>
      </c>
      <c r="D5" s="2">
        <v>0</v>
      </c>
      <c r="E5" s="2"/>
      <c r="F5" s="50">
        <v>856400</v>
      </c>
      <c r="G5" s="51">
        <f aca="true" t="shared" si="0" ref="G5:G23">+D5+F5</f>
        <v>856400</v>
      </c>
      <c r="H5" s="770"/>
    </row>
    <row r="6" spans="1:8" ht="15.75" customHeight="1">
      <c r="A6" s="689" t="s">
        <v>929</v>
      </c>
      <c r="B6" s="2">
        <v>235900</v>
      </c>
      <c r="C6" s="690" t="s">
        <v>903</v>
      </c>
      <c r="D6" s="2">
        <v>0</v>
      </c>
      <c r="E6" s="2"/>
      <c r="F6" s="50">
        <v>235900</v>
      </c>
      <c r="G6" s="51">
        <f t="shared" si="0"/>
        <v>235900</v>
      </c>
      <c r="H6" s="770"/>
    </row>
    <row r="7" spans="1:8" ht="15.75" customHeight="1">
      <c r="A7" s="689" t="s">
        <v>909</v>
      </c>
      <c r="B7" s="2">
        <v>563499</v>
      </c>
      <c r="C7" s="690" t="s">
        <v>903</v>
      </c>
      <c r="D7" s="2">
        <v>0</v>
      </c>
      <c r="E7" s="2"/>
      <c r="F7" s="50">
        <v>563499</v>
      </c>
      <c r="G7" s="51">
        <f t="shared" si="0"/>
        <v>563499</v>
      </c>
      <c r="H7" s="770"/>
    </row>
    <row r="8" spans="1:8" ht="15.75" customHeight="1">
      <c r="A8" s="736" t="s">
        <v>910</v>
      </c>
      <c r="B8" s="2">
        <v>2002383</v>
      </c>
      <c r="C8" s="690" t="s">
        <v>903</v>
      </c>
      <c r="D8" s="2"/>
      <c r="E8" s="2"/>
      <c r="F8" s="50">
        <v>2002383</v>
      </c>
      <c r="G8" s="51">
        <f t="shared" si="0"/>
        <v>2002383</v>
      </c>
      <c r="H8" s="770"/>
    </row>
    <row r="9" spans="1:8" ht="15.75" customHeight="1">
      <c r="A9" s="180" t="s">
        <v>911</v>
      </c>
      <c r="B9" s="2">
        <v>7867924</v>
      </c>
      <c r="C9" s="690" t="s">
        <v>903</v>
      </c>
      <c r="D9" s="2"/>
      <c r="E9" s="2"/>
      <c r="F9" s="50">
        <v>7867924</v>
      </c>
      <c r="G9" s="51">
        <f t="shared" si="0"/>
        <v>7867924</v>
      </c>
      <c r="H9" s="770"/>
    </row>
    <row r="10" spans="1:8" ht="15.75" customHeight="1">
      <c r="A10" s="180" t="s">
        <v>890</v>
      </c>
      <c r="B10" s="2">
        <v>9540282</v>
      </c>
      <c r="C10" s="690" t="s">
        <v>903</v>
      </c>
      <c r="D10" s="2"/>
      <c r="E10" s="2"/>
      <c r="F10" s="50">
        <v>9540282</v>
      </c>
      <c r="G10" s="51">
        <f t="shared" si="0"/>
        <v>9540282</v>
      </c>
      <c r="H10" s="770"/>
    </row>
    <row r="11" spans="1:8" ht="15.75" customHeight="1">
      <c r="A11" s="180"/>
      <c r="B11" s="2"/>
      <c r="C11" s="690"/>
      <c r="D11" s="2"/>
      <c r="E11" s="2"/>
      <c r="F11" s="50"/>
      <c r="G11" s="51">
        <f t="shared" si="0"/>
        <v>0</v>
      </c>
      <c r="H11" s="770"/>
    </row>
    <row r="12" spans="1:8" ht="15.75" customHeight="1">
      <c r="A12" s="180"/>
      <c r="B12" s="2"/>
      <c r="C12" s="690"/>
      <c r="D12" s="2"/>
      <c r="E12" s="2"/>
      <c r="F12" s="50"/>
      <c r="G12" s="51">
        <f t="shared" si="0"/>
        <v>0</v>
      </c>
      <c r="H12" s="770"/>
    </row>
    <row r="13" spans="1:8" ht="15.75" customHeight="1">
      <c r="A13" s="7"/>
      <c r="B13" s="2"/>
      <c r="C13" s="11"/>
      <c r="D13" s="2"/>
      <c r="E13" s="2"/>
      <c r="F13" s="50"/>
      <c r="G13" s="51">
        <f t="shared" si="0"/>
        <v>0</v>
      </c>
      <c r="H13" s="770"/>
    </row>
    <row r="14" spans="1:8" ht="15.75" customHeight="1">
      <c r="A14" s="7"/>
      <c r="B14" s="2"/>
      <c r="C14" s="11"/>
      <c r="D14" s="2"/>
      <c r="E14" s="2"/>
      <c r="F14" s="50"/>
      <c r="G14" s="51">
        <f t="shared" si="0"/>
        <v>0</v>
      </c>
      <c r="H14" s="770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770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770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70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70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70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70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70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70"/>
    </row>
    <row r="23" spans="1:8" ht="15.75" customHeight="1" thickBot="1">
      <c r="A23" s="12"/>
      <c r="B23" s="3"/>
      <c r="C23" s="13"/>
      <c r="D23" s="3"/>
      <c r="E23" s="3"/>
      <c r="F23" s="52"/>
      <c r="G23" s="51">
        <f t="shared" si="0"/>
        <v>0</v>
      </c>
      <c r="H23" s="770"/>
    </row>
    <row r="24" spans="1:8" s="16" customFormat="1" ht="18" customHeight="1" thickBot="1">
      <c r="A24" s="29" t="s">
        <v>54</v>
      </c>
      <c r="B24" s="14">
        <f>SUM(B5:B23)</f>
        <v>21066388</v>
      </c>
      <c r="C24" s="21"/>
      <c r="D24" s="14">
        <f>SUM(D5:D23)</f>
        <v>0</v>
      </c>
      <c r="E24" s="14">
        <f>SUM(E5:E23)</f>
        <v>0</v>
      </c>
      <c r="F24" s="14">
        <f>SUM(F5:F23)</f>
        <v>21066388</v>
      </c>
      <c r="G24" s="15">
        <f>SUM(G5:G23)</f>
        <v>21066388</v>
      </c>
      <c r="H24" s="770"/>
    </row>
    <row r="25" spans="6:8" ht="12.75">
      <c r="F25" s="16"/>
      <c r="G25" s="16"/>
      <c r="H25" s="656"/>
    </row>
    <row r="26" ht="12.75">
      <c r="H26" s="656"/>
    </row>
    <row r="27" ht="12.75">
      <c r="H27" s="656"/>
    </row>
    <row r="28" ht="12.75">
      <c r="H28" s="656"/>
    </row>
    <row r="29" ht="12.75">
      <c r="H29" s="656"/>
    </row>
    <row r="30" ht="12.75">
      <c r="H30" s="656"/>
    </row>
    <row r="31" ht="12.75">
      <c r="H31" s="656"/>
    </row>
    <row r="32" ht="12.75">
      <c r="H32" s="656"/>
    </row>
    <row r="33" ht="12.75">
      <c r="H33" s="656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Ildikó</cp:lastModifiedBy>
  <cp:lastPrinted>2018-05-24T09:18:00Z</cp:lastPrinted>
  <dcterms:created xsi:type="dcterms:W3CDTF">2015-03-31T11:47:09Z</dcterms:created>
  <dcterms:modified xsi:type="dcterms:W3CDTF">2018-05-24T09:18:05Z</dcterms:modified>
  <cp:category/>
  <cp:version/>
  <cp:contentType/>
  <cp:contentStatus/>
</cp:coreProperties>
</file>