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jtre\zárszámadás ÖNK végleges 2019\"/>
    </mc:Choice>
  </mc:AlternateContent>
  <bookViews>
    <workbookView xWindow="-105" yWindow="-105" windowWidth="23250" windowHeight="12570" tabRatio="898" activeTab="4"/>
  </bookViews>
  <sheets>
    <sheet name="1.címrend" sheetId="18" r:id="rId1"/>
    <sheet name="2. mérleg" sheetId="5" r:id="rId2"/>
    <sheet name="3.bevétel-kiadás" sheetId="19" r:id="rId3"/>
    <sheet name="4a. bevételek" sheetId="17" r:id="rId4"/>
    <sheet name="4b.kiadások" sheetId="16" r:id="rId5"/>
    <sheet name="5.3 éves - gördülő" sheetId="20" r:id="rId6"/>
    <sheet name="6.-7- működési-felhalmozási" sheetId="21" r:id="rId7"/>
    <sheet name="8.állami" sheetId="22" r:id="rId8"/>
    <sheet name="9.beruházás" sheetId="14" r:id="rId9"/>
    <sheet name="10.vagyon" sheetId="25" r:id="rId10"/>
    <sheet name="11.pénzmaradvány" sheetId="24" r:id="rId11"/>
    <sheet name="12 közv.tám." sheetId="13" r:id="rId12"/>
    <sheet name="13.hitel" sheetId="26" r:id="rId13"/>
    <sheet name="14.létszám" sheetId="27" r:id="rId14"/>
    <sheet name="15. Egyszerűsített PJ." sheetId="28" r:id="rId15"/>
    <sheet name="16. többéves" sheetId="29" r:id="rId16"/>
    <sheet name="17.tul.részesedés" sheetId="30" r:id="rId17"/>
  </sheets>
  <externalReferences>
    <externalReference r:id="rId18"/>
    <externalReference r:id="rId19"/>
  </externalReferences>
  <definedNames>
    <definedName name="_xlnm.Print_Area" localSheetId="1">'2. mérleg'!$A$2:$I$24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29" l="1"/>
  <c r="E18" i="29"/>
  <c r="D18" i="29"/>
  <c r="C18" i="29"/>
  <c r="B18" i="29"/>
  <c r="D11" i="29"/>
  <c r="C11" i="29"/>
  <c r="B11" i="29"/>
  <c r="D28" i="28"/>
  <c r="E16" i="28"/>
  <c r="D16" i="28"/>
  <c r="E15" i="28"/>
  <c r="D15" i="28"/>
  <c r="E14" i="28"/>
  <c r="D14" i="28"/>
  <c r="E13" i="28"/>
  <c r="D13" i="28"/>
  <c r="E12" i="28"/>
  <c r="D12" i="28"/>
  <c r="E11" i="28"/>
  <c r="D11" i="28"/>
  <c r="E10" i="28"/>
  <c r="D10" i="28"/>
  <c r="E9" i="28"/>
  <c r="D9" i="28"/>
  <c r="E36" i="28"/>
  <c r="D36" i="28"/>
  <c r="E35" i="28"/>
  <c r="D35" i="28"/>
  <c r="E34" i="28"/>
  <c r="D34" i="28"/>
  <c r="E33" i="28"/>
  <c r="D33" i="28"/>
  <c r="E32" i="28"/>
  <c r="D32" i="28"/>
  <c r="D44" i="28" s="1"/>
  <c r="E38" i="28"/>
  <c r="D38" i="28"/>
  <c r="E48" i="28"/>
  <c r="E49" i="28" s="1"/>
  <c r="E47" i="28"/>
  <c r="D47" i="28"/>
  <c r="C47" i="28"/>
  <c r="E25" i="28"/>
  <c r="D25" i="28"/>
  <c r="C35" i="28"/>
  <c r="C32" i="28"/>
  <c r="C36" i="28"/>
  <c r="C34" i="28"/>
  <c r="C33" i="28"/>
  <c r="C16" i="28"/>
  <c r="C15" i="28"/>
  <c r="C14" i="28"/>
  <c r="C13" i="28"/>
  <c r="C12" i="28"/>
  <c r="C11" i="28"/>
  <c r="C10" i="28"/>
  <c r="C9" i="28"/>
  <c r="A2" i="28"/>
  <c r="E58" i="28"/>
  <c r="D48" i="28"/>
  <c r="C48" i="28"/>
  <c r="D49" i="28"/>
  <c r="C49" i="28"/>
  <c r="C56" i="28" s="1"/>
  <c r="E44" i="28"/>
  <c r="C44" i="28"/>
  <c r="E26" i="28"/>
  <c r="D26" i="28"/>
  <c r="C26" i="28"/>
  <c r="A2" i="27"/>
  <c r="A2" i="25"/>
  <c r="D10" i="27"/>
  <c r="C10" i="27"/>
  <c r="B10" i="27"/>
  <c r="K13" i="26"/>
  <c r="J13" i="26"/>
  <c r="I13" i="26"/>
  <c r="H13" i="26"/>
  <c r="C13" i="26"/>
  <c r="E21" i="28" l="1"/>
  <c r="E55" i="28" s="1"/>
  <c r="D21" i="28"/>
  <c r="D55" i="28" s="1"/>
  <c r="E56" i="28"/>
  <c r="D56" i="28"/>
  <c r="C21" i="28"/>
  <c r="C27" i="28" s="1"/>
  <c r="C31" i="28" s="1"/>
  <c r="C50" i="28"/>
  <c r="C54" i="28" s="1"/>
  <c r="D50" i="28"/>
  <c r="D54" i="28" s="1"/>
  <c r="E50" i="28"/>
  <c r="E54" i="28" s="1"/>
  <c r="C16" i="24"/>
  <c r="C24" i="25"/>
  <c r="B24" i="25"/>
  <c r="D27" i="28" l="1"/>
  <c r="D31" i="28" s="1"/>
  <c r="E27" i="28"/>
  <c r="E31" i="28" s="1"/>
  <c r="C55" i="28"/>
  <c r="B40" i="25"/>
  <c r="B36" i="25"/>
  <c r="B42" i="25" s="1"/>
  <c r="B19" i="25"/>
  <c r="B16" i="25"/>
  <c r="D41" i="25"/>
  <c r="C40" i="25"/>
  <c r="D40" i="25" s="1"/>
  <c r="D38" i="25"/>
  <c r="D37" i="25"/>
  <c r="C36" i="25"/>
  <c r="D35" i="25"/>
  <c r="D33" i="25"/>
  <c r="D32" i="25"/>
  <c r="D30" i="25"/>
  <c r="D22" i="25"/>
  <c r="D20" i="25"/>
  <c r="C19" i="25"/>
  <c r="D17" i="25"/>
  <c r="C16" i="25"/>
  <c r="D14" i="25"/>
  <c r="D13" i="25"/>
  <c r="D12" i="25"/>
  <c r="A9" i="24"/>
  <c r="C19" i="24"/>
  <c r="A3" i="30"/>
  <c r="A39" i="14"/>
  <c r="E11" i="22"/>
  <c r="E9" i="22"/>
  <c r="E8" i="22"/>
  <c r="E6" i="22"/>
  <c r="D11" i="22"/>
  <c r="C11" i="22"/>
  <c r="D9" i="22"/>
  <c r="C9" i="22"/>
  <c r="D8" i="22"/>
  <c r="C8" i="22"/>
  <c r="D6" i="22"/>
  <c r="C6" i="22"/>
  <c r="B11" i="22"/>
  <c r="B9" i="22"/>
  <c r="B8" i="22"/>
  <c r="B6" i="22"/>
  <c r="I14" i="21"/>
  <c r="H14" i="21"/>
  <c r="H18" i="21"/>
  <c r="I28" i="21"/>
  <c r="H28" i="21"/>
  <c r="I27" i="21"/>
  <c r="H27" i="21"/>
  <c r="H38" i="21" s="1"/>
  <c r="G28" i="21"/>
  <c r="G27" i="21"/>
  <c r="I13" i="21"/>
  <c r="H13" i="21"/>
  <c r="I12" i="21"/>
  <c r="H12" i="21"/>
  <c r="I11" i="21"/>
  <c r="H11" i="21"/>
  <c r="I10" i="21"/>
  <c r="H10" i="21"/>
  <c r="I9" i="21"/>
  <c r="H9" i="21"/>
  <c r="I8" i="21"/>
  <c r="H8" i="21"/>
  <c r="G13" i="21"/>
  <c r="G12" i="21"/>
  <c r="G11" i="21"/>
  <c r="G10" i="21"/>
  <c r="G9" i="21"/>
  <c r="G8" i="21"/>
  <c r="E38" i="21"/>
  <c r="D39" i="21"/>
  <c r="C39" i="21"/>
  <c r="B39" i="21"/>
  <c r="E31" i="21"/>
  <c r="E12" i="21"/>
  <c r="D31" i="21"/>
  <c r="C31" i="21"/>
  <c r="C38" i="21" s="1"/>
  <c r="B31" i="21"/>
  <c r="B38" i="21" s="1"/>
  <c r="D16" i="21"/>
  <c r="C16" i="21"/>
  <c r="D15" i="21"/>
  <c r="C15" i="21"/>
  <c r="D12" i="21"/>
  <c r="C12" i="21"/>
  <c r="D11" i="21"/>
  <c r="C11" i="21"/>
  <c r="D10" i="21"/>
  <c r="C10" i="21"/>
  <c r="D9" i="21"/>
  <c r="C9" i="21"/>
  <c r="D8" i="21"/>
  <c r="C8" i="21"/>
  <c r="B16" i="21"/>
  <c r="B15" i="21"/>
  <c r="B12" i="21"/>
  <c r="B11" i="21"/>
  <c r="B10" i="21"/>
  <c r="B9" i="21"/>
  <c r="B8" i="21"/>
  <c r="D38" i="21"/>
  <c r="J28" i="21"/>
  <c r="G14" i="21"/>
  <c r="J12" i="21"/>
  <c r="E10" i="21"/>
  <c r="E28" i="20"/>
  <c r="E21" i="20"/>
  <c r="D40" i="20"/>
  <c r="E26" i="20"/>
  <c r="E23" i="20"/>
  <c r="E22" i="20"/>
  <c r="D43" i="20"/>
  <c r="D45" i="20" s="1"/>
  <c r="C40" i="20"/>
  <c r="C28" i="20"/>
  <c r="C26" i="20"/>
  <c r="C25" i="20"/>
  <c r="C24" i="20"/>
  <c r="D24" i="20" s="1"/>
  <c r="E24" i="20" s="1"/>
  <c r="C23" i="20"/>
  <c r="D23" i="20" s="1"/>
  <c r="C22" i="20"/>
  <c r="C21" i="20"/>
  <c r="D21" i="20" s="1"/>
  <c r="C32" i="20"/>
  <c r="C35" i="20" s="1"/>
  <c r="C18" i="20"/>
  <c r="D18" i="20" s="1"/>
  <c r="E18" i="20" s="1"/>
  <c r="C17" i="20"/>
  <c r="C16" i="20"/>
  <c r="C14" i="20"/>
  <c r="C13" i="20"/>
  <c r="C12" i="20"/>
  <c r="C11" i="20"/>
  <c r="C10" i="20"/>
  <c r="C9" i="20"/>
  <c r="E43" i="20"/>
  <c r="C43" i="20"/>
  <c r="E35" i="20"/>
  <c r="D35" i="20"/>
  <c r="D27" i="20"/>
  <c r="E27" i="20" s="1"/>
  <c r="D26" i="20"/>
  <c r="D25" i="20"/>
  <c r="E25" i="20" s="1"/>
  <c r="D22" i="20"/>
  <c r="D20" i="20"/>
  <c r="E20" i="20" s="1"/>
  <c r="D15" i="20"/>
  <c r="E15" i="20" s="1"/>
  <c r="D14" i="20"/>
  <c r="E14" i="20" s="1"/>
  <c r="D13" i="20"/>
  <c r="E13" i="20" s="1"/>
  <c r="D11" i="20"/>
  <c r="A53" i="19"/>
  <c r="E63" i="19"/>
  <c r="F63" i="19" s="1"/>
  <c r="D63" i="19"/>
  <c r="C63" i="19"/>
  <c r="E83" i="19"/>
  <c r="D83" i="19"/>
  <c r="D79" i="19"/>
  <c r="D81" i="19" s="1"/>
  <c r="C79" i="19"/>
  <c r="E69" i="19"/>
  <c r="D69" i="19"/>
  <c r="E68" i="19"/>
  <c r="D68" i="19"/>
  <c r="C69" i="19"/>
  <c r="C73" i="19" s="1"/>
  <c r="C68" i="19"/>
  <c r="E65" i="19"/>
  <c r="D65" i="19"/>
  <c r="E64" i="19"/>
  <c r="D64" i="19"/>
  <c r="F64" i="19" s="1"/>
  <c r="E62" i="19"/>
  <c r="D62" i="19"/>
  <c r="E61" i="19"/>
  <c r="D61" i="19"/>
  <c r="E60" i="19"/>
  <c r="D60" i="19"/>
  <c r="F60" i="19" s="1"/>
  <c r="C65" i="19"/>
  <c r="C64" i="19"/>
  <c r="C62" i="19"/>
  <c r="C61" i="19"/>
  <c r="C60" i="19"/>
  <c r="E48" i="19"/>
  <c r="F35" i="19"/>
  <c r="E35" i="19"/>
  <c r="D35" i="19"/>
  <c r="C35" i="19"/>
  <c r="F33" i="19"/>
  <c r="E33" i="19"/>
  <c r="D33" i="19"/>
  <c r="C33" i="19"/>
  <c r="F46" i="19"/>
  <c r="F45" i="19"/>
  <c r="E45" i="19"/>
  <c r="D45" i="19"/>
  <c r="C45" i="19"/>
  <c r="E30" i="19"/>
  <c r="D30" i="19"/>
  <c r="C30" i="19"/>
  <c r="C31" i="19" s="1"/>
  <c r="E28" i="19"/>
  <c r="D28" i="19"/>
  <c r="C28" i="19"/>
  <c r="E20" i="19"/>
  <c r="D20" i="19"/>
  <c r="C20" i="19"/>
  <c r="F14" i="19"/>
  <c r="F13" i="19"/>
  <c r="F12" i="19"/>
  <c r="E12" i="19"/>
  <c r="D12" i="19"/>
  <c r="C12" i="19"/>
  <c r="E14" i="19"/>
  <c r="D14" i="19"/>
  <c r="E13" i="19"/>
  <c r="D13" i="19"/>
  <c r="C13" i="19"/>
  <c r="F10" i="19"/>
  <c r="E10" i="19"/>
  <c r="D10" i="19"/>
  <c r="C10" i="19"/>
  <c r="C85" i="19"/>
  <c r="F83" i="19"/>
  <c r="D85" i="19"/>
  <c r="E81" i="19"/>
  <c r="C81" i="19"/>
  <c r="E77" i="19"/>
  <c r="D77" i="19"/>
  <c r="C77" i="19"/>
  <c r="F69" i="19"/>
  <c r="E73" i="19"/>
  <c r="F65" i="19"/>
  <c r="F62" i="19"/>
  <c r="F61" i="19"/>
  <c r="E66" i="19"/>
  <c r="E46" i="19"/>
  <c r="C46" i="19"/>
  <c r="D46" i="19"/>
  <c r="D31" i="19"/>
  <c r="F28" i="19"/>
  <c r="E26" i="19"/>
  <c r="D26" i="19"/>
  <c r="C26" i="19"/>
  <c r="E21" i="19"/>
  <c r="F20" i="19"/>
  <c r="C21" i="19"/>
  <c r="E16" i="19"/>
  <c r="D16" i="19"/>
  <c r="D17" i="19" s="1"/>
  <c r="L24" i="5"/>
  <c r="F24" i="5"/>
  <c r="L23" i="5"/>
  <c r="F23" i="5"/>
  <c r="L21" i="5"/>
  <c r="F21" i="5"/>
  <c r="L19" i="5"/>
  <c r="L16" i="5"/>
  <c r="F19" i="5"/>
  <c r="F16" i="5"/>
  <c r="L14" i="5"/>
  <c r="L13" i="5"/>
  <c r="L12" i="5"/>
  <c r="L11" i="5"/>
  <c r="L10" i="5"/>
  <c r="L9" i="5"/>
  <c r="L7" i="5"/>
  <c r="F14" i="5"/>
  <c r="F13" i="5"/>
  <c r="F12" i="5"/>
  <c r="F11" i="5"/>
  <c r="F10" i="5"/>
  <c r="F9" i="5"/>
  <c r="C9" i="5"/>
  <c r="D9" i="5"/>
  <c r="E9" i="5"/>
  <c r="I9" i="5"/>
  <c r="I14" i="5" s="1"/>
  <c r="J9" i="5"/>
  <c r="K9" i="5"/>
  <c r="C10" i="5"/>
  <c r="D10" i="5"/>
  <c r="E10" i="5"/>
  <c r="I10" i="5"/>
  <c r="J10" i="5"/>
  <c r="K10" i="5"/>
  <c r="K14" i="5" s="1"/>
  <c r="C11" i="5"/>
  <c r="D11" i="5"/>
  <c r="E11" i="5"/>
  <c r="I11" i="5"/>
  <c r="J11" i="5"/>
  <c r="K11" i="5"/>
  <c r="C12" i="5"/>
  <c r="D12" i="5"/>
  <c r="E12" i="5"/>
  <c r="I12" i="5"/>
  <c r="J12" i="5"/>
  <c r="K12" i="5"/>
  <c r="C13" i="5"/>
  <c r="D13" i="5"/>
  <c r="E13" i="5"/>
  <c r="I13" i="5"/>
  <c r="J13" i="5"/>
  <c r="K13" i="5"/>
  <c r="C14" i="5"/>
  <c r="D14" i="5"/>
  <c r="E14" i="5"/>
  <c r="J14" i="5"/>
  <c r="C42" i="25" l="1"/>
  <c r="B25" i="25"/>
  <c r="D24" i="25"/>
  <c r="C25" i="25"/>
  <c r="D25" i="25" s="1"/>
  <c r="D42" i="25"/>
  <c r="D16" i="25"/>
  <c r="D19" i="25"/>
  <c r="D36" i="25"/>
  <c r="C20" i="24"/>
  <c r="C21" i="24" s="1"/>
  <c r="C22" i="24" s="1"/>
  <c r="J10" i="21"/>
  <c r="G38" i="21"/>
  <c r="D19" i="21"/>
  <c r="I38" i="21"/>
  <c r="J38" i="21" s="1"/>
  <c r="G19" i="21"/>
  <c r="J9" i="21"/>
  <c r="J11" i="21"/>
  <c r="E15" i="21"/>
  <c r="B19" i="21"/>
  <c r="H19" i="21"/>
  <c r="H39" i="21" s="1"/>
  <c r="E9" i="21"/>
  <c r="E11" i="21"/>
  <c r="J14" i="21"/>
  <c r="C19" i="21"/>
  <c r="E19" i="21" s="1"/>
  <c r="I19" i="21"/>
  <c r="J13" i="21"/>
  <c r="E8" i="21"/>
  <c r="J8" i="21"/>
  <c r="C19" i="20"/>
  <c r="C44" i="20" s="1"/>
  <c r="E11" i="20"/>
  <c r="D29" i="20"/>
  <c r="E29" i="20"/>
  <c r="E45" i="20" s="1"/>
  <c r="C29" i="20"/>
  <c r="C45" i="20" s="1"/>
  <c r="C66" i="19"/>
  <c r="C16" i="19"/>
  <c r="C43" i="19"/>
  <c r="C47" i="19" s="1"/>
  <c r="C49" i="19" s="1"/>
  <c r="C86" i="19"/>
  <c r="C88" i="19" s="1"/>
  <c r="D21" i="19"/>
  <c r="F21" i="19" s="1"/>
  <c r="D66" i="19"/>
  <c r="F66" i="19" s="1"/>
  <c r="D73" i="19"/>
  <c r="D86" i="19" s="1"/>
  <c r="D88" i="19" s="1"/>
  <c r="E17" i="19"/>
  <c r="F17" i="19" s="1"/>
  <c r="E31" i="19"/>
  <c r="F31" i="19" s="1"/>
  <c r="F16" i="19"/>
  <c r="F30" i="19"/>
  <c r="E85" i="19"/>
  <c r="C17" i="19"/>
  <c r="A2" i="16"/>
  <c r="A2" i="14" s="1"/>
  <c r="A3" i="5" l="1"/>
  <c r="A26" i="14"/>
  <c r="A2" i="19"/>
  <c r="A2" i="22"/>
  <c r="I39" i="21"/>
  <c r="G39" i="21"/>
  <c r="J19" i="21"/>
  <c r="D17" i="20"/>
  <c r="D19" i="20" s="1"/>
  <c r="D44" i="20" s="1"/>
  <c r="E17" i="20" s="1"/>
  <c r="E19" i="20" s="1"/>
  <c r="E44" i="20" s="1"/>
  <c r="D43" i="19"/>
  <c r="D47" i="19" s="1"/>
  <c r="D49" i="19" s="1"/>
  <c r="F73" i="19"/>
  <c r="F85" i="19"/>
  <c r="E86" i="19"/>
  <c r="E43" i="19"/>
  <c r="A3" i="13"/>
  <c r="A2" i="18"/>
  <c r="E15" i="17"/>
  <c r="D15" i="17"/>
  <c r="A52" i="19" l="1"/>
  <c r="A3" i="21"/>
  <c r="A21" i="21" s="1"/>
  <c r="A2" i="20"/>
  <c r="E47" i="19"/>
  <c r="F43" i="19"/>
  <c r="F86" i="19"/>
  <c r="E88" i="19"/>
  <c r="F88" i="19" s="1"/>
  <c r="S57" i="16"/>
  <c r="F47" i="19" l="1"/>
  <c r="E49" i="19"/>
  <c r="F49" i="19" s="1"/>
  <c r="T57" i="16"/>
  <c r="T56" i="16" s="1"/>
  <c r="T59" i="16"/>
  <c r="H29" i="16"/>
  <c r="Z22" i="16"/>
  <c r="Z21" i="16"/>
  <c r="E23" i="16"/>
  <c r="E24" i="16" s="1"/>
  <c r="AC32" i="16"/>
  <c r="AC20" i="16"/>
  <c r="Y24" i="16"/>
  <c r="P24" i="16"/>
  <c r="Q21" i="16"/>
  <c r="N32" i="16"/>
  <c r="G29" i="16"/>
  <c r="H30" i="16"/>
  <c r="H24" i="16"/>
  <c r="E39" i="16"/>
  <c r="E32" i="16"/>
  <c r="D24" i="16"/>
  <c r="Z24" i="16" l="1"/>
  <c r="W30" i="16"/>
  <c r="V29" i="16"/>
  <c r="F35" i="14" l="1"/>
  <c r="E35" i="14"/>
  <c r="C20" i="13"/>
  <c r="C19" i="13"/>
  <c r="C16" i="13"/>
  <c r="F10" i="14"/>
  <c r="G10" i="14" s="1"/>
  <c r="E12" i="14"/>
  <c r="AI71" i="16"/>
  <c r="K21" i="5" s="1"/>
  <c r="G65" i="16"/>
  <c r="G66" i="16" s="1"/>
  <c r="P65" i="16"/>
  <c r="P66" i="16" s="1"/>
  <c r="M66" i="16"/>
  <c r="M65" i="16"/>
  <c r="D65" i="16"/>
  <c r="D66" i="16" s="1"/>
  <c r="Y66" i="16"/>
  <c r="Y65" i="16"/>
  <c r="AE65" i="16"/>
  <c r="AE66" i="16" s="1"/>
  <c r="AI62" i="16"/>
  <c r="AH62" i="16"/>
  <c r="AG62" i="16"/>
  <c r="AI61" i="16"/>
  <c r="S56" i="16"/>
  <c r="S63" i="16" s="1"/>
  <c r="AD50" i="16"/>
  <c r="AD72" i="16" s="1"/>
  <c r="AA50" i="16"/>
  <c r="AA72" i="16" s="1"/>
  <c r="X50" i="16"/>
  <c r="X72" i="16" s="1"/>
  <c r="U50" i="16"/>
  <c r="U72" i="16" s="1"/>
  <c r="R50" i="16"/>
  <c r="R72" i="16" s="1"/>
  <c r="O50" i="16"/>
  <c r="O72" i="16" s="1"/>
  <c r="L50" i="16"/>
  <c r="L72" i="16" s="1"/>
  <c r="I50" i="16"/>
  <c r="I72" i="16" s="1"/>
  <c r="F50" i="16"/>
  <c r="F72" i="16" s="1"/>
  <c r="AH61" i="16"/>
  <c r="S51" i="16"/>
  <c r="S54" i="16" s="1"/>
  <c r="AI53" i="16"/>
  <c r="AH53" i="16"/>
  <c r="AG53" i="16"/>
  <c r="AG52" i="16"/>
  <c r="J49" i="16"/>
  <c r="G49" i="16"/>
  <c r="P49" i="16"/>
  <c r="S49" i="16"/>
  <c r="V49" i="16"/>
  <c r="Y49" i="16"/>
  <c r="AB49" i="16"/>
  <c r="AE47" i="16"/>
  <c r="AE49" i="16" s="1"/>
  <c r="D45" i="16"/>
  <c r="G38" i="16"/>
  <c r="J38" i="16"/>
  <c r="M38" i="16"/>
  <c r="M42" i="16" s="1"/>
  <c r="P42" i="16"/>
  <c r="P38" i="16"/>
  <c r="S42" i="16"/>
  <c r="S38" i="16"/>
  <c r="Y42" i="16"/>
  <c r="AB38" i="16"/>
  <c r="AB42" i="16" s="1"/>
  <c r="AE38" i="16"/>
  <c r="AE42" i="16" s="1"/>
  <c r="V42" i="16"/>
  <c r="V50" i="16" s="1"/>
  <c r="V72" i="16" s="1"/>
  <c r="J29" i="16"/>
  <c r="J42" i="16" s="1"/>
  <c r="J50" i="16" s="1"/>
  <c r="J72" i="16" s="1"/>
  <c r="G42" i="16"/>
  <c r="AI33" i="16"/>
  <c r="AH33" i="16"/>
  <c r="AG33" i="16"/>
  <c r="AI31" i="16"/>
  <c r="P28" i="16"/>
  <c r="G28" i="16"/>
  <c r="D28" i="16"/>
  <c r="AB28" i="16"/>
  <c r="AB50" i="16" s="1"/>
  <c r="P25" i="16"/>
  <c r="P50" i="16" s="1"/>
  <c r="P72" i="16" s="1"/>
  <c r="S20" i="16"/>
  <c r="S25" i="16" s="1"/>
  <c r="S50" i="16" s="1"/>
  <c r="AE20" i="16"/>
  <c r="AE25" i="16" s="1"/>
  <c r="AE50" i="16" s="1"/>
  <c r="AE72" i="16" s="1"/>
  <c r="Y25" i="16"/>
  <c r="Y50" i="16" s="1"/>
  <c r="Y72" i="16" s="1"/>
  <c r="G25" i="16"/>
  <c r="M20" i="16"/>
  <c r="M25" i="16" s="1"/>
  <c r="M50" i="16" s="1"/>
  <c r="M72" i="16" s="1"/>
  <c r="Y13" i="16"/>
  <c r="Y17" i="16" s="1"/>
  <c r="Y9" i="16"/>
  <c r="AB16" i="16"/>
  <c r="AC13" i="16"/>
  <c r="AC17" i="16" s="1"/>
  <c r="AB13" i="16"/>
  <c r="AB17" i="16" s="1"/>
  <c r="G13" i="16"/>
  <c r="G17" i="16" s="1"/>
  <c r="P17" i="16"/>
  <c r="P13" i="16"/>
  <c r="AF66" i="16"/>
  <c r="T51" i="16"/>
  <c r="T49" i="16"/>
  <c r="T42" i="16"/>
  <c r="T25" i="16"/>
  <c r="T50" i="16" s="1"/>
  <c r="T38" i="16"/>
  <c r="Q66" i="16"/>
  <c r="Q49" i="16"/>
  <c r="Q47" i="16"/>
  <c r="Q38" i="16"/>
  <c r="Q42" i="16" s="1"/>
  <c r="Q40" i="16"/>
  <c r="Q28" i="16"/>
  <c r="Q25" i="16"/>
  <c r="Q17" i="16"/>
  <c r="Q13" i="16"/>
  <c r="T76" i="16"/>
  <c r="T54" i="16"/>
  <c r="AF49" i="16"/>
  <c r="AF47" i="16"/>
  <c r="AF38" i="16"/>
  <c r="AF42" i="16" s="1"/>
  <c r="AI36" i="16"/>
  <c r="AH36" i="16"/>
  <c r="AG36" i="16"/>
  <c r="AF20" i="16"/>
  <c r="AF25" i="16" s="1"/>
  <c r="AF50" i="16" s="1"/>
  <c r="AF72" i="16" s="1"/>
  <c r="AC49" i="16"/>
  <c r="AC42" i="16"/>
  <c r="AC38" i="16"/>
  <c r="AC28" i="16"/>
  <c r="AC25" i="16"/>
  <c r="AC50" i="16" s="1"/>
  <c r="AC16" i="16"/>
  <c r="N66" i="16"/>
  <c r="N49" i="16"/>
  <c r="N42" i="16"/>
  <c r="N38" i="16"/>
  <c r="N20" i="16"/>
  <c r="N25" i="16" s="1"/>
  <c r="N50" i="16" s="1"/>
  <c r="N72" i="16" s="1"/>
  <c r="H66" i="16"/>
  <c r="H49" i="16"/>
  <c r="H47" i="16"/>
  <c r="H38" i="16"/>
  <c r="H42" i="16" s="1"/>
  <c r="H50" i="16" s="1"/>
  <c r="H72" i="16" s="1"/>
  <c r="H40" i="16"/>
  <c r="H28" i="16"/>
  <c r="H25" i="16"/>
  <c r="H17" i="16"/>
  <c r="H13" i="16"/>
  <c r="K49" i="16"/>
  <c r="K38" i="16"/>
  <c r="K29" i="16"/>
  <c r="E65" i="16"/>
  <c r="E64" i="16"/>
  <c r="Z66" i="16"/>
  <c r="Z25" i="16"/>
  <c r="Z50" i="16" s="1"/>
  <c r="Z49" i="16"/>
  <c r="Z42" i="16"/>
  <c r="Z13" i="16"/>
  <c r="Z17" i="16" s="1"/>
  <c r="AH71" i="16"/>
  <c r="J21" i="5" s="1"/>
  <c r="AG71" i="16"/>
  <c r="T63" i="16"/>
  <c r="E78" i="16"/>
  <c r="E63" i="16"/>
  <c r="W49" i="16"/>
  <c r="W42" i="16"/>
  <c r="W50" i="16" s="1"/>
  <c r="W72" i="16" s="1"/>
  <c r="E66" i="16"/>
  <c r="E49" i="16"/>
  <c r="E45" i="16"/>
  <c r="AI43" i="16"/>
  <c r="AH43" i="16"/>
  <c r="AG43" i="16"/>
  <c r="E42" i="16"/>
  <c r="E28" i="16"/>
  <c r="E25" i="16"/>
  <c r="E50" i="16" s="1"/>
  <c r="E17" i="16"/>
  <c r="E16" i="16"/>
  <c r="D69" i="16"/>
  <c r="D56" i="16"/>
  <c r="D63" i="16" s="1"/>
  <c r="D51" i="16"/>
  <c r="D54" i="16" s="1"/>
  <c r="D49" i="16"/>
  <c r="D38" i="16"/>
  <c r="D42" i="16" s="1"/>
  <c r="D25" i="16"/>
  <c r="D16" i="16"/>
  <c r="D13" i="16"/>
  <c r="AH13" i="16" s="1"/>
  <c r="Z72" i="16" l="1"/>
  <c r="Q50" i="16"/>
  <c r="Q72" i="16" s="1"/>
  <c r="D50" i="16"/>
  <c r="G50" i="16"/>
  <c r="G72" i="16" s="1"/>
  <c r="S72" i="16"/>
  <c r="E72" i="16"/>
  <c r="AI72" i="16" s="1"/>
  <c r="AC72" i="16"/>
  <c r="T72" i="16"/>
  <c r="K42" i="16"/>
  <c r="K50" i="16" s="1"/>
  <c r="K72" i="16" s="1"/>
  <c r="AB72" i="16"/>
  <c r="AH50" i="16"/>
  <c r="D17" i="16"/>
  <c r="AH17" i="16" s="1"/>
  <c r="C69" i="16"/>
  <c r="C66" i="16"/>
  <c r="C56" i="16"/>
  <c r="C63" i="16" s="1"/>
  <c r="AG63" i="16" s="1"/>
  <c r="C54" i="16"/>
  <c r="C51" i="16"/>
  <c r="C47" i="16"/>
  <c r="C49" i="16" s="1"/>
  <c r="AG49" i="16" s="1"/>
  <c r="C45" i="16"/>
  <c r="AG45" i="16" s="1"/>
  <c r="C16" i="16"/>
  <c r="AG16" i="16" s="1"/>
  <c r="C13" i="16"/>
  <c r="AG13" i="16" s="1"/>
  <c r="C38" i="16"/>
  <c r="C29" i="16"/>
  <c r="C42" i="16" s="1"/>
  <c r="AG42" i="16" s="1"/>
  <c r="C28" i="16"/>
  <c r="C20" i="16"/>
  <c r="C25" i="16" s="1"/>
  <c r="AG25" i="16" s="1"/>
  <c r="K23" i="5"/>
  <c r="J23" i="5"/>
  <c r="AI44" i="16"/>
  <c r="AH44" i="16"/>
  <c r="AI48" i="16"/>
  <c r="AI47" i="16"/>
  <c r="AI46" i="16"/>
  <c r="AH48" i="16"/>
  <c r="AH49" i="16"/>
  <c r="AH47" i="16"/>
  <c r="AH46" i="16"/>
  <c r="AI52" i="16"/>
  <c r="AH52" i="16"/>
  <c r="AI51" i="16"/>
  <c r="AH51" i="16"/>
  <c r="AI56" i="16"/>
  <c r="AI55" i="16"/>
  <c r="AI60" i="16"/>
  <c r="AH60" i="16"/>
  <c r="AI59" i="16"/>
  <c r="AH59" i="16"/>
  <c r="AI58" i="16"/>
  <c r="AH58" i="16"/>
  <c r="AI57" i="16"/>
  <c r="AH57" i="16"/>
  <c r="AH56" i="16"/>
  <c r="AH55" i="16"/>
  <c r="AI65" i="16"/>
  <c r="F16" i="14" s="1"/>
  <c r="AH65" i="16"/>
  <c r="E16" i="14" s="1"/>
  <c r="E17" i="14" s="1"/>
  <c r="E19" i="14" s="1"/>
  <c r="E23" i="14" s="1"/>
  <c r="AI64" i="16"/>
  <c r="F11" i="14" s="1"/>
  <c r="AH64" i="16"/>
  <c r="AI68" i="16"/>
  <c r="AH68" i="16"/>
  <c r="AI67" i="16"/>
  <c r="AH67" i="16"/>
  <c r="AI70" i="16"/>
  <c r="AH70" i="16"/>
  <c r="AG70" i="16"/>
  <c r="AI69" i="16"/>
  <c r="K17" i="5" s="1"/>
  <c r="AH69" i="16"/>
  <c r="J17" i="5" s="1"/>
  <c r="AG69" i="16"/>
  <c r="I17" i="5" s="1"/>
  <c r="AI66" i="16"/>
  <c r="AH66" i="16"/>
  <c r="J16" i="5" s="1"/>
  <c r="AG66" i="16"/>
  <c r="I16" i="5" s="1"/>
  <c r="AI63" i="16"/>
  <c r="AH63" i="16"/>
  <c r="AI54" i="16"/>
  <c r="AH54" i="16"/>
  <c r="AG54" i="16"/>
  <c r="AI50" i="16"/>
  <c r="AI49" i="16"/>
  <c r="AI45" i="16"/>
  <c r="AH45" i="16"/>
  <c r="AI42" i="16"/>
  <c r="AH42" i="16"/>
  <c r="AI28" i="16"/>
  <c r="AH28" i="16"/>
  <c r="AG28" i="16"/>
  <c r="AI25" i="16"/>
  <c r="AH25" i="16"/>
  <c r="AI18" i="16"/>
  <c r="AH18" i="16"/>
  <c r="AG18" i="16"/>
  <c r="AI17" i="16"/>
  <c r="AI16" i="16"/>
  <c r="AH16" i="16"/>
  <c r="AI13" i="16"/>
  <c r="AG68" i="16"/>
  <c r="AG67" i="16"/>
  <c r="AG65" i="16"/>
  <c r="AG64" i="16"/>
  <c r="AG61" i="16"/>
  <c r="AG60" i="16"/>
  <c r="AG59" i="16"/>
  <c r="AG58" i="16"/>
  <c r="AG57" i="16"/>
  <c r="AG56" i="16"/>
  <c r="AG55" i="16"/>
  <c r="AG51" i="16"/>
  <c r="AG44" i="16"/>
  <c r="AG48" i="16"/>
  <c r="AG47" i="16"/>
  <c r="AG46" i="16"/>
  <c r="AI41" i="16"/>
  <c r="AH41" i="16"/>
  <c r="AI40" i="16"/>
  <c r="AH40" i="16"/>
  <c r="AI39" i="16"/>
  <c r="AH39" i="16"/>
  <c r="AI38" i="16"/>
  <c r="AH38" i="16"/>
  <c r="AI37" i="16"/>
  <c r="AH37" i="16"/>
  <c r="AI35" i="16"/>
  <c r="AH35" i="16"/>
  <c r="AI34" i="16"/>
  <c r="AH34" i="16"/>
  <c r="AI32" i="16"/>
  <c r="AH32" i="16"/>
  <c r="AH31" i="16"/>
  <c r="AI30" i="16"/>
  <c r="AH30" i="16"/>
  <c r="AI29" i="16"/>
  <c r="AJ29" i="16" s="1"/>
  <c r="AH29" i="16"/>
  <c r="AG41" i="16"/>
  <c r="AG40" i="16"/>
  <c r="AG39" i="16"/>
  <c r="AG38" i="16"/>
  <c r="AG37" i="16"/>
  <c r="AG35" i="16"/>
  <c r="AG34" i="16"/>
  <c r="AG32" i="16"/>
  <c r="AG31" i="16"/>
  <c r="AG30" i="16"/>
  <c r="AG29" i="16"/>
  <c r="AI27" i="16"/>
  <c r="AH27" i="16"/>
  <c r="AI26" i="16"/>
  <c r="AH26" i="16"/>
  <c r="AG27" i="16"/>
  <c r="AG26" i="16"/>
  <c r="AI24" i="16"/>
  <c r="AH24" i="16"/>
  <c r="AI23" i="16"/>
  <c r="AH23" i="16"/>
  <c r="AI22" i="16"/>
  <c r="AH22" i="16"/>
  <c r="AI21" i="16"/>
  <c r="AH21" i="16"/>
  <c r="AI20" i="16"/>
  <c r="AH20" i="16"/>
  <c r="AI19" i="16"/>
  <c r="AH19" i="16"/>
  <c r="AG24" i="16"/>
  <c r="AG23" i="16"/>
  <c r="AG22" i="16"/>
  <c r="AG21" i="16"/>
  <c r="AG20" i="16"/>
  <c r="AG19" i="16"/>
  <c r="AG15" i="16"/>
  <c r="AG14" i="16"/>
  <c r="AI15" i="16"/>
  <c r="AH15" i="16"/>
  <c r="AI14" i="16"/>
  <c r="AH14" i="16"/>
  <c r="AI12" i="16"/>
  <c r="AI11" i="16"/>
  <c r="AI10" i="16"/>
  <c r="AI9" i="16"/>
  <c r="AH12" i="16"/>
  <c r="AH11" i="16"/>
  <c r="AH10" i="16"/>
  <c r="AH9" i="16"/>
  <c r="AG12" i="16"/>
  <c r="AG11" i="16"/>
  <c r="AG10" i="16"/>
  <c r="AG9" i="16"/>
  <c r="Z15" i="17"/>
  <c r="Z16" i="17" s="1"/>
  <c r="Y15" i="17"/>
  <c r="A22" i="5"/>
  <c r="AI34" i="17"/>
  <c r="E22" i="5" s="1"/>
  <c r="AH34" i="17"/>
  <c r="D22" i="5" s="1"/>
  <c r="AG34" i="17"/>
  <c r="C22" i="5" s="1"/>
  <c r="AI33" i="17"/>
  <c r="AH33" i="17"/>
  <c r="D21" i="5" s="1"/>
  <c r="AG33" i="17"/>
  <c r="AI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AI18" i="17"/>
  <c r="E16" i="5" s="1"/>
  <c r="E19" i="5" s="1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E31" i="17"/>
  <c r="D31" i="17"/>
  <c r="C31" i="17"/>
  <c r="AH30" i="17"/>
  <c r="AH31" i="17" s="1"/>
  <c r="AG30" i="17"/>
  <c r="AG31" i="17" s="1"/>
  <c r="AI30" i="17"/>
  <c r="D26" i="17"/>
  <c r="AI17" i="17"/>
  <c r="AG17" i="17"/>
  <c r="AG18" i="17" s="1"/>
  <c r="C16" i="5" s="1"/>
  <c r="AH17" i="17"/>
  <c r="AH18" i="17" s="1"/>
  <c r="D16" i="5" s="1"/>
  <c r="D19" i="5" s="1"/>
  <c r="E21" i="5"/>
  <c r="C21" i="5"/>
  <c r="AH28" i="17"/>
  <c r="AI27" i="17"/>
  <c r="AH27" i="17"/>
  <c r="AG28" i="17"/>
  <c r="AG27" i="17"/>
  <c r="AG29" i="17" s="1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D29" i="17"/>
  <c r="C29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E25" i="17"/>
  <c r="E26" i="17" s="1"/>
  <c r="D25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F26" i="17" s="1"/>
  <c r="E19" i="17"/>
  <c r="D19" i="17"/>
  <c r="C19" i="17"/>
  <c r="AF16" i="17"/>
  <c r="AB16" i="17"/>
  <c r="X16" i="17"/>
  <c r="W16" i="17"/>
  <c r="C16" i="17"/>
  <c r="AF14" i="17"/>
  <c r="AE14" i="17"/>
  <c r="AE16" i="17" s="1"/>
  <c r="AD14" i="17"/>
  <c r="AD16" i="17" s="1"/>
  <c r="AC14" i="17"/>
  <c r="AC16" i="17" s="1"/>
  <c r="AB14" i="17"/>
  <c r="AA14" i="17"/>
  <c r="AA16" i="17" s="1"/>
  <c r="Z14" i="17"/>
  <c r="Y14" i="17"/>
  <c r="Y16" i="17" s="1"/>
  <c r="X14" i="17"/>
  <c r="W14" i="17"/>
  <c r="V14" i="17"/>
  <c r="V16" i="17" s="1"/>
  <c r="U14" i="17"/>
  <c r="U16" i="17" s="1"/>
  <c r="T14" i="17"/>
  <c r="T16" i="17" s="1"/>
  <c r="S14" i="17"/>
  <c r="S16" i="17" s="1"/>
  <c r="R14" i="17"/>
  <c r="R16" i="17" s="1"/>
  <c r="O14" i="17"/>
  <c r="O16" i="17" s="1"/>
  <c r="N14" i="17"/>
  <c r="N16" i="17" s="1"/>
  <c r="M14" i="17"/>
  <c r="M16" i="17" s="1"/>
  <c r="L14" i="17"/>
  <c r="L16" i="17" s="1"/>
  <c r="K14" i="17"/>
  <c r="K16" i="17" s="1"/>
  <c r="J14" i="17"/>
  <c r="J16" i="17" s="1"/>
  <c r="I14" i="17"/>
  <c r="I16" i="17" s="1"/>
  <c r="H14" i="17"/>
  <c r="H16" i="17" s="1"/>
  <c r="G14" i="17"/>
  <c r="G16" i="17" s="1"/>
  <c r="F14" i="17"/>
  <c r="F16" i="17" s="1"/>
  <c r="F32" i="17" s="1"/>
  <c r="F35" i="17" s="1"/>
  <c r="C14" i="17"/>
  <c r="F12" i="14" l="1"/>
  <c r="G11" i="14"/>
  <c r="F17" i="14"/>
  <c r="G17" i="14" s="1"/>
  <c r="G16" i="14"/>
  <c r="I32" i="17"/>
  <c r="I35" i="17" s="1"/>
  <c r="J26" i="17"/>
  <c r="J32" i="17" s="1"/>
  <c r="J35" i="17" s="1"/>
  <c r="Z26" i="17"/>
  <c r="AA26" i="17"/>
  <c r="N26" i="17"/>
  <c r="N32" i="17" s="1"/>
  <c r="N35" i="17" s="1"/>
  <c r="V26" i="17"/>
  <c r="V32" i="17" s="1"/>
  <c r="V35" i="17" s="1"/>
  <c r="K26" i="17"/>
  <c r="S26" i="17"/>
  <c r="AE26" i="17"/>
  <c r="H26" i="17"/>
  <c r="L26" i="17"/>
  <c r="P26" i="17"/>
  <c r="T26" i="17"/>
  <c r="X26" i="17"/>
  <c r="AB26" i="17"/>
  <c r="AF26" i="17"/>
  <c r="R26" i="17"/>
  <c r="R32" i="17" s="1"/>
  <c r="R35" i="17" s="1"/>
  <c r="AD26" i="17"/>
  <c r="AD32" i="17" s="1"/>
  <c r="AD35" i="17" s="1"/>
  <c r="G26" i="17"/>
  <c r="O26" i="17"/>
  <c r="O32" i="17" s="1"/>
  <c r="O35" i="17" s="1"/>
  <c r="W26" i="17"/>
  <c r="I26" i="17"/>
  <c r="M26" i="17"/>
  <c r="M32" i="17" s="1"/>
  <c r="M35" i="17" s="1"/>
  <c r="Q26" i="17"/>
  <c r="U26" i="17"/>
  <c r="Y26" i="17"/>
  <c r="Y32" i="17" s="1"/>
  <c r="Y35" i="17" s="1"/>
  <c r="AC26" i="17"/>
  <c r="C17" i="16"/>
  <c r="AG17" i="16" s="1"/>
  <c r="K16" i="5"/>
  <c r="F19" i="14"/>
  <c r="D72" i="16"/>
  <c r="AH72" i="16" s="1"/>
  <c r="D23" i="5"/>
  <c r="E23" i="5"/>
  <c r="AJ50" i="16"/>
  <c r="K19" i="5"/>
  <c r="J19" i="5"/>
  <c r="C50" i="16"/>
  <c r="AG50" i="16"/>
  <c r="Z32" i="17"/>
  <c r="Z35" i="17" s="1"/>
  <c r="L32" i="17"/>
  <c r="L35" i="17" s="1"/>
  <c r="T32" i="17"/>
  <c r="T35" i="17" s="1"/>
  <c r="AF32" i="17"/>
  <c r="AF35" i="17" s="1"/>
  <c r="H32" i="17"/>
  <c r="H35" i="17" s="1"/>
  <c r="X32" i="17"/>
  <c r="X35" i="17" s="1"/>
  <c r="AB32" i="17"/>
  <c r="AB35" i="17" s="1"/>
  <c r="U32" i="17"/>
  <c r="U35" i="17" s="1"/>
  <c r="AC32" i="17"/>
  <c r="AC35" i="17" s="1"/>
  <c r="G32" i="17"/>
  <c r="G35" i="17" s="1"/>
  <c r="K32" i="17"/>
  <c r="K35" i="17" s="1"/>
  <c r="S32" i="17"/>
  <c r="S35" i="17" s="1"/>
  <c r="W32" i="17"/>
  <c r="W35" i="17" s="1"/>
  <c r="AA32" i="17"/>
  <c r="AA35" i="17" s="1"/>
  <c r="AE32" i="17"/>
  <c r="AE35" i="17" s="1"/>
  <c r="AH29" i="17"/>
  <c r="AI24" i="17"/>
  <c r="AH24" i="17"/>
  <c r="AI23" i="17"/>
  <c r="AH23" i="17"/>
  <c r="AH25" i="17" s="1"/>
  <c r="AI22" i="17"/>
  <c r="AH22" i="17"/>
  <c r="AI21" i="17"/>
  <c r="AH21" i="17"/>
  <c r="AI20" i="17"/>
  <c r="AI19" i="17" s="1"/>
  <c r="AH20" i="17"/>
  <c r="AG24" i="17"/>
  <c r="AG23" i="17"/>
  <c r="AG25" i="17" s="1"/>
  <c r="AG22" i="17"/>
  <c r="AG21" i="17"/>
  <c r="AG20" i="17"/>
  <c r="AI15" i="17"/>
  <c r="AH15" i="17"/>
  <c r="AG15" i="17"/>
  <c r="AI13" i="17"/>
  <c r="AI12" i="17"/>
  <c r="AI11" i="17"/>
  <c r="AH13" i="17"/>
  <c r="AH12" i="17"/>
  <c r="AH11" i="17"/>
  <c r="AH9" i="17"/>
  <c r="AG13" i="17"/>
  <c r="AG12" i="17"/>
  <c r="AG11" i="17"/>
  <c r="AG10" i="17"/>
  <c r="AG9" i="17"/>
  <c r="E28" i="17"/>
  <c r="C25" i="17"/>
  <c r="C26" i="17" s="1"/>
  <c r="C32" i="17" s="1"/>
  <c r="C35" i="17" s="1"/>
  <c r="Q10" i="17"/>
  <c r="Q14" i="17" s="1"/>
  <c r="Q16" i="17" s="1"/>
  <c r="Q32" i="17" s="1"/>
  <c r="Q35" i="17" s="1"/>
  <c r="P10" i="17"/>
  <c r="P14" i="17" s="1"/>
  <c r="P16" i="17" s="1"/>
  <c r="P32" i="17" s="1"/>
  <c r="P35" i="17" s="1"/>
  <c r="D9" i="17"/>
  <c r="D14" i="17" s="1"/>
  <c r="D16" i="17" s="1"/>
  <c r="D32" i="17" s="1"/>
  <c r="D35" i="17" s="1"/>
  <c r="E9" i="17"/>
  <c r="E14" i="17" s="1"/>
  <c r="E16" i="17" s="1"/>
  <c r="F23" i="14" l="1"/>
  <c r="G23" i="14" s="1"/>
  <c r="G19" i="14"/>
  <c r="AI28" i="17"/>
  <c r="AI29" i="17" s="1"/>
  <c r="E29" i="17"/>
  <c r="E32" i="17" s="1"/>
  <c r="E35" i="17" s="1"/>
  <c r="AI10" i="17"/>
  <c r="AH10" i="17"/>
  <c r="AI9" i="17"/>
  <c r="AG19" i="17"/>
  <c r="C72" i="16"/>
  <c r="AG72" i="16" s="1"/>
  <c r="J24" i="5"/>
  <c r="K24" i="5"/>
  <c r="AG26" i="17"/>
  <c r="AH26" i="17"/>
  <c r="AI25" i="17"/>
  <c r="AI26" i="17" s="1"/>
  <c r="AI14" i="17"/>
  <c r="AH19" i="17"/>
  <c r="AG14" i="17"/>
  <c r="AH14" i="17"/>
  <c r="D4" i="14"/>
  <c r="D28" i="14" s="1"/>
  <c r="D8" i="14"/>
  <c r="D12" i="14"/>
  <c r="D17" i="14"/>
  <c r="D32" i="14"/>
  <c r="D34" i="14"/>
  <c r="D35" i="14"/>
  <c r="F4" i="14"/>
  <c r="F28" i="14" s="1"/>
  <c r="E4" i="14"/>
  <c r="E28" i="14" s="1"/>
  <c r="K7" i="5"/>
  <c r="J7" i="5"/>
  <c r="I7" i="5"/>
  <c r="AG16" i="17" l="1"/>
  <c r="E24" i="5"/>
  <c r="K25" i="5" s="1"/>
  <c r="D24" i="5"/>
  <c r="AG32" i="17"/>
  <c r="AG35" i="17" s="1"/>
  <c r="AI16" i="17"/>
  <c r="AI32" i="17" s="1"/>
  <c r="AI35" i="17" s="1"/>
  <c r="AH16" i="17"/>
  <c r="AH32" i="17" s="1"/>
  <c r="AH35" i="17" s="1"/>
  <c r="D14" i="14"/>
  <c r="D19" i="14" s="1"/>
  <c r="D23" i="14" s="1"/>
  <c r="C32" i="13" l="1"/>
  <c r="C19" i="5" l="1"/>
  <c r="I19" i="5"/>
  <c r="C23" i="5"/>
  <c r="I23" i="5"/>
  <c r="C24" i="5" l="1"/>
  <c r="I24" i="5"/>
</calcChain>
</file>

<file path=xl/sharedStrings.xml><?xml version="1.0" encoding="utf-8"?>
<sst xmlns="http://schemas.openxmlformats.org/spreadsheetml/2006/main" count="871" uniqueCount="632">
  <si>
    <t>Felújítás</t>
  </si>
  <si>
    <t>Beruházás</t>
  </si>
  <si>
    <t>Személyi  juttatások</t>
  </si>
  <si>
    <t>Pénzmaradvány</t>
  </si>
  <si>
    <t>Felhalmozási bevételek</t>
  </si>
  <si>
    <t>Működési célú átvett pénzeszközök</t>
  </si>
  <si>
    <t>Működési bevételek</t>
  </si>
  <si>
    <t>Közhatalmi bevételek</t>
  </si>
  <si>
    <t>Megnevezés</t>
  </si>
  <si>
    <t>KÖLTSÉGVETÉSI KIADÁSOK MINDÖSSZESEN</t>
  </si>
  <si>
    <t>KÖLTSÉGVETÉSI BEVÉTELEK MINDÖSSZESEN</t>
  </si>
  <si>
    <t>FINANSZÍROZÁSI KIADÁSOK</t>
  </si>
  <si>
    <t>FINANSZÍROZÁSI BEVÉTELEK</t>
  </si>
  <si>
    <t>K9</t>
  </si>
  <si>
    <t xml:space="preserve">Finanszírozási kiadások                           </t>
  </si>
  <si>
    <t>B813</t>
  </si>
  <si>
    <t>F I N A N S Z Í R O Z Á S I   M Ű V E L E T E K</t>
  </si>
  <si>
    <t>KÖLTSÉGVETÉSI FELHALMOZÁSI CÉLÚ KIADÁSOK ÖSSZESEN</t>
  </si>
  <si>
    <t>KÖLTSÉGVETÉSI FELHALMOZÁSI CÉLÚ BEVÉTELEK ÖSSZESEN</t>
  </si>
  <si>
    <t>K8</t>
  </si>
  <si>
    <t>Egyéb felhalmozási célú kiadások</t>
  </si>
  <si>
    <t>B7</t>
  </si>
  <si>
    <t>Felhalmozási célú  átvett pénzeszközök</t>
  </si>
  <si>
    <t>K7</t>
  </si>
  <si>
    <t>B5</t>
  </si>
  <si>
    <t>K6</t>
  </si>
  <si>
    <t>B2</t>
  </si>
  <si>
    <t>Felhalmozási célú támogatások államháztartáson belülről</t>
  </si>
  <si>
    <t>F E L H A L M O Z Á S</t>
  </si>
  <si>
    <t>KÖLTSÉGVETÉSI    MŰKÖDÉSI CÉLÚ KIADÁSOK ÖSSZESEN</t>
  </si>
  <si>
    <t>KÖLTSÉGVETÉSI MŰKÖDÉSI CÉLÚ BEVÉTELEK ÖSSZESEN</t>
  </si>
  <si>
    <t>K5</t>
  </si>
  <si>
    <t>Egyéb működési  célú kiadások</t>
  </si>
  <si>
    <t>Önkormányzatok költségvetési támogatása</t>
  </si>
  <si>
    <t>K4</t>
  </si>
  <si>
    <t xml:space="preserve">Ellátottak pénzbeli juttatásai           </t>
  </si>
  <si>
    <t>B6</t>
  </si>
  <si>
    <t>K3</t>
  </si>
  <si>
    <t>Dologi kiadások</t>
  </si>
  <si>
    <t>B4</t>
  </si>
  <si>
    <t>K2</t>
  </si>
  <si>
    <t>Munkaadókat terhelő járulékok és szociális hozzájárulás adója</t>
  </si>
  <si>
    <t>B3</t>
  </si>
  <si>
    <t>K1</t>
  </si>
  <si>
    <t>B1</t>
  </si>
  <si>
    <t>Működési célú támogatások államháztartáson belülről</t>
  </si>
  <si>
    <t>M Ű K Ö D T E T É S</t>
  </si>
  <si>
    <t>Rovat száma</t>
  </si>
  <si>
    <t>K I A D Á S O K</t>
  </si>
  <si>
    <t>B E V É T E L E K</t>
  </si>
  <si>
    <t>Összesen:</t>
  </si>
  <si>
    <t>Egyéb kölcsön elengedése</t>
  </si>
  <si>
    <t>Egyéb kedvezmény</t>
  </si>
  <si>
    <t>Eszközök hasznosítása utáni kedvezmény, menteség</t>
  </si>
  <si>
    <t>Helyiségek hasznosítása utáni kedvezmény, menteség</t>
  </si>
  <si>
    <t>Gépjárműadóból biztosított kedvezmény, mentesség</t>
  </si>
  <si>
    <t xml:space="preserve">Iparűzési adó állandó jelleggel végzett iparűzési tevékenység után </t>
  </si>
  <si>
    <t xml:space="preserve">Idegenforgalmi adó épület után </t>
  </si>
  <si>
    <t xml:space="preserve">Idegenforgalmi adó tartózkodás után </t>
  </si>
  <si>
    <t xml:space="preserve">Magánszemélyek kommunális adója </t>
  </si>
  <si>
    <t xml:space="preserve">Vállalkozók kommunális adója </t>
  </si>
  <si>
    <t xml:space="preserve">Telekadó </t>
  </si>
  <si>
    <t xml:space="preserve">-ebből:            Építményadó </t>
  </si>
  <si>
    <t>Helyi adóból biztosított kedvezmény, mentesség összesen</t>
  </si>
  <si>
    <t>Lakosság részére lakásfelújításhoz nyújtott kölcsön elengedése</t>
  </si>
  <si>
    <t>Lakosság részére lakásépítéshez nyújtott kölcsön elengedése</t>
  </si>
  <si>
    <t>Ellátottak kártérítésének méltányosságból történő elengedése</t>
  </si>
  <si>
    <t>Ellátottak térítési díjának méltányosságból történő elengedése</t>
  </si>
  <si>
    <t>Kedvezmények összege</t>
  </si>
  <si>
    <t>Bevételi jogcím</t>
  </si>
  <si>
    <t>Sorszám</t>
  </si>
  <si>
    <t>összesen</t>
  </si>
  <si>
    <t>Ingatlanok felújítása</t>
  </si>
  <si>
    <t>Összes bevétel</t>
  </si>
  <si>
    <t>1. Ingatlanok felújítása</t>
  </si>
  <si>
    <t>Konkrét felújítási cél</t>
  </si>
  <si>
    <t>FELÚJÍTÁSOK</t>
  </si>
  <si>
    <t>Konkrét felhalmozási cél</t>
  </si>
  <si>
    <t>BERUHÁZÁSOK</t>
  </si>
  <si>
    <t>FELÚJÍTÁSOK ÖSSZESEN:</t>
  </si>
  <si>
    <t>Felújítás áfája</t>
  </si>
  <si>
    <t>FELHALMOZÁSI KIADÁSOK ÖSSZESEN:</t>
  </si>
  <si>
    <t>Ingatlan felújítása</t>
  </si>
  <si>
    <t>1-8</t>
  </si>
  <si>
    <t>Felújítási célú áfa</t>
  </si>
  <si>
    <t>Beruházási áfa</t>
  </si>
  <si>
    <t>Müködési célú tám. Áh-n belül</t>
  </si>
  <si>
    <t>Ellátottak pénzbeli juttatása</t>
  </si>
  <si>
    <t xml:space="preserve">Egyéb nem intézményi ellátások </t>
  </si>
  <si>
    <t>Dologi kiadások összesen</t>
  </si>
  <si>
    <t>Különféle befizetések és egyéb dologi kiadások 34-38</t>
  </si>
  <si>
    <t xml:space="preserve">     - biztosítási díj</t>
  </si>
  <si>
    <t>Egyéb dologi kiadások</t>
  </si>
  <si>
    <t>Kiküldetések kiadásai</t>
  </si>
  <si>
    <t xml:space="preserve">     - egyéb üzemeltetés</t>
  </si>
  <si>
    <t xml:space="preserve">     - bank ktg.</t>
  </si>
  <si>
    <t xml:space="preserve">Szakmai tevékenységet segítő szolgáltatások </t>
  </si>
  <si>
    <t>Karbantartás, kisjavítási szolg.</t>
  </si>
  <si>
    <t xml:space="preserve">     -áram</t>
  </si>
  <si>
    <t xml:space="preserve">      -gáz</t>
  </si>
  <si>
    <t xml:space="preserve">      -vízdíj</t>
  </si>
  <si>
    <t>Közüzemi díjak</t>
  </si>
  <si>
    <t xml:space="preserve">      -irodaszer, nyomtatvány</t>
  </si>
  <si>
    <t xml:space="preserve">      -munkaruha, védőruha</t>
  </si>
  <si>
    <t xml:space="preserve">      -üzemanyag</t>
  </si>
  <si>
    <t>Szakmai anyagok beszerz.</t>
  </si>
  <si>
    <t>Személyi juttatások összesen:</t>
  </si>
  <si>
    <t>fogl.egyéb személyi juttatásai</t>
  </si>
  <si>
    <t>Béren kivüli juttatások</t>
  </si>
  <si>
    <t>Illetmények</t>
  </si>
  <si>
    <t>szakfeladat</t>
  </si>
  <si>
    <t>082044</t>
  </si>
  <si>
    <t>041233</t>
  </si>
  <si>
    <t>107055</t>
  </si>
  <si>
    <t>013320</t>
  </si>
  <si>
    <t>066020</t>
  </si>
  <si>
    <t>064010</t>
  </si>
  <si>
    <t>korm.funk.</t>
  </si>
  <si>
    <t>könyvtár</t>
  </si>
  <si>
    <t>start</t>
  </si>
  <si>
    <t>falugondnok</t>
  </si>
  <si>
    <t>köztemető</t>
  </si>
  <si>
    <t>szociális ellátás</t>
  </si>
  <si>
    <t>egészségügy</t>
  </si>
  <si>
    <t>közvilágítás</t>
  </si>
  <si>
    <t>igazgatás</t>
  </si>
  <si>
    <t xml:space="preserve">Előző év költségvetési maradványának igénybevétele </t>
  </si>
  <si>
    <t>1-7</t>
  </si>
  <si>
    <t xml:space="preserve">Költségvetési bevételek </t>
  </si>
  <si>
    <t xml:space="preserve">Működési bevételek </t>
  </si>
  <si>
    <t xml:space="preserve">Kamatbevételek </t>
  </si>
  <si>
    <t xml:space="preserve">Közhatalmi bevételek </t>
  </si>
  <si>
    <t xml:space="preserve">Termékek és szolgáltatások adói </t>
  </si>
  <si>
    <t xml:space="preserve">Gépjárműadók </t>
  </si>
  <si>
    <t xml:space="preserve">Értékesítési és forgalmi adók  </t>
  </si>
  <si>
    <t xml:space="preserve">Vagyoni tipusú adók 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</si>
  <si>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</si>
  <si>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</si>
  <si>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Önkormányzatok működési támogatásai </t>
  </si>
  <si>
    <t xml:space="preserve">Helyi önkormányzatok kiegészítő támogatásai </t>
  </si>
  <si>
    <t xml:space="preserve">Működési célú központosított előirányzatok </t>
  </si>
  <si>
    <t xml:space="preserve">Települési önkormányzatok kulturális feladatainak támogatása </t>
  </si>
  <si>
    <t xml:space="preserve">Települési önkormányzatok szociális gyermekjóléti és gyermekétkeztetési  feladatainak támogatása </t>
  </si>
  <si>
    <t xml:space="preserve">Helyi önkormányzatok működésének általános támogatása </t>
  </si>
  <si>
    <t>B</t>
  </si>
  <si>
    <t>BEVÉTELEK</t>
  </si>
  <si>
    <t>közműv. tev. és támog.</t>
  </si>
  <si>
    <t>018010</t>
  </si>
  <si>
    <t xml:space="preserve">     -telek adó</t>
  </si>
  <si>
    <t xml:space="preserve">     -magánszemély komm.adó</t>
  </si>
  <si>
    <t xml:space="preserve">     -bírság, pótlék</t>
  </si>
  <si>
    <t>Egyéb bevétel</t>
  </si>
  <si>
    <t>Költségvetési bevételek összesen:</t>
  </si>
  <si>
    <t>városközség. gazd</t>
  </si>
  <si>
    <t>011130</t>
  </si>
  <si>
    <t>082091</t>
  </si>
  <si>
    <t>KIADÁSOK</t>
  </si>
  <si>
    <t>K</t>
  </si>
  <si>
    <t xml:space="preserve">Foglalk.szmély jut. Összesen </t>
  </si>
  <si>
    <t>Választott tisztségviselők juttatásai</t>
  </si>
  <si>
    <t>Munkavég.írányuló e. jogv.fogl.fiz.jutt.</t>
  </si>
  <si>
    <t>Külső személyi juttatások 11-13</t>
  </si>
  <si>
    <t>Munkaadót terhelő szoc.hjár adó</t>
  </si>
  <si>
    <t xml:space="preserve">Készletbeszerzés </t>
  </si>
  <si>
    <t xml:space="preserve">Kommunikációs szolg. </t>
  </si>
  <si>
    <t>Bérleti és lízing díjak</t>
  </si>
  <si>
    <t>Egyéb szolgáltatás</t>
  </si>
  <si>
    <t xml:space="preserve">Szolgáltatási kiadások </t>
  </si>
  <si>
    <t xml:space="preserve">Kiküldetések , reklámok és prop. </t>
  </si>
  <si>
    <t xml:space="preserve">     -egyéb dologi, kerekítési különbözet</t>
  </si>
  <si>
    <t xml:space="preserve">    -települési támogatás</t>
  </si>
  <si>
    <t xml:space="preserve">    -orvosi ügyelet díj</t>
  </si>
  <si>
    <t xml:space="preserve">Egyéb műkődési célú kidások </t>
  </si>
  <si>
    <t>Egyéb tárgyi eszközök beszerzése, létes.</t>
  </si>
  <si>
    <t xml:space="preserve">Beruházások </t>
  </si>
  <si>
    <t xml:space="preserve">Felújítások </t>
  </si>
  <si>
    <t>Ktgvetési kiadások</t>
  </si>
  <si>
    <t xml:space="preserve">Start program gépek,berend.,egyéb berendezések </t>
  </si>
  <si>
    <t>( Ft-ban)</t>
  </si>
  <si>
    <t>Közlekedési ktgtér</t>
  </si>
  <si>
    <t>Müködési célú tám. Áh-n kívül</t>
  </si>
  <si>
    <t>074032</t>
  </si>
  <si>
    <t xml:space="preserve">      -egyéb </t>
  </si>
  <si>
    <t>Működési célú le nem vonható ÁFA</t>
  </si>
  <si>
    <t xml:space="preserve">    -BURSA</t>
  </si>
  <si>
    <t xml:space="preserve">39. Felhalmozási kiadások összesen (felújítási kiadások nélkül) </t>
  </si>
  <si>
    <t>Buszváró építése</t>
  </si>
  <si>
    <t>Egyéb gép,berendezés vásárlás</t>
  </si>
  <si>
    <t xml:space="preserve"> Ingatlanok vásárlása, létesítése </t>
  </si>
  <si>
    <t xml:space="preserve"> Gépek, berendezések és felszerelések vásárlása, létesítése</t>
  </si>
  <si>
    <t xml:space="preserve"> Intézményi beruházási kiadások áfa kiadások nélkül </t>
  </si>
  <si>
    <t xml:space="preserve"> Beruházási kiadások összesen (felújítási kiadások nélkül) </t>
  </si>
  <si>
    <t xml:space="preserve"> Befektetési célú részesedés vásárlása</t>
  </si>
  <si>
    <t>Gordisa Község Önkormányzata 2019. évi bevételek</t>
  </si>
  <si>
    <t>Gordisa Község Önkormányzata 2019. évi kiadások</t>
  </si>
  <si>
    <t>városközség.gazd</t>
  </si>
  <si>
    <t>Visszafizetési kötelezettség MÁK felé</t>
  </si>
  <si>
    <t xml:space="preserve">    - Villányi Mikrot.Szoc.Társ. Óvodafenntartó társ</t>
  </si>
  <si>
    <t>Tartalékok</t>
  </si>
  <si>
    <t>Gordisa Község  Önkormányzata 2019. évi költségvetés pénzforgalmi mérleg</t>
  </si>
  <si>
    <t>Gordisa Község Önkormányzata által adott 2019. évi közvetett támogatások</t>
  </si>
  <si>
    <t>2019. évi módosított előirányzat</t>
  </si>
  <si>
    <t>2019. évi eredeti előirányzat</t>
  </si>
  <si>
    <t>2019.évi tény</t>
  </si>
  <si>
    <t>2019. eredeti előirányzat</t>
  </si>
  <si>
    <t>2019.évi módosított előirányzat</t>
  </si>
  <si>
    <t>2019. évi tény</t>
  </si>
  <si>
    <t xml:space="preserve">Felhalmozási célú támogatások államháztartáson belülről </t>
  </si>
  <si>
    <t xml:space="preserve">Egyéb felhalmozási célú támogatások bevételei államháztartáson belülről </t>
  </si>
  <si>
    <t>Egyéb működési célú átvett pénzeszköz</t>
  </si>
  <si>
    <t>Államháztartáson belüli megelőlegezések</t>
  </si>
  <si>
    <t>B814</t>
  </si>
  <si>
    <r>
      <t xml:space="preserve">Üzemeltetési anyagok beszerz. </t>
    </r>
    <r>
      <rPr>
        <i/>
        <sz val="9"/>
        <rFont val="Times New Roman"/>
        <family val="1"/>
        <charset val="238"/>
      </rPr>
      <t>(üzemanyag)</t>
    </r>
  </si>
  <si>
    <r>
      <t xml:space="preserve">Informatikai szolgált. </t>
    </r>
    <r>
      <rPr>
        <i/>
        <sz val="9"/>
        <rFont val="Times New Roman"/>
        <family val="1"/>
        <charset val="238"/>
      </rPr>
      <t>(internet)</t>
    </r>
  </si>
  <si>
    <r>
      <t xml:space="preserve">Egyéb komm.szolg. </t>
    </r>
    <r>
      <rPr>
        <i/>
        <sz val="9"/>
        <rFont val="Times New Roman"/>
        <family val="1"/>
        <charset val="238"/>
      </rPr>
      <t>(telefon)</t>
    </r>
  </si>
  <si>
    <t>Reklám kiadásai</t>
  </si>
  <si>
    <t>Megelőlegezések visszafizetése</t>
  </si>
  <si>
    <t>Közvetített szolgáltatás</t>
  </si>
  <si>
    <t>Gyermekvédelmi támogatás</t>
  </si>
  <si>
    <t>Vásárolt élelmezés</t>
  </si>
  <si>
    <t>MARADVÁNY</t>
  </si>
  <si>
    <t>Óvodafenntartó Társulás</t>
  </si>
  <si>
    <t>1. melléklet</t>
  </si>
  <si>
    <t>Cím</t>
  </si>
  <si>
    <t>Alcím</t>
  </si>
  <si>
    <t>Kormányzati funkció</t>
  </si>
  <si>
    <t>Előirányzat csoport</t>
  </si>
  <si>
    <t>Kiemelt előirányzat</t>
  </si>
  <si>
    <t>Önkormányzati jogalkotás</t>
  </si>
  <si>
    <t>kötelező feladat</t>
  </si>
  <si>
    <t>működési</t>
  </si>
  <si>
    <t>személyi jellegű kiadások</t>
  </si>
  <si>
    <t>munkaadókat tehelő járulék</t>
  </si>
  <si>
    <t>dologi kiadások</t>
  </si>
  <si>
    <t>átadott pénzeszközök</t>
  </si>
  <si>
    <t>egyéb működési célú kiadás</t>
  </si>
  <si>
    <t>Köztemető fenntartás</t>
  </si>
  <si>
    <t>066010</t>
  </si>
  <si>
    <t>Zöldterületkezelés</t>
  </si>
  <si>
    <t>Közvilágítás</t>
  </si>
  <si>
    <t>Községgazdálkodás</t>
  </si>
  <si>
    <t>nem kötelező feladat</t>
  </si>
  <si>
    <t>felhalmozás</t>
  </si>
  <si>
    <t>felújítás</t>
  </si>
  <si>
    <t>beruházás</t>
  </si>
  <si>
    <t>Köztemető fenntartás és műk.</t>
  </si>
  <si>
    <t>045160</t>
  </si>
  <si>
    <t>Közutak, hidak üzemeltetése</t>
  </si>
  <si>
    <t>047410</t>
  </si>
  <si>
    <t>Ár -és belvízvédelem</t>
  </si>
  <si>
    <t>dologi kiadás</t>
  </si>
  <si>
    <t>051030</t>
  </si>
  <si>
    <t xml:space="preserve">Nem veszélyes hulladék </t>
  </si>
  <si>
    <t>041231,041232,041233</t>
  </si>
  <si>
    <t>Közfoglalkoztatás</t>
  </si>
  <si>
    <t>szociális hozzájárulás adója</t>
  </si>
  <si>
    <t>074031-074032</t>
  </si>
  <si>
    <t>Ifjúsági- e.ü gondozás (védőnői szolg)</t>
  </si>
  <si>
    <t>Könyvtár</t>
  </si>
  <si>
    <t>082091,082092,082093,082094</t>
  </si>
  <si>
    <t>Művelődési ház</t>
  </si>
  <si>
    <t>104051-105010-106020-107060</t>
  </si>
  <si>
    <t>Juttatások:  Gyermekvédelmi pénzbeli és term-munkanélküli-lakásfenntartási-egyéb szoc</t>
  </si>
  <si>
    <t>ellátottak juttatásai</t>
  </si>
  <si>
    <t>Teljesítés %</t>
  </si>
  <si>
    <t>3/a.melléklet</t>
  </si>
  <si>
    <t xml:space="preserve"> Ft-ban</t>
  </si>
  <si>
    <t>Bevételi jogcím- csoport száma</t>
  </si>
  <si>
    <t>Eredeti előirányzat</t>
  </si>
  <si>
    <t>Módosított előirányzat</t>
  </si>
  <si>
    <t xml:space="preserve">Teljesítés </t>
  </si>
  <si>
    <t>Teljesítés %-a</t>
  </si>
  <si>
    <t>I.</t>
  </si>
  <si>
    <t xml:space="preserve"> Önkormányzat működési bevételei</t>
  </si>
  <si>
    <t>1. Intézmény működési bevételek</t>
  </si>
  <si>
    <t>2. Önkormányzat sajátos működési bevételei</t>
  </si>
  <si>
    <t xml:space="preserve"> 2.1. Helyi adók</t>
  </si>
  <si>
    <t xml:space="preserve"> 2.2. Átengedett központi adók (gépj)</t>
  </si>
  <si>
    <t xml:space="preserve"> 2.3. Bírságok, pótlékok és egyéb sajátos bevételek</t>
  </si>
  <si>
    <t xml:space="preserve"> 2.4. Egyéb közhatalmi bevételek</t>
  </si>
  <si>
    <t>Önkormányzat működési bevételei összesen:</t>
  </si>
  <si>
    <t>II.</t>
  </si>
  <si>
    <t xml:space="preserve"> Támogatások</t>
  </si>
  <si>
    <t>1. Önkormányzatok költségvetési támogatása</t>
  </si>
  <si>
    <t xml:space="preserve"> 1.1. Normatív hozzájárulások</t>
  </si>
  <si>
    <t>Önkormányzatok költségvetési támogatása összesen:</t>
  </si>
  <si>
    <t>III.</t>
  </si>
  <si>
    <t xml:space="preserve"> Felhalmozási és tőkejellegű bevételek</t>
  </si>
  <si>
    <t>1. Tárgyi eszközök, immateriális javak értékesítése</t>
  </si>
  <si>
    <t>2. Önkormányzatok sajátos felhalmozási és tőkebevételei</t>
  </si>
  <si>
    <t>3. Üzemeltetésből, koncesszióból származó bevétel</t>
  </si>
  <si>
    <t>Felhalmozási és tőkejellegű bevételek összesen:</t>
  </si>
  <si>
    <t>IV.</t>
  </si>
  <si>
    <t>Támogatásértékű bevétel</t>
  </si>
  <si>
    <r>
      <t xml:space="preserve"> </t>
    </r>
    <r>
      <rPr>
        <sz val="10"/>
        <rFont val="Arial"/>
        <family val="2"/>
        <charset val="238"/>
      </rPr>
      <t>1. Támogatásértékű működési bevétel</t>
    </r>
  </si>
  <si>
    <r>
      <t xml:space="preserve">      </t>
    </r>
    <r>
      <rPr>
        <sz val="10"/>
        <rFont val="Arial"/>
        <family val="2"/>
        <charset val="238"/>
      </rPr>
      <t>ebből:társadalombiztosítási alapból átvett pénzeszköz</t>
    </r>
  </si>
  <si>
    <r>
      <t xml:space="preserve"> </t>
    </r>
    <r>
      <rPr>
        <sz val="10"/>
        <rFont val="Arial"/>
        <family val="2"/>
        <charset val="238"/>
      </rPr>
      <t>2. Támogatásértékű felhalmozási bevétel</t>
    </r>
  </si>
  <si>
    <t>Támogatásértékű bevétel összesen:</t>
  </si>
  <si>
    <t>V.</t>
  </si>
  <si>
    <t>Véglegesen átvett pénzeszközök</t>
  </si>
  <si>
    <t xml:space="preserve">  1. Működési célú pénzeszköz átvétel államháztartáson kívülről</t>
  </si>
  <si>
    <t xml:space="preserve">  2. Felhalmozási célú pénzeszköz átvétel államháztartáson kívülről</t>
  </si>
  <si>
    <t>Véglegesen átvett pénzeszközök összesen:</t>
  </si>
  <si>
    <t>VI.</t>
  </si>
  <si>
    <t>Támogatási kölcsönök visszatérülése, igénybevétele, értékpapírok kibocsátásának bevétele</t>
  </si>
  <si>
    <t>VII.</t>
  </si>
  <si>
    <t>Hitelek</t>
  </si>
  <si>
    <r>
      <t xml:space="preserve">    </t>
    </r>
    <r>
      <rPr>
        <sz val="10"/>
        <rFont val="Arial"/>
        <family val="2"/>
        <charset val="238"/>
      </rPr>
      <t>1. Működési célú hitel felvétele</t>
    </r>
  </si>
  <si>
    <t xml:space="preserve">  2. Felhalmozási célú hitel felvétele</t>
  </si>
  <si>
    <t>Hitelek összesen:</t>
  </si>
  <si>
    <t>VIII.</t>
  </si>
  <si>
    <t>Költségvetési kiegészítés, visszatérülés</t>
  </si>
  <si>
    <t>IX.</t>
  </si>
  <si>
    <t>Pénzmaradvány átvétele</t>
  </si>
  <si>
    <t>FOLYÓ BEVÉTELEK ÖSSZESEN:</t>
  </si>
  <si>
    <t>X.</t>
  </si>
  <si>
    <t>Pénzforgalom nélküli bevételek</t>
  </si>
  <si>
    <t>Előző évi pénzmaradvány igénybevétele</t>
  </si>
  <si>
    <t>Pénzforgalom nélküli bevételek összesen:</t>
  </si>
  <si>
    <t>BEVÉTELEK ÖSSZESEN:</t>
  </si>
  <si>
    <t>XI.</t>
  </si>
  <si>
    <t>ÁHT belüli megelőlegezés</t>
  </si>
  <si>
    <t>BEVÉTELEK MINDÖSSZESEN:</t>
  </si>
  <si>
    <t>3/b.melléklet</t>
  </si>
  <si>
    <t>Ft-ban</t>
  </si>
  <si>
    <t>Kiadási jogcím- csoport száma</t>
  </si>
  <si>
    <t>Kiadási jogcímek</t>
  </si>
  <si>
    <t xml:space="preserve"> Folyó (működési) kiadások</t>
  </si>
  <si>
    <t>1. Személyi  juttatások</t>
  </si>
  <si>
    <t>2. Munkaadókat terhelő járulékok</t>
  </si>
  <si>
    <t>3. Dologi  kiadások</t>
  </si>
  <si>
    <t>4. Működési kiadás ÁHT belülre</t>
  </si>
  <si>
    <r>
      <t>5. Működési kiadás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ÁHT kívülre</t>
    </r>
  </si>
  <si>
    <t>6. Ellátottak pénzbeli juttatása</t>
  </si>
  <si>
    <t>Folyó (működési) kiadások összesen:</t>
  </si>
  <si>
    <t>Felhalmozási és tőke jellegű kiadások</t>
  </si>
  <si>
    <t>1. Felújítás</t>
  </si>
  <si>
    <t>2. Intézményi beruházási kiadások</t>
  </si>
  <si>
    <t>3. Támogatásértékű felhamozási kiadás</t>
  </si>
  <si>
    <t>4. Felhalm. célú pénzeszközátadás államh.on kívülre</t>
  </si>
  <si>
    <t>5. Pénzügyi befektetések kiadásai</t>
  </si>
  <si>
    <t>Felhalmozási és tőke jellegű kiadások összesen:</t>
  </si>
  <si>
    <t>Kölcsönök nyújtása és törlesztése</t>
  </si>
  <si>
    <r>
      <t xml:space="preserve">  </t>
    </r>
    <r>
      <rPr>
        <sz val="10"/>
        <rFont val="Arial"/>
        <family val="2"/>
        <charset val="238"/>
      </rPr>
      <t>1. Működési célú visszatérítendő támogatás</t>
    </r>
  </si>
  <si>
    <r>
      <t xml:space="preserve">  </t>
    </r>
    <r>
      <rPr>
        <sz val="10"/>
        <rFont val="Arial"/>
        <family val="2"/>
        <charset val="238"/>
      </rPr>
      <t>2. Fejlesztési célú kölcsönnyújtás</t>
    </r>
  </si>
  <si>
    <t>Kölcsönök nyújtása és törlesztése összesen:</t>
  </si>
  <si>
    <t xml:space="preserve">Tartalékok </t>
  </si>
  <si>
    <t>1. Általános tartalék</t>
  </si>
  <si>
    <t>2. Céltartalék</t>
  </si>
  <si>
    <t xml:space="preserve">Tartalékok összesen: </t>
  </si>
  <si>
    <t>Finanszírozási kiadások</t>
  </si>
  <si>
    <t xml:space="preserve">   1. Finanszírozás átadás</t>
  </si>
  <si>
    <t>2. Hitel törlesztés</t>
  </si>
  <si>
    <t>Finanszírozási kiadások összesen:</t>
  </si>
  <si>
    <t xml:space="preserve"> KIADÁSOK ÖSSZESEN:</t>
  </si>
  <si>
    <t>Kiegyenlítő, függő, átfutó tételek</t>
  </si>
  <si>
    <t>KIADÁSOK MINDÖSSZESEN:</t>
  </si>
  <si>
    <t>2019. évi költségvetés bevételei</t>
  </si>
  <si>
    <t>2019. évi költségvetés kiadásai</t>
  </si>
  <si>
    <t>Gordisa Község Önkormányzat</t>
  </si>
  <si>
    <t>1.   Gordisa Község Önkormányzata</t>
  </si>
  <si>
    <t xml:space="preserve">4/2020. (VI.18.)zárszámadási rendelet </t>
  </si>
  <si>
    <t>5. melléklet</t>
  </si>
  <si>
    <t>Működési és fejlesztési célú bevételek és kiadások 3 éves alakulását bemutató mérleg</t>
  </si>
  <si>
    <t>MŰKÖDÉSI BEVÉTELEK</t>
  </si>
  <si>
    <t>Intézményi működési bevételek</t>
  </si>
  <si>
    <t xml:space="preserve">    helyi adók</t>
  </si>
  <si>
    <t xml:space="preserve">    bírság, pótlékok, egyéb sajátos működési bevétel</t>
  </si>
  <si>
    <t xml:space="preserve">    átengedett központi adók</t>
  </si>
  <si>
    <t>Önkormányzat költségvetési támogatása</t>
  </si>
  <si>
    <t>Működési bevételek ÁHT belül</t>
  </si>
  <si>
    <t>Közhatalmi bevétel</t>
  </si>
  <si>
    <t>Pénzeszköz átvétel</t>
  </si>
  <si>
    <t>Működési célú előző évi pénzmaradvány igénybevétele</t>
  </si>
  <si>
    <t>MŰKÖDÉSI CÉLÚ BEVÉTELEK ÖSSZESEN:</t>
  </si>
  <si>
    <t>MŰKÖDÉSI KIADÁSOK</t>
  </si>
  <si>
    <t>Személyi juttatások</t>
  </si>
  <si>
    <t>Munkaadókat terhelő járulékok</t>
  </si>
  <si>
    <t>Műk.célú tám. ÁHT belül</t>
  </si>
  <si>
    <t>Műk.célú tám. ÁHT kívül</t>
  </si>
  <si>
    <t>Ellátottak pénzbeni juttatása</t>
  </si>
  <si>
    <t>Működési kamatkiadás</t>
  </si>
  <si>
    <t>Finanszírozás átadás</t>
  </si>
  <si>
    <t>MŰKÖDÉSI CÉLÚ KIADÁSOK ÖSSZESEN:</t>
  </si>
  <si>
    <t>FELHALMOZÁSI CÉLÚ BEVÉTELEK</t>
  </si>
  <si>
    <t>Önkormányzatok felhalmozási és tőke jellegű bevételei</t>
  </si>
  <si>
    <t>Felhalmozási célú támogatás értékű bevételek</t>
  </si>
  <si>
    <t>Felhalmozási célú pénzeszk.átvétel államházt. kívülről</t>
  </si>
  <si>
    <t>Felhalmozási célú hitel</t>
  </si>
  <si>
    <t>FELHALMOZÁSI CÉLÚ BEVÉTELEK ÖSSZESEN:</t>
  </si>
  <si>
    <t>FELHALMOZÁSI CÉLÚ KIADÁSOK</t>
  </si>
  <si>
    <t>Előző évről áthúzódó és szerződéssel lekötött beruházások</t>
  </si>
  <si>
    <t>Képviselő-testületi határozat alapján tárgyévi új feladatok</t>
  </si>
  <si>
    <t>Tárgyévi fejlesztési feladatok</t>
  </si>
  <si>
    <t>Felújítások,beruházások</t>
  </si>
  <si>
    <t>Céltartalék</t>
  </si>
  <si>
    <t>Kamat, hiteltörlesztés</t>
  </si>
  <si>
    <t>FELHALMOZÁSI CÉLÚ KIADÁSOK ÖSSZESEN:</t>
  </si>
  <si>
    <t>ÖNKORMÁNYZAT BEVÉTELEI ÖSSZESEN</t>
  </si>
  <si>
    <t>ÖNKORMÁNYZAT KIADÁSAI ÖSSZESEN</t>
  </si>
  <si>
    <t>6. melléklet</t>
  </si>
  <si>
    <t>I. Működési célú (folyó) bevételek, működési célú (folyó) kiadások mérlege
(Önkormányzati szinten)</t>
  </si>
  <si>
    <t>Bevételek</t>
  </si>
  <si>
    <t>Kiadások</t>
  </si>
  <si>
    <t xml:space="preserve">Önkormányzatok működési költségvetési támogatása </t>
  </si>
  <si>
    <t>Munkaadókat terhelő járulék</t>
  </si>
  <si>
    <t>Támogatásértékű működési bevétel</t>
  </si>
  <si>
    <t>Közhatalmi bevétetek</t>
  </si>
  <si>
    <t>Műk.kiadás ÁHT belül</t>
  </si>
  <si>
    <t>Működési célú pénzeszköz átvétel államháztartáson kívülről</t>
  </si>
  <si>
    <t>Működési célú pénzeszköz átadás államháztartáson kívülre</t>
  </si>
  <si>
    <t>Támogatási kölcsönök visszatérülése (működési)</t>
  </si>
  <si>
    <t>Működési célú hitel felvétele</t>
  </si>
  <si>
    <t>Előző évi pénzmaradvány</t>
  </si>
  <si>
    <t>Működési célú hitel kamatkiadás</t>
  </si>
  <si>
    <t>Működési hitel törlesztés</t>
  </si>
  <si>
    <t>Működési célú kölcsönnyújtás</t>
  </si>
  <si>
    <t>Tartalék (működési célú)</t>
  </si>
  <si>
    <t>ÖSSZESEN:</t>
  </si>
  <si>
    <t>7. melléklet</t>
  </si>
  <si>
    <t>II. Felhalmozási és tőkejellegű bevételek és kiadások mérlege
(Önkormányzati szinten)</t>
  </si>
  <si>
    <t>Tárgyi eszközök, immateriális javak értékesítése</t>
  </si>
  <si>
    <t>Önkormányzatok sajátos felhalmozási és tőkebevételei</t>
  </si>
  <si>
    <t>Intézményi beruházás</t>
  </si>
  <si>
    <t>Üzemeltetésből, koncessióból származó bevétel</t>
  </si>
  <si>
    <t>Támogatásértékű felhalmozási kiadás</t>
  </si>
  <si>
    <t>Önkormányzatok költségvetési támogatása (fejlesztési célú rész)</t>
  </si>
  <si>
    <t>Felhalmozási célú pénzeszköz átadás államháztartáson kívülre</t>
  </si>
  <si>
    <t>Támogatásértékű felhalmozási bevétel</t>
  </si>
  <si>
    <t>Fejlesztési célú kölcsönnyújtás</t>
  </si>
  <si>
    <t>Felhalmozási célú pénzeszköz átvétel államháztartáson kívülről</t>
  </si>
  <si>
    <t>Tartalék (fejlesztési célú)</t>
  </si>
  <si>
    <t>Támogatási kölcsönök visszatérülése (fejlesztési)</t>
  </si>
  <si>
    <t>Fejlesztési hitel törlesztés</t>
  </si>
  <si>
    <t>Beruházás utáni ÁFA visszatér.</t>
  </si>
  <si>
    <t>Pénzügyi befektetés</t>
  </si>
  <si>
    <t>Értékesített tárgyi eszközök és immateriális javak ÁFA-ja</t>
  </si>
  <si>
    <t>Beruházások ÁFA-ja</t>
  </si>
  <si>
    <t>Felhalmozási célú hitel felvétele</t>
  </si>
  <si>
    <t>Gordisa Község Önkormányzat 2019 évi</t>
  </si>
  <si>
    <t>GORDISA KÖZSÉG ÖNKORMÁNYZAT  2019. évi költségvetés</t>
  </si>
  <si>
    <t>Ellenőrző sor</t>
  </si>
  <si>
    <t>8. melléklet</t>
  </si>
  <si>
    <t>Jogcím</t>
  </si>
  <si>
    <t>Módosított eléőirányzat</t>
  </si>
  <si>
    <t>Települési önkormányzatok működésének támogatása</t>
  </si>
  <si>
    <t>Telep.önk.köznev.feladatok</t>
  </si>
  <si>
    <t>Hozzájárulás a pénzbeli szociális ellátásokhoz</t>
  </si>
  <si>
    <t>Könyvtári, közművelődési feladatok támogatása</t>
  </si>
  <si>
    <t>Működési célú központosított ei.</t>
  </si>
  <si>
    <t>Helyi Önkormányzat kieg.tám.</t>
  </si>
  <si>
    <t xml:space="preserve">  GORDISA KÖZSÉG ÖNKORMÁNYZAT 2019. ÉVI ÁLLAMI TÁMOGATÁSAI JOGCÍMENKÉNTI BONTÁSBAN</t>
  </si>
  <si>
    <t>Gordisa Község Önkormányzata beruházások 2019. évi előirányzata</t>
  </si>
  <si>
    <t>Gordisa Község Önkormányzata felújítások 2019. évi előirányzata</t>
  </si>
  <si>
    <t>EU-s finanszírozásból megvalósuló beruházás</t>
  </si>
  <si>
    <t>Beruházás megnevezése</t>
  </si>
  <si>
    <t>2018. évi előirányzat</t>
  </si>
  <si>
    <t>Összesen</t>
  </si>
  <si>
    <t xml:space="preserve">12. Melléklet </t>
  </si>
  <si>
    <t>.</t>
  </si>
  <si>
    <t xml:space="preserve">9/1 Melléklet </t>
  </si>
  <si>
    <t xml:space="preserve">9/2 Melléklet </t>
  </si>
  <si>
    <t xml:space="preserve">9/3 Melléklet </t>
  </si>
  <si>
    <t>17.melléklet</t>
  </si>
  <si>
    <t>Gordisa község önkormányzat tulajdonosi részesedéseiről szóló tájékoztató</t>
  </si>
  <si>
    <t>Gazdálkodó szervezet neve</t>
  </si>
  <si>
    <t>Részvény/törzsbetét összege névértéke Ft-ban</t>
  </si>
  <si>
    <t>1.</t>
  </si>
  <si>
    <t>Tenkesvíz Kft</t>
  </si>
  <si>
    <t>Tulajdonosi részesedés összesen</t>
  </si>
  <si>
    <t>11. melléklet</t>
  </si>
  <si>
    <t>GORDISA KÖZSÉG ÖNKORMÁNYZAT</t>
  </si>
  <si>
    <t>Sor-szám</t>
  </si>
  <si>
    <t>összeg</t>
  </si>
  <si>
    <t>Szabad pm.ból p.eszk.átvét.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</si>
  <si>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</si>
  <si>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</si>
  <si>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</si>
  <si>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</si>
  <si>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</si>
  <si>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</si>
  <si>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</si>
  <si>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Összes maradvány</t>
  </si>
  <si>
    <t>Alaptevékenység szabad maradványa</t>
  </si>
  <si>
    <t>Pénzmaradvány alakulása 2019.évről</t>
  </si>
  <si>
    <t>10. melléklet</t>
  </si>
  <si>
    <t>Vagyonkimutatás</t>
  </si>
  <si>
    <t>a könyvviteli mérlegben értékkel szereplő eszközökről és forrásokról</t>
  </si>
  <si>
    <t xml:space="preserve"> forintban</t>
  </si>
  <si>
    <t>ESZKÖZÖK</t>
  </si>
  <si>
    <t xml:space="preserve">Előző év   </t>
  </si>
  <si>
    <t>Tárgyév</t>
  </si>
  <si>
    <t>Változás 
%-a</t>
  </si>
  <si>
    <t>állományi érték</t>
  </si>
  <si>
    <t>1</t>
  </si>
  <si>
    <t>3</t>
  </si>
  <si>
    <t>4</t>
  </si>
  <si>
    <t>5</t>
  </si>
  <si>
    <t xml:space="preserve">A/I. Immateriális javak </t>
  </si>
  <si>
    <t xml:space="preserve">A/II. Tárgyi eszközök </t>
  </si>
  <si>
    <t>A/III.Befektetett pénzügyi eszközök</t>
  </si>
  <si>
    <t>A/IV. Koncesszióba adott eszk.</t>
  </si>
  <si>
    <t xml:space="preserve">A) BEFEKTETETT ESZKÖZÖK ÖSSZESEN </t>
  </si>
  <si>
    <t>B/1. Készletek</t>
  </si>
  <si>
    <t xml:space="preserve">B/II. Értékpapírok </t>
  </si>
  <si>
    <t>B. Nemzeti vagyonba tartozó forgóeszközök</t>
  </si>
  <si>
    <t>C. Pénzeszközök</t>
  </si>
  <si>
    <t xml:space="preserve">D. Követelések </t>
  </si>
  <si>
    <t>E. Egyéb sajátos eszközoldali elszámolások</t>
  </si>
  <si>
    <t>F. Aktív időbeli elhatárolások</t>
  </si>
  <si>
    <t xml:space="preserve">B) FORGÓESZKÖZÖK ÖSSZESEN  </t>
  </si>
  <si>
    <t xml:space="preserve">ESZKÖZÖK ÖSSZESEN  </t>
  </si>
  <si>
    <t>FORRÁSOK</t>
  </si>
  <si>
    <t xml:space="preserve">Előző év  </t>
  </si>
  <si>
    <t>Változás</t>
  </si>
  <si>
    <t>%-a</t>
  </si>
  <si>
    <t xml:space="preserve">G/I. Nemzeti vagyon induláskori értéke </t>
  </si>
  <si>
    <t>G/II. Nemzeti vagyon változásai</t>
  </si>
  <si>
    <t>G/III. Egyéb eszközök induláskori értéke</t>
  </si>
  <si>
    <t>G/IV. Felhalmozott eredmény</t>
  </si>
  <si>
    <t>G/V.Eszközök értékhelyesbítésének forrása</t>
  </si>
  <si>
    <t>G/VI. Mérleg szerinti erdmény</t>
  </si>
  <si>
    <t xml:space="preserve">G) SAJÁT TŐKE ÖSSZESEN </t>
  </si>
  <si>
    <t>H/I.) Kötelezettségek ktgvet évben esedékes</t>
  </si>
  <si>
    <t>H/II.Kötelezettségek ktgvet évet követően esedékes</t>
  </si>
  <si>
    <t>H/III Kötelezettség jellegű elszámolások</t>
  </si>
  <si>
    <t xml:space="preserve">H) KÖTELEZETTSÉGEK ÖSSZESEN </t>
  </si>
  <si>
    <t>K. Passzív elhatárolások</t>
  </si>
  <si>
    <t xml:space="preserve">FORRÁSOK ÖSSZESEN  </t>
  </si>
  <si>
    <t>2019. december 31.</t>
  </si>
  <si>
    <t>13.melléklet</t>
  </si>
  <si>
    <t>eFt-ban</t>
  </si>
  <si>
    <t>ezer Ft-ban</t>
  </si>
  <si>
    <t>Hitel fajta</t>
  </si>
  <si>
    <t>Felvett</t>
  </si>
  <si>
    <t>Hitel</t>
  </si>
  <si>
    <t>Lejárati ideje</t>
  </si>
  <si>
    <t>Várható</t>
  </si>
  <si>
    <t>……. évi tényleges adatok</t>
  </si>
  <si>
    <t>Tőketörlesztés későbbi években</t>
  </si>
  <si>
    <t xml:space="preserve">hitel </t>
  </si>
  <si>
    <t>felvétel</t>
  </si>
  <si>
    <t>fennálló</t>
  </si>
  <si>
    <t xml:space="preserve">kamat </t>
  </si>
  <si>
    <t>….... évi hitelfelvétel</t>
  </si>
  <si>
    <t>….... évi törlesztés</t>
  </si>
  <si>
    <t>……..évi kamatfizetés</t>
  </si>
  <si>
    <t>……….. fennálló tart</t>
  </si>
  <si>
    <t>összege</t>
  </si>
  <si>
    <t>időpontja</t>
  </si>
  <si>
    <t>tartozás</t>
  </si>
  <si>
    <t>fiz.köt.</t>
  </si>
  <si>
    <t>Rövidlejáratú átmeneti munkabér hitel</t>
  </si>
  <si>
    <t>Rövidlejáratú átmeneti liklvid hitel</t>
  </si>
  <si>
    <t>Pályázati hitel</t>
  </si>
  <si>
    <t>Egyéb hosszú lejáratú kötelezettség</t>
  </si>
  <si>
    <t>Mindösszesen:</t>
  </si>
  <si>
    <t xml:space="preserve">Gordisa Község Önkormányzat 2019. évi adósságállománya </t>
  </si>
  <si>
    <t>2019.01.01-én</t>
  </si>
  <si>
    <t>14. melléklet</t>
  </si>
  <si>
    <t xml:space="preserve"> GORDISA KÖZSÉG ÖNKORMÁNYZATA ÉS INTÉZMÉNYÉNEK 2018. ÉVI LÉTSZÁMADATAI</t>
  </si>
  <si>
    <t>Önkormányzat</t>
  </si>
  <si>
    <t>Önkormányzati dolgozók</t>
  </si>
  <si>
    <t xml:space="preserve">Engedélyezett létszám                </t>
  </si>
  <si>
    <t>Átlagos létszám</t>
  </si>
  <si>
    <t>Közfoglalkozatottak</t>
  </si>
  <si>
    <t>Közalkalmazott</t>
  </si>
  <si>
    <t>Fizikai alkalmazott</t>
  </si>
  <si>
    <t>MINDÖSSZESEN</t>
  </si>
  <si>
    <t>Tényleges létszám 2019.XII.31-én</t>
  </si>
  <si>
    <t>15. számú melléklet</t>
  </si>
  <si>
    <t>EGYSZERŰSÍTETT PÉNZFORGALMI JELENTÉSE</t>
  </si>
  <si>
    <t xml:space="preserve"> forintban </t>
  </si>
  <si>
    <t>Sor-
szám</t>
  </si>
  <si>
    <t>Eredeti</t>
  </si>
  <si>
    <t>Módosított</t>
  </si>
  <si>
    <t>Teljesítés</t>
  </si>
  <si>
    <t>előirányzat</t>
  </si>
  <si>
    <t>Dologi és egyéb folyó  kiadások</t>
  </si>
  <si>
    <t>Működési célú tám. ÁHT belül</t>
  </si>
  <si>
    <t>Működési célú tám. ÁHT kívül</t>
  </si>
  <si>
    <t>Ellátottak pénzbeni juttatásai</t>
  </si>
  <si>
    <t>Felhalmozási kiadások</t>
  </si>
  <si>
    <t>Felhalm.-i célú támogatásértékű kiadások, egyéb támogatás</t>
  </si>
  <si>
    <t>Visszatérítendő támogatás</t>
  </si>
  <si>
    <t>Pénzmaradvány átadás</t>
  </si>
  <si>
    <t>Rövid lejáratú kölcsönök nyújtása</t>
  </si>
  <si>
    <t>Költségvetési pénzforgalmi kiadások öszesen ( 01+...+12 )</t>
  </si>
  <si>
    <t>Hosszú lejáratú hitelek</t>
  </si>
  <si>
    <t>Rövid lejáratú hitelek</t>
  </si>
  <si>
    <t>Tartós hitelviszonyt megtestesítő értékpapírok kiadásai</t>
  </si>
  <si>
    <t>ÁHT belüli megelőlegezések visszafiz.</t>
  </si>
  <si>
    <t>Finanszírozási kiadások összesen (14+…+17)</t>
  </si>
  <si>
    <t>Pénzforgalmi kiadások (13+18)</t>
  </si>
  <si>
    <t>Pénzforgalom nélküli kiadások</t>
  </si>
  <si>
    <t>Továbbadási célú kiadások</t>
  </si>
  <si>
    <t xml:space="preserve">Kiegyenlítő, függő, átfutó kiadások </t>
  </si>
  <si>
    <t>Kiadások összesen ( 19+...+22 )</t>
  </si>
  <si>
    <t>Önkormányzatok sajátos működési bevétele</t>
  </si>
  <si>
    <t>Működési célú támogatásértékű bevételek, egyéb támogatás</t>
  </si>
  <si>
    <t>Államháztartáson kívülről végleges működési pénzeszköz átvétel</t>
  </si>
  <si>
    <t>Felhalmozási és tőke jellegű bevételek</t>
  </si>
  <si>
    <t>Felhalmozási célú támogatásértékű bevételek, egyéb támogatás</t>
  </si>
  <si>
    <t>Államháztartáson kívülről végleges felhalmozási pénzeszköz átvétel</t>
  </si>
  <si>
    <t>Hosszú lejáratú kölcsönök visszatérülése</t>
  </si>
  <si>
    <t>Rövid lejáratú kölcsönök visszatérülése</t>
  </si>
  <si>
    <t xml:space="preserve">Költségvetési pénzforgalmi bevételek összesen </t>
  </si>
  <si>
    <t>Hosszú lejáratú hitelek felvétele</t>
  </si>
  <si>
    <t>Rövid lejáratú hitelek felvétele</t>
  </si>
  <si>
    <t>Pénzmaradvány igénybevétele</t>
  </si>
  <si>
    <t>ÁHT belüli megelőlegezések</t>
  </si>
  <si>
    <t>Finanszírozási bevételek összesen (23+24)</t>
  </si>
  <si>
    <t>Pénzforgalmi bevételek ( 22+25 )</t>
  </si>
  <si>
    <t>Továbbadási célú bevételek</t>
  </si>
  <si>
    <t>Kiegyenlítő, függő, átfutó bevételek</t>
  </si>
  <si>
    <t>Bevételek összesen (42+...+45 )</t>
  </si>
  <si>
    <t>Költségvetési bevételek és kiadások különbsége (36+43-13-20) [költségvetési hiány (-), költségvetési többlet (+)]</t>
  </si>
  <si>
    <t>Finanszírozási műveletek eredménye (41-18)</t>
  </si>
  <si>
    <t>Továbbadási célú bevételek és kiadások különbsége (44-21)</t>
  </si>
  <si>
    <t>Aktív és passzív pénzügyi műveletek egyenlege (45-22)</t>
  </si>
  <si>
    <t>2019. ÉV</t>
  </si>
  <si>
    <t>16.melléklet</t>
  </si>
  <si>
    <t>Több éves kihatással járó feladatok előirányzata éves bontásban</t>
  </si>
  <si>
    <t>Kötelezettség megnevezése</t>
  </si>
  <si>
    <t>Összes kötelezettség</t>
  </si>
  <si>
    <t>Vállalt jövőbeni kötelezettségek</t>
  </si>
  <si>
    <t>Gordisa Község Önkormányzat 2019. évi költségvetés</t>
  </si>
  <si>
    <t>2019.12.31-én</t>
  </si>
  <si>
    <t xml:space="preserve">2. melléklet </t>
  </si>
  <si>
    <t xml:space="preserve">4.a. Melléklet </t>
  </si>
  <si>
    <t>4.b.melléklet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</si>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</sst>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F_t_-;\-* #,##0\ _F_t_-;_-* &quot;-&quot;\ _F_t_-;_-@_-"/>
    <numFmt numFmtId="164" formatCode="_-* #,##0\ _H_U_F_-;\-* #,##0\ _H_U_F_-;_-* &quot;-&quot;\ _H_U_F_-;_-@_-"/>
    <numFmt numFmtId="165" formatCode="#,###"/>
    <numFmt numFmtId="166" formatCode="#,###.00"/>
    <numFmt numFmtId="167" formatCode="#,##0.00\ _F_t;\-\ #,##0.00\ _F_t"/>
    <numFmt numFmtId="168" formatCode="yyyy/mm/dd;@"/>
    <numFmt numFmtId="169" formatCode="00"/>
    <numFmt numFmtId="170" formatCode="#,###__;\-\ #,###__"/>
  </numFmts>
  <fonts count="5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MS Sans Serif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MS Sans Serif"/>
      <charset val="238"/>
    </font>
    <font>
      <sz val="6"/>
      <name val="MS Sans Serif"/>
      <family val="2"/>
      <charset val="238"/>
    </font>
    <font>
      <sz val="8"/>
      <name val="Arial"/>
      <family val="2"/>
      <charset val="238"/>
    </font>
    <font>
      <i/>
      <sz val="9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sz val="12"/>
      <name val="Times New Roman CE"/>
      <charset val="238"/>
    </font>
    <font>
      <b/>
      <sz val="12"/>
      <name val="Arial"/>
      <family val="2"/>
      <charset val="238"/>
    </font>
    <font>
      <sz val="10"/>
      <name val="Times New Roman CE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u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Cambria"/>
      <family val="1"/>
      <charset val="238"/>
    </font>
    <font>
      <sz val="9"/>
      <name val="Cambria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Times New Roman"/>
      <family val="1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8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mediumGray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2" fillId="0" borderId="0"/>
    <xf numFmtId="0" fontId="13" fillId="0" borderId="0"/>
    <xf numFmtId="0" fontId="21" fillId="0" borderId="0"/>
    <xf numFmtId="0" fontId="25" fillId="0" borderId="0"/>
    <xf numFmtId="0" fontId="26" fillId="0" borderId="0"/>
    <xf numFmtId="0" fontId="2" fillId="0" borderId="0"/>
    <xf numFmtId="0" fontId="30" fillId="0" borderId="0"/>
    <xf numFmtId="0" fontId="32" fillId="0" borderId="0"/>
    <xf numFmtId="0" fontId="2" fillId="0" borderId="0"/>
    <xf numFmtId="0" fontId="32" fillId="0" borderId="0"/>
  </cellStyleXfs>
  <cellXfs count="679">
    <xf numFmtId="0" fontId="0" fillId="0" borderId="0" xfId="0"/>
    <xf numFmtId="0" fontId="1" fillId="0" borderId="0" xfId="1"/>
    <xf numFmtId="0" fontId="3" fillId="0" borderId="0" xfId="1" applyFont="1" applyAlignment="1">
      <alignment vertical="center"/>
    </xf>
    <xf numFmtId="3" fontId="5" fillId="0" borderId="1" xfId="1" applyNumberFormat="1" applyFont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3" fontId="1" fillId="0" borderId="0" xfId="1" applyNumberFormat="1"/>
    <xf numFmtId="3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8" fillId="0" borderId="0" xfId="1" applyFont="1"/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0" xfId="3" applyFont="1"/>
    <xf numFmtId="0" fontId="3" fillId="0" borderId="0" xfId="3" applyFont="1" applyAlignment="1">
      <alignment wrapText="1"/>
    </xf>
    <xf numFmtId="0" fontId="3" fillId="0" borderId="0" xfId="3" applyFont="1" applyAlignment="1">
      <alignment horizontal="center"/>
    </xf>
    <xf numFmtId="0" fontId="5" fillId="4" borderId="0" xfId="3" applyFont="1" applyFill="1"/>
    <xf numFmtId="0" fontId="5" fillId="0" borderId="0" xfId="3" applyFont="1"/>
    <xf numFmtId="0" fontId="16" fillId="0" borderId="0" xfId="3" applyFont="1"/>
    <xf numFmtId="0" fontId="5" fillId="0" borderId="0" xfId="3" applyFont="1" applyAlignment="1">
      <alignment horizontal="center"/>
    </xf>
    <xf numFmtId="0" fontId="3" fillId="4" borderId="0" xfId="3" applyFont="1" applyFill="1"/>
    <xf numFmtId="0" fontId="15" fillId="0" borderId="0" xfId="0" applyFont="1" applyAlignment="1">
      <alignment horizontal="center"/>
    </xf>
    <xf numFmtId="0" fontId="5" fillId="0" borderId="0" xfId="3" applyFont="1" applyAlignment="1">
      <alignment horizontal="center" wrapText="1"/>
    </xf>
    <xf numFmtId="3" fontId="3" fillId="0" borderId="1" xfId="1" applyNumberFormat="1" applyFont="1" applyBorder="1" applyAlignment="1">
      <alignment vertical="center" wrapText="1"/>
    </xf>
    <xf numFmtId="0" fontId="12" fillId="0" borderId="0" xfId="3" applyFont="1" applyAlignment="1">
      <alignment horizontal="center"/>
    </xf>
    <xf numFmtId="3" fontId="3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vertical="center" wrapText="1"/>
    </xf>
    <xf numFmtId="3" fontId="3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3" fontId="3" fillId="0" borderId="0" xfId="1" applyNumberFormat="1" applyFont="1" applyAlignment="1">
      <alignment horizontal="right" vertical="center"/>
    </xf>
    <xf numFmtId="3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Alignment="1"/>
    <xf numFmtId="3" fontId="20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164" fontId="17" fillId="8" borderId="4" xfId="0" applyNumberFormat="1" applyFont="1" applyFill="1" applyBorder="1" applyAlignment="1">
      <alignment horizontal="right" vertical="center" wrapText="1"/>
    </xf>
    <xf numFmtId="164" fontId="18" fillId="0" borderId="4" xfId="0" applyNumberFormat="1" applyFont="1" applyBorder="1" applyAlignment="1">
      <alignment horizontal="right" vertical="center" wrapText="1"/>
    </xf>
    <xf numFmtId="0" fontId="3" fillId="0" borderId="4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/>
    </xf>
    <xf numFmtId="0" fontId="5" fillId="5" borderId="1" xfId="3" applyFont="1" applyFill="1" applyBorder="1" applyAlignment="1">
      <alignment horizontal="left" vertical="center" wrapText="1"/>
    </xf>
    <xf numFmtId="0" fontId="3" fillId="5" borderId="1" xfId="3" applyFont="1" applyFill="1" applyBorder="1" applyAlignment="1">
      <alignment horizontal="center" vertical="center"/>
    </xf>
    <xf numFmtId="0" fontId="16" fillId="0" borderId="1" xfId="3" applyFont="1" applyBorder="1" applyAlignment="1">
      <alignment horizontal="left" vertical="center" wrapText="1"/>
    </xf>
    <xf numFmtId="0" fontId="16" fillId="0" borderId="1" xfId="3" applyFont="1" applyBorder="1" applyAlignment="1">
      <alignment horizontal="center" vertical="center"/>
    </xf>
    <xf numFmtId="49" fontId="3" fillId="5" borderId="1" xfId="3" applyNumberFormat="1" applyFont="1" applyFill="1" applyBorder="1" applyAlignment="1">
      <alignment horizontal="center" vertical="center"/>
    </xf>
    <xf numFmtId="0" fontId="5" fillId="6" borderId="1" xfId="3" applyFont="1" applyFill="1" applyBorder="1" applyAlignment="1">
      <alignment horizontal="left" vertical="center" wrapText="1"/>
    </xf>
    <xf numFmtId="49" fontId="3" fillId="6" borderId="1" xfId="3" applyNumberFormat="1" applyFont="1" applyFill="1" applyBorder="1" applyAlignment="1">
      <alignment horizontal="center" vertical="center"/>
    </xf>
    <xf numFmtId="0" fontId="22" fillId="0" borderId="1" xfId="3" applyFont="1" applyBorder="1" applyAlignment="1">
      <alignment horizontal="center" vertical="center" wrapText="1"/>
    </xf>
    <xf numFmtId="41" fontId="23" fillId="0" borderId="1" xfId="3" applyNumberFormat="1" applyFont="1" applyBorder="1" applyAlignment="1">
      <alignment vertical="center"/>
    </xf>
    <xf numFmtId="41" fontId="23" fillId="0" borderId="4" xfId="3" applyNumberFormat="1" applyFont="1" applyBorder="1" applyAlignment="1">
      <alignment vertical="center"/>
    </xf>
    <xf numFmtId="41" fontId="23" fillId="5" borderId="1" xfId="3" applyNumberFormat="1" applyFont="1" applyFill="1" applyBorder="1" applyAlignment="1">
      <alignment vertical="center"/>
    </xf>
    <xf numFmtId="41" fontId="23" fillId="6" borderId="1" xfId="3" applyNumberFormat="1" applyFont="1" applyFill="1" applyBorder="1" applyAlignment="1">
      <alignment vertical="center"/>
    </xf>
    <xf numFmtId="41" fontId="23" fillId="0" borderId="4" xfId="3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7" fillId="0" borderId="1" xfId="3" applyFont="1" applyBorder="1" applyAlignment="1">
      <alignment vertical="center" wrapText="1"/>
    </xf>
    <xf numFmtId="0" fontId="7" fillId="0" borderId="1" xfId="3" applyFont="1" applyBorder="1" applyAlignment="1">
      <alignment horizontal="center" vertical="center"/>
    </xf>
    <xf numFmtId="41" fontId="7" fillId="0" borderId="1" xfId="3" applyNumberFormat="1" applyFont="1" applyBorder="1" applyAlignment="1">
      <alignment vertical="center" wrapText="1"/>
    </xf>
    <xf numFmtId="41" fontId="7" fillId="0" borderId="3" xfId="3" applyNumberFormat="1" applyFont="1" applyBorder="1" applyAlignment="1">
      <alignment vertical="center" wrapText="1"/>
    </xf>
    <xf numFmtId="41" fontId="7" fillId="0" borderId="3" xfId="3" applyNumberFormat="1" applyFont="1" applyBorder="1" applyAlignment="1">
      <alignment vertical="center"/>
    </xf>
    <xf numFmtId="0" fontId="12" fillId="0" borderId="0" xfId="3" applyFont="1"/>
    <xf numFmtId="0" fontId="12" fillId="4" borderId="0" xfId="3" applyFont="1" applyFill="1"/>
    <xf numFmtId="0" fontId="7" fillId="0" borderId="0" xfId="3" applyFont="1"/>
    <xf numFmtId="0" fontId="12" fillId="4" borderId="1" xfId="3" applyFont="1" applyFill="1" applyBorder="1" applyAlignment="1">
      <alignment vertical="center" wrapText="1"/>
    </xf>
    <xf numFmtId="0" fontId="7" fillId="4" borderId="1" xfId="3" applyFont="1" applyFill="1" applyBorder="1" applyAlignment="1">
      <alignment horizontal="center" vertical="center"/>
    </xf>
    <xf numFmtId="41" fontId="12" fillId="4" borderId="1" xfId="3" applyNumberFormat="1" applyFont="1" applyFill="1" applyBorder="1" applyAlignment="1">
      <alignment vertical="center" wrapText="1"/>
    </xf>
    <xf numFmtId="41" fontId="12" fillId="4" borderId="1" xfId="3" applyNumberFormat="1" applyFont="1" applyFill="1" applyBorder="1" applyAlignment="1">
      <alignment vertical="center"/>
    </xf>
    <xf numFmtId="0" fontId="24" fillId="0" borderId="1" xfId="3" applyFont="1" applyBorder="1" applyAlignment="1">
      <alignment vertical="center" wrapText="1"/>
    </xf>
    <xf numFmtId="0" fontId="24" fillId="0" borderId="1" xfId="3" applyFont="1" applyBorder="1" applyAlignment="1">
      <alignment horizontal="center" vertical="center"/>
    </xf>
    <xf numFmtId="41" fontId="24" fillId="0" borderId="1" xfId="3" applyNumberFormat="1" applyFont="1" applyBorder="1" applyAlignment="1">
      <alignment vertical="center" wrapText="1"/>
    </xf>
    <xf numFmtId="49" fontId="24" fillId="0" borderId="1" xfId="3" applyNumberFormat="1" applyFont="1" applyBorder="1" applyAlignment="1">
      <alignment vertical="center" wrapText="1"/>
    </xf>
    <xf numFmtId="49" fontId="24" fillId="0" borderId="1" xfId="3" applyNumberFormat="1" applyFont="1" applyBorder="1" applyAlignment="1">
      <alignment vertical="center"/>
    </xf>
    <xf numFmtId="49" fontId="7" fillId="0" borderId="1" xfId="3" applyNumberFormat="1" applyFont="1" applyBorder="1" applyAlignment="1">
      <alignment vertical="center" wrapText="1"/>
    </xf>
    <xf numFmtId="0" fontId="12" fillId="4" borderId="1" xfId="3" applyFont="1" applyFill="1" applyBorder="1" applyAlignment="1">
      <alignment vertical="center"/>
    </xf>
    <xf numFmtId="41" fontId="7" fillId="0" borderId="0" xfId="3" applyNumberFormat="1" applyFont="1"/>
    <xf numFmtId="0" fontId="12" fillId="0" borderId="1" xfId="3" applyFont="1" applyBorder="1" applyAlignment="1">
      <alignment vertical="center" wrapText="1"/>
    </xf>
    <xf numFmtId="41" fontId="12" fillId="0" borderId="1" xfId="3" applyNumberFormat="1" applyFont="1" applyBorder="1" applyAlignment="1">
      <alignment vertical="center" wrapText="1"/>
    </xf>
    <xf numFmtId="0" fontId="7" fillId="0" borderId="1" xfId="3" applyFont="1" applyBorder="1" applyAlignment="1">
      <alignment horizontal="left" vertical="center" wrapText="1"/>
    </xf>
    <xf numFmtId="0" fontId="12" fillId="7" borderId="1" xfId="3" applyFont="1" applyFill="1" applyBorder="1" applyAlignment="1">
      <alignment vertical="center" wrapText="1"/>
    </xf>
    <xf numFmtId="49" fontId="7" fillId="7" borderId="1" xfId="3" applyNumberFormat="1" applyFont="1" applyFill="1" applyBorder="1" applyAlignment="1">
      <alignment horizontal="center" vertical="center"/>
    </xf>
    <xf numFmtId="41" fontId="12" fillId="7" borderId="1" xfId="3" applyNumberFormat="1" applyFont="1" applyFill="1" applyBorder="1" applyAlignment="1">
      <alignment vertical="center" wrapText="1"/>
    </xf>
    <xf numFmtId="0" fontId="19" fillId="0" borderId="1" xfId="0" applyFont="1" applyBorder="1" applyAlignment="1"/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3" fontId="23" fillId="0" borderId="1" xfId="3" applyNumberFormat="1" applyFont="1" applyBorder="1" applyAlignment="1">
      <alignment horizontal="center" vertical="center"/>
    </xf>
    <xf numFmtId="3" fontId="23" fillId="0" borderId="3" xfId="3" applyNumberFormat="1" applyFont="1" applyBorder="1" applyAlignment="1">
      <alignment horizontal="center" vertical="center"/>
    </xf>
    <xf numFmtId="0" fontId="25" fillId="0" borderId="0" xfId="5"/>
    <xf numFmtId="3" fontId="18" fillId="8" borderId="1" xfId="0" applyNumberFormat="1" applyFont="1" applyFill="1" applyBorder="1" applyAlignment="1">
      <alignment vertical="center" wrapText="1"/>
    </xf>
    <xf numFmtId="0" fontId="18" fillId="8" borderId="1" xfId="0" applyFont="1" applyFill="1" applyBorder="1" applyAlignment="1">
      <alignment wrapText="1"/>
    </xf>
    <xf numFmtId="3" fontId="5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0" fontId="26" fillId="0" borderId="1" xfId="6" applyBorder="1"/>
    <xf numFmtId="0" fontId="26" fillId="0" borderId="1" xfId="6" applyBorder="1" applyAlignment="1">
      <alignment horizontal="center" vertical="center"/>
    </xf>
    <xf numFmtId="0" fontId="8" fillId="0" borderId="1" xfId="6" applyFont="1" applyBorder="1" applyAlignment="1">
      <alignment horizontal="center" wrapText="1"/>
    </xf>
    <xf numFmtId="49" fontId="8" fillId="0" borderId="1" xfId="6" applyNumberFormat="1" applyFont="1" applyBorder="1" applyAlignment="1">
      <alignment horizontal="left" wrapText="1"/>
    </xf>
    <xf numFmtId="0" fontId="8" fillId="0" borderId="1" xfId="6" applyFont="1" applyBorder="1"/>
    <xf numFmtId="49" fontId="8" fillId="0" borderId="1" xfId="6" applyNumberFormat="1" applyFont="1" applyBorder="1" applyAlignment="1">
      <alignment horizontal="left"/>
    </xf>
    <xf numFmtId="0" fontId="27" fillId="0" borderId="1" xfId="6" applyFont="1" applyBorder="1" applyAlignment="1">
      <alignment vertical="center" wrapText="1"/>
    </xf>
    <xf numFmtId="0" fontId="26" fillId="0" borderId="1" xfId="6" applyBorder="1" applyAlignment="1">
      <alignment horizontal="left"/>
    </xf>
    <xf numFmtId="0" fontId="8" fillId="0" borderId="1" xfId="6" applyFont="1" applyBorder="1" applyAlignment="1">
      <alignment horizontal="left"/>
    </xf>
    <xf numFmtId="0" fontId="28" fillId="0" borderId="1" xfId="0" applyFont="1" applyBorder="1"/>
    <xf numFmtId="49" fontId="26" fillId="0" borderId="1" xfId="6" applyNumberFormat="1" applyBorder="1"/>
    <xf numFmtId="0" fontId="8" fillId="0" borderId="1" xfId="6" applyFont="1" applyBorder="1" applyAlignment="1">
      <alignment wrapText="1"/>
    </xf>
    <xf numFmtId="0" fontId="1" fillId="0" borderId="1" xfId="0" applyFont="1" applyBorder="1"/>
    <xf numFmtId="4" fontId="3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3" fontId="5" fillId="2" borderId="14" xfId="1" applyNumberFormat="1" applyFont="1" applyFill="1" applyBorder="1" applyAlignment="1">
      <alignment horizontal="center" vertical="center"/>
    </xf>
    <xf numFmtId="3" fontId="5" fillId="2" borderId="14" xfId="1" applyNumberFormat="1" applyFont="1" applyFill="1" applyBorder="1" applyAlignment="1">
      <alignment vertical="center"/>
    </xf>
    <xf numFmtId="3" fontId="29" fillId="0" borderId="1" xfId="0" applyNumberFormat="1" applyFont="1" applyBorder="1" applyAlignment="1">
      <alignment horizontal="center" vertical="center" wrapText="1"/>
    </xf>
    <xf numFmtId="3" fontId="29" fillId="0" borderId="1" xfId="1" applyNumberFormat="1" applyFont="1" applyBorder="1" applyAlignment="1">
      <alignment horizontal="center" vertical="center" wrapText="1"/>
    </xf>
    <xf numFmtId="3" fontId="5" fillId="9" borderId="14" xfId="1" applyNumberFormat="1" applyFont="1" applyFill="1" applyBorder="1" applyAlignment="1">
      <alignment vertical="center"/>
    </xf>
    <xf numFmtId="4" fontId="5" fillId="9" borderId="1" xfId="0" applyNumberFormat="1" applyFont="1" applyFill="1" applyBorder="1" applyAlignment="1">
      <alignment vertical="center" wrapText="1"/>
    </xf>
    <xf numFmtId="0" fontId="1" fillId="10" borderId="0" xfId="7" applyFont="1" applyFill="1"/>
    <xf numFmtId="165" fontId="31" fillId="10" borderId="19" xfId="8" applyNumberFormat="1" applyFont="1" applyFill="1" applyBorder="1" applyAlignment="1">
      <alignment horizontal="center" vertical="center"/>
    </xf>
    <xf numFmtId="165" fontId="31" fillId="10" borderId="19" xfId="8" applyNumberFormat="1" applyFont="1" applyFill="1" applyBorder="1" applyAlignment="1">
      <alignment horizontal="centerContinuous" vertical="center"/>
    </xf>
    <xf numFmtId="0" fontId="1" fillId="10" borderId="19" xfId="9" applyFont="1" applyFill="1" applyBorder="1" applyAlignment="1">
      <alignment horizontal="right"/>
    </xf>
    <xf numFmtId="0" fontId="33" fillId="10" borderId="20" xfId="8" applyFont="1" applyFill="1" applyBorder="1" applyAlignment="1">
      <alignment horizontal="center" vertical="center" wrapText="1"/>
    </xf>
    <xf numFmtId="0" fontId="33" fillId="10" borderId="21" xfId="8" applyFont="1" applyFill="1" applyBorder="1" applyAlignment="1">
      <alignment horizontal="center" vertical="center" wrapText="1"/>
    </xf>
    <xf numFmtId="0" fontId="33" fillId="10" borderId="22" xfId="8" applyFont="1" applyFill="1" applyBorder="1" applyAlignment="1">
      <alignment horizontal="center" vertical="center" wrapText="1"/>
    </xf>
    <xf numFmtId="3" fontId="33" fillId="10" borderId="21" xfId="7" applyNumberFormat="1" applyFont="1" applyFill="1" applyBorder="1" applyAlignment="1">
      <alignment horizontal="center" vertical="center" wrapText="1"/>
    </xf>
    <xf numFmtId="0" fontId="33" fillId="10" borderId="21" xfId="7" applyFont="1" applyFill="1" applyBorder="1" applyAlignment="1">
      <alignment horizontal="center" vertical="center" wrapText="1"/>
    </xf>
    <xf numFmtId="0" fontId="34" fillId="10" borderId="20" xfId="8" applyFont="1" applyFill="1" applyBorder="1" applyAlignment="1">
      <alignment horizontal="center" vertical="center" wrapText="1"/>
    </xf>
    <xf numFmtId="0" fontId="34" fillId="10" borderId="21" xfId="8" applyFont="1" applyFill="1" applyBorder="1" applyAlignment="1">
      <alignment horizontal="center" vertical="center" wrapText="1"/>
    </xf>
    <xf numFmtId="0" fontId="34" fillId="10" borderId="22" xfId="8" applyFont="1" applyFill="1" applyBorder="1" applyAlignment="1">
      <alignment horizontal="center" vertical="center" wrapText="1"/>
    </xf>
    <xf numFmtId="0" fontId="34" fillId="10" borderId="23" xfId="7" applyFont="1" applyFill="1" applyBorder="1" applyAlignment="1">
      <alignment horizontal="center"/>
    </xf>
    <xf numFmtId="3" fontId="34" fillId="10" borderId="23" xfId="7" applyNumberFormat="1" applyFont="1" applyFill="1" applyBorder="1" applyAlignment="1">
      <alignment horizontal="center"/>
    </xf>
    <xf numFmtId="0" fontId="34" fillId="10" borderId="23" xfId="7" applyFont="1" applyFill="1" applyBorder="1" applyAlignment="1">
      <alignment horizontal="center" vertical="center"/>
    </xf>
    <xf numFmtId="0" fontId="28" fillId="10" borderId="24" xfId="8" applyFont="1" applyFill="1" applyBorder="1" applyAlignment="1">
      <alignment horizontal="center" vertical="center" wrapText="1"/>
    </xf>
    <xf numFmtId="0" fontId="28" fillId="10" borderId="23" xfId="8" applyFont="1" applyFill="1" applyBorder="1" applyAlignment="1">
      <alignment vertical="center" wrapText="1"/>
    </xf>
    <xf numFmtId="165" fontId="28" fillId="10" borderId="25" xfId="8" applyNumberFormat="1" applyFont="1" applyFill="1" applyBorder="1" applyAlignment="1">
      <alignment vertical="center" wrapText="1"/>
    </xf>
    <xf numFmtId="0" fontId="1" fillId="10" borderId="21" xfId="7" applyFont="1" applyFill="1" applyBorder="1"/>
    <xf numFmtId="3" fontId="1" fillId="10" borderId="21" xfId="7" applyNumberFormat="1" applyFont="1" applyFill="1" applyBorder="1"/>
    <xf numFmtId="0" fontId="1" fillId="10" borderId="21" xfId="7" applyFont="1" applyFill="1" applyBorder="1" applyAlignment="1">
      <alignment horizontal="center" vertical="center"/>
    </xf>
    <xf numFmtId="0" fontId="28" fillId="10" borderId="20" xfId="8" applyFont="1" applyFill="1" applyBorder="1" applyAlignment="1">
      <alignment horizontal="center" vertical="center" wrapText="1"/>
    </xf>
    <xf numFmtId="0" fontId="28" fillId="10" borderId="21" xfId="8" applyFont="1" applyFill="1" applyBorder="1" applyAlignment="1">
      <alignment vertical="center" wrapText="1"/>
    </xf>
    <xf numFmtId="165" fontId="28" fillId="10" borderId="22" xfId="8" applyNumberFormat="1" applyFont="1" applyFill="1" applyBorder="1" applyAlignment="1" applyProtection="1">
      <alignment vertical="center" wrapText="1"/>
      <protection locked="0"/>
    </xf>
    <xf numFmtId="2" fontId="28" fillId="10" borderId="21" xfId="7" applyNumberFormat="1" applyFont="1" applyFill="1" applyBorder="1" applyAlignment="1">
      <alignment horizontal="center" vertical="center"/>
    </xf>
    <xf numFmtId="165" fontId="28" fillId="10" borderId="22" xfId="8" applyNumberFormat="1" applyFont="1" applyFill="1" applyBorder="1" applyAlignment="1">
      <alignment vertical="center" wrapText="1"/>
    </xf>
    <xf numFmtId="0" fontId="1" fillId="10" borderId="3" xfId="8" applyFont="1" applyFill="1" applyBorder="1" applyAlignment="1">
      <alignment horizontal="center" vertical="center" wrapText="1"/>
    </xf>
    <xf numFmtId="0" fontId="1" fillId="10" borderId="1" xfId="8" applyFont="1" applyFill="1" applyBorder="1" applyAlignment="1">
      <alignment horizontal="left" vertical="center" wrapText="1" indent="1"/>
    </xf>
    <xf numFmtId="165" fontId="1" fillId="10" borderId="4" xfId="8" applyNumberFormat="1" applyFont="1" applyFill="1" applyBorder="1" applyAlignment="1" applyProtection="1">
      <alignment vertical="center" wrapText="1"/>
      <protection locked="0"/>
    </xf>
    <xf numFmtId="2" fontId="1" fillId="10" borderId="14" xfId="7" applyNumberFormat="1" applyFont="1" applyFill="1" applyBorder="1" applyAlignment="1">
      <alignment horizontal="center" vertical="center"/>
    </xf>
    <xf numFmtId="0" fontId="1" fillId="10" borderId="26" xfId="8" applyFont="1" applyFill="1" applyBorder="1" applyAlignment="1">
      <alignment horizontal="center" vertical="center" wrapText="1"/>
    </xf>
    <xf numFmtId="0" fontId="1" fillId="10" borderId="27" xfId="8" applyFont="1" applyFill="1" applyBorder="1" applyAlignment="1">
      <alignment horizontal="left" vertical="center" wrapText="1" indent="1"/>
    </xf>
    <xf numFmtId="165" fontId="1" fillId="10" borderId="28" xfId="8" applyNumberFormat="1" applyFont="1" applyFill="1" applyBorder="1" applyAlignment="1" applyProtection="1">
      <alignment vertical="center" wrapText="1"/>
      <protection locked="0"/>
    </xf>
    <xf numFmtId="0" fontId="1" fillId="10" borderId="20" xfId="8" applyFont="1" applyFill="1" applyBorder="1" applyAlignment="1">
      <alignment horizontal="center" vertical="center" wrapText="1"/>
    </xf>
    <xf numFmtId="0" fontId="1" fillId="10" borderId="21" xfId="8" applyFont="1" applyFill="1" applyBorder="1" applyAlignment="1">
      <alignment horizontal="left" vertical="center" wrapText="1" indent="1"/>
    </xf>
    <xf numFmtId="2" fontId="1" fillId="10" borderId="21" xfId="7" applyNumberFormat="1" applyFont="1" applyFill="1" applyBorder="1" applyAlignment="1">
      <alignment horizontal="center" vertical="center"/>
    </xf>
    <xf numFmtId="0" fontId="28" fillId="10" borderId="27" xfId="8" applyFont="1" applyFill="1" applyBorder="1" applyAlignment="1">
      <alignment horizontal="left" vertical="center" wrapText="1" indent="1"/>
    </xf>
    <xf numFmtId="165" fontId="28" fillId="10" borderId="28" xfId="8" applyNumberFormat="1" applyFont="1" applyFill="1" applyBorder="1" applyAlignment="1" applyProtection="1">
      <alignment vertical="center" wrapText="1"/>
      <protection locked="0"/>
    </xf>
    <xf numFmtId="0" fontId="28" fillId="10" borderId="29" xfId="8" applyFont="1" applyFill="1" applyBorder="1" applyAlignment="1">
      <alignment horizontal="center" vertical="center" wrapText="1"/>
    </xf>
    <xf numFmtId="0" fontId="28" fillId="10" borderId="30" xfId="8" applyFont="1" applyFill="1" applyBorder="1" applyAlignment="1">
      <alignment vertical="center" wrapText="1"/>
    </xf>
    <xf numFmtId="165" fontId="28" fillId="10" borderId="31" xfId="8" applyNumberFormat="1" applyFont="1" applyFill="1" applyBorder="1" applyAlignment="1" applyProtection="1">
      <alignment vertical="center" wrapText="1"/>
      <protection locked="0"/>
    </xf>
    <xf numFmtId="2" fontId="28" fillId="10" borderId="14" xfId="7" applyNumberFormat="1" applyFont="1" applyFill="1" applyBorder="1" applyAlignment="1">
      <alignment horizontal="center" vertical="center"/>
    </xf>
    <xf numFmtId="0" fontId="28" fillId="10" borderId="15" xfId="8" applyFont="1" applyFill="1" applyBorder="1" applyAlignment="1">
      <alignment horizontal="center" vertical="center" wrapText="1"/>
    </xf>
    <xf numFmtId="0" fontId="28" fillId="10" borderId="1" xfId="8" applyFont="1" applyFill="1" applyBorder="1" applyAlignment="1">
      <alignment vertical="center" wrapText="1"/>
    </xf>
    <xf numFmtId="165" fontId="28" fillId="10" borderId="2" xfId="8" applyNumberFormat="1" applyFont="1" applyFill="1" applyBorder="1" applyAlignment="1" applyProtection="1">
      <alignment vertical="center" wrapText="1"/>
      <protection locked="0"/>
    </xf>
    <xf numFmtId="2" fontId="1" fillId="10" borderId="1" xfId="7" applyNumberFormat="1" applyFont="1" applyFill="1" applyBorder="1" applyAlignment="1">
      <alignment horizontal="center" vertical="center"/>
    </xf>
    <xf numFmtId="0" fontId="1" fillId="10" borderId="14" xfId="8" applyFont="1" applyFill="1" applyBorder="1" applyAlignment="1">
      <alignment horizontal="left" vertical="center" wrapText="1" indent="1"/>
    </xf>
    <xf numFmtId="0" fontId="1" fillId="10" borderId="15" xfId="8" applyFont="1" applyFill="1" applyBorder="1" applyAlignment="1">
      <alignment horizontal="center" vertical="center" wrapText="1"/>
    </xf>
    <xf numFmtId="0" fontId="28" fillId="10" borderId="13" xfId="8" applyFont="1" applyFill="1" applyBorder="1" applyAlignment="1">
      <alignment horizontal="left" vertical="center" wrapText="1" indent="1"/>
    </xf>
    <xf numFmtId="2" fontId="28" fillId="10" borderId="27" xfId="7" applyNumberFormat="1" applyFont="1" applyFill="1" applyBorder="1" applyAlignment="1">
      <alignment horizontal="center" vertical="center"/>
    </xf>
    <xf numFmtId="0" fontId="1" fillId="10" borderId="32" xfId="8" applyFont="1" applyFill="1" applyBorder="1" applyAlignment="1">
      <alignment horizontal="center" vertical="center" wrapText="1"/>
    </xf>
    <xf numFmtId="165" fontId="1" fillId="10" borderId="33" xfId="8" applyNumberFormat="1" applyFont="1" applyFill="1" applyBorder="1" applyAlignment="1" applyProtection="1">
      <alignment vertical="center" wrapText="1"/>
      <protection locked="0"/>
    </xf>
    <xf numFmtId="2" fontId="1" fillId="10" borderId="30" xfId="7" applyNumberFormat="1" applyFont="1" applyFill="1" applyBorder="1" applyAlignment="1">
      <alignment horizontal="center" vertical="center"/>
    </xf>
    <xf numFmtId="165" fontId="1" fillId="10" borderId="2" xfId="8" applyNumberFormat="1" applyFont="1" applyFill="1" applyBorder="1" applyAlignment="1" applyProtection="1">
      <alignment vertical="center" wrapText="1"/>
      <protection locked="0"/>
    </xf>
    <xf numFmtId="0" fontId="1" fillId="10" borderId="34" xfId="8" applyFont="1" applyFill="1" applyBorder="1" applyAlignment="1">
      <alignment horizontal="center" vertical="center" wrapText="1"/>
    </xf>
    <xf numFmtId="0" fontId="1" fillId="10" borderId="35" xfId="8" applyFont="1" applyFill="1" applyBorder="1" applyAlignment="1">
      <alignment horizontal="left" indent="1"/>
    </xf>
    <xf numFmtId="165" fontId="1" fillId="10" borderId="36" xfId="8" applyNumberFormat="1" applyFont="1" applyFill="1" applyBorder="1" applyAlignment="1" applyProtection="1">
      <alignment vertical="center" wrapText="1"/>
      <protection locked="0"/>
    </xf>
    <xf numFmtId="0" fontId="1" fillId="10" borderId="7" xfId="8" applyFont="1" applyFill="1" applyBorder="1" applyAlignment="1">
      <alignment horizontal="center" vertical="center" wrapText="1"/>
    </xf>
    <xf numFmtId="0" fontId="28" fillId="10" borderId="21" xfId="8" applyFont="1" applyFill="1" applyBorder="1" applyAlignment="1">
      <alignment horizontal="left" indent="1"/>
    </xf>
    <xf numFmtId="0" fontId="28" fillId="10" borderId="37" xfId="8" applyFont="1" applyFill="1" applyBorder="1" applyAlignment="1">
      <alignment horizontal="center" vertical="center" wrapText="1"/>
    </xf>
    <xf numFmtId="0" fontId="28" fillId="10" borderId="14" xfId="8" applyFont="1" applyFill="1" applyBorder="1" applyAlignment="1">
      <alignment horizontal="left" indent="1"/>
    </xf>
    <xf numFmtId="0" fontId="1" fillId="10" borderId="37" xfId="8" applyFont="1" applyFill="1" applyBorder="1" applyAlignment="1">
      <alignment horizontal="center" vertical="center" wrapText="1"/>
    </xf>
    <xf numFmtId="165" fontId="35" fillId="10" borderId="33" xfId="8" applyNumberFormat="1" applyFont="1" applyFill="1" applyBorder="1" applyAlignment="1" applyProtection="1">
      <alignment vertical="center" wrapText="1"/>
      <protection locked="0"/>
    </xf>
    <xf numFmtId="0" fontId="28" fillId="10" borderId="35" xfId="8" applyFont="1" applyFill="1" applyBorder="1" applyAlignment="1">
      <alignment horizontal="left" indent="1"/>
    </xf>
    <xf numFmtId="0" fontId="1" fillId="10" borderId="0" xfId="8" applyFont="1" applyFill="1" applyAlignment="1">
      <alignment horizontal="center" vertical="center" wrapText="1"/>
    </xf>
    <xf numFmtId="0" fontId="28" fillId="10" borderId="27" xfId="8" applyFont="1" applyFill="1" applyBorder="1" applyAlignment="1">
      <alignment horizontal="left" indent="1"/>
    </xf>
    <xf numFmtId="0" fontId="35" fillId="10" borderId="32" xfId="8" applyFont="1" applyFill="1" applyBorder="1" applyAlignment="1">
      <alignment horizontal="center" vertical="center" wrapText="1"/>
    </xf>
    <xf numFmtId="0" fontId="1" fillId="10" borderId="14" xfId="8" applyFont="1" applyFill="1" applyBorder="1" applyAlignment="1">
      <alignment vertical="center" wrapText="1"/>
    </xf>
    <xf numFmtId="0" fontId="35" fillId="10" borderId="38" xfId="8" applyFont="1" applyFill="1" applyBorder="1" applyAlignment="1">
      <alignment horizontal="center" vertical="center" wrapText="1"/>
    </xf>
    <xf numFmtId="0" fontId="1" fillId="10" borderId="35" xfId="8" applyFont="1" applyFill="1" applyBorder="1" applyAlignment="1">
      <alignment vertical="center" wrapText="1"/>
    </xf>
    <xf numFmtId="2" fontId="1" fillId="10" borderId="27" xfId="7" applyNumberFormat="1" applyFont="1" applyFill="1" applyBorder="1" applyAlignment="1">
      <alignment horizontal="center" vertical="center"/>
    </xf>
    <xf numFmtId="0" fontId="35" fillId="10" borderId="20" xfId="8" applyFont="1" applyFill="1" applyBorder="1" applyAlignment="1">
      <alignment horizontal="center" vertical="center" wrapText="1"/>
    </xf>
    <xf numFmtId="0" fontId="28" fillId="10" borderId="13" xfId="8" applyFont="1" applyFill="1" applyBorder="1" applyAlignment="1">
      <alignment vertical="center" wrapText="1"/>
    </xf>
    <xf numFmtId="165" fontId="1" fillId="10" borderId="31" xfId="8" applyNumberFormat="1" applyFont="1" applyFill="1" applyBorder="1" applyAlignment="1">
      <alignment vertical="center" wrapText="1"/>
    </xf>
    <xf numFmtId="0" fontId="35" fillId="10" borderId="11" xfId="8" applyFont="1" applyFill="1" applyBorder="1" applyAlignment="1">
      <alignment horizontal="center" vertical="center" wrapText="1"/>
    </xf>
    <xf numFmtId="0" fontId="1" fillId="10" borderId="10" xfId="8" applyFont="1" applyFill="1" applyBorder="1" applyAlignment="1">
      <alignment horizontal="left" vertical="center" wrapText="1" indent="1"/>
    </xf>
    <xf numFmtId="165" fontId="1" fillId="10" borderId="39" xfId="8" applyNumberFormat="1" applyFont="1" applyFill="1" applyBorder="1" applyAlignment="1" applyProtection="1">
      <alignment vertical="center" wrapText="1"/>
      <protection locked="0"/>
    </xf>
    <xf numFmtId="0" fontId="28" fillId="10" borderId="21" xfId="8" applyFont="1" applyFill="1" applyBorder="1" applyAlignment="1">
      <alignment horizontal="left" vertical="center" wrapText="1" indent="1"/>
    </xf>
    <xf numFmtId="2" fontId="28" fillId="10" borderId="30" xfId="7" applyNumberFormat="1" applyFont="1" applyFill="1" applyBorder="1" applyAlignment="1">
      <alignment horizontal="center" vertical="center"/>
    </xf>
    <xf numFmtId="2" fontId="1" fillId="10" borderId="23" xfId="7" applyNumberFormat="1" applyFont="1" applyFill="1" applyBorder="1" applyAlignment="1">
      <alignment horizontal="center" vertical="center"/>
    </xf>
    <xf numFmtId="0" fontId="36" fillId="10" borderId="26" xfId="8" applyFont="1" applyFill="1" applyBorder="1" applyAlignment="1">
      <alignment horizontal="center" vertical="center" wrapText="1"/>
    </xf>
    <xf numFmtId="0" fontId="28" fillId="10" borderId="27" xfId="8" applyFont="1" applyFill="1" applyBorder="1" applyAlignment="1">
      <alignment vertical="center" wrapText="1"/>
    </xf>
    <xf numFmtId="165" fontId="28" fillId="10" borderId="28" xfId="8" applyNumberFormat="1" applyFont="1" applyFill="1" applyBorder="1" applyAlignment="1">
      <alignment vertical="center" wrapText="1"/>
    </xf>
    <xf numFmtId="2" fontId="28" fillId="10" borderId="21" xfId="8" applyNumberFormat="1" applyFont="1" applyFill="1" applyBorder="1" applyAlignment="1">
      <alignment horizontal="center" vertical="center" wrapText="1"/>
    </xf>
    <xf numFmtId="0" fontId="35" fillId="10" borderId="21" xfId="8" applyFont="1" applyFill="1" applyBorder="1" applyAlignment="1">
      <alignment horizontal="center" vertical="center" wrapText="1"/>
    </xf>
    <xf numFmtId="165" fontId="1" fillId="10" borderId="22" xfId="8" applyNumberFormat="1" applyFont="1" applyFill="1" applyBorder="1" applyAlignment="1" applyProtection="1">
      <alignment vertical="center" wrapText="1"/>
      <protection locked="0"/>
    </xf>
    <xf numFmtId="0" fontId="35" fillId="10" borderId="15" xfId="8" applyFont="1" applyFill="1" applyBorder="1" applyAlignment="1">
      <alignment horizontal="center" vertical="center" wrapText="1"/>
    </xf>
    <xf numFmtId="0" fontId="36" fillId="10" borderId="24" xfId="8" applyFont="1" applyFill="1" applyBorder="1" applyAlignment="1">
      <alignment horizontal="center" vertical="center" wrapText="1"/>
    </xf>
    <xf numFmtId="0" fontId="28" fillId="10" borderId="21" xfId="8" applyFont="1" applyFill="1" applyBorder="1" applyAlignment="1">
      <alignment horizontal="center" vertical="center" wrapText="1"/>
    </xf>
    <xf numFmtId="0" fontId="31" fillId="10" borderId="21" xfId="8" applyFont="1" applyFill="1" applyBorder="1" applyAlignment="1">
      <alignment vertical="center" wrapText="1"/>
    </xf>
    <xf numFmtId="165" fontId="28" fillId="10" borderId="21" xfId="8" applyNumberFormat="1" applyFont="1" applyFill="1" applyBorder="1" applyAlignment="1">
      <alignment vertical="center" wrapText="1"/>
    </xf>
    <xf numFmtId="0" fontId="31" fillId="10" borderId="0" xfId="8" applyFont="1" applyFill="1" applyAlignment="1">
      <alignment horizontal="center" vertical="center" wrapText="1"/>
    </xf>
    <xf numFmtId="0" fontId="31" fillId="10" borderId="0" xfId="8" applyFont="1" applyFill="1" applyAlignment="1">
      <alignment vertical="center" wrapText="1"/>
    </xf>
    <xf numFmtId="165" fontId="31" fillId="10" borderId="0" xfId="8" applyNumberFormat="1" applyFont="1" applyFill="1" applyAlignment="1">
      <alignment vertical="center" wrapText="1"/>
    </xf>
    <xf numFmtId="3" fontId="1" fillId="10" borderId="0" xfId="7" applyNumberFormat="1" applyFont="1" applyFill="1"/>
    <xf numFmtId="0" fontId="1" fillId="10" borderId="0" xfId="7" applyFont="1" applyFill="1" applyAlignment="1">
      <alignment horizontal="center" vertical="center"/>
    </xf>
    <xf numFmtId="0" fontId="1" fillId="10" borderId="29" xfId="8" applyFont="1" applyFill="1" applyBorder="1" applyAlignment="1">
      <alignment horizontal="center" vertical="center" wrapText="1"/>
    </xf>
    <xf numFmtId="0" fontId="1" fillId="10" borderId="30" xfId="8" applyFont="1" applyFill="1" applyBorder="1" applyAlignment="1">
      <alignment horizontal="left" vertical="center" wrapText="1" indent="1"/>
    </xf>
    <xf numFmtId="165" fontId="1" fillId="10" borderId="31" xfId="8" applyNumberFormat="1" applyFont="1" applyFill="1" applyBorder="1" applyAlignment="1" applyProtection="1">
      <alignment vertical="center" wrapText="1"/>
      <protection locked="0"/>
    </xf>
    <xf numFmtId="0" fontId="1" fillId="10" borderId="1" xfId="8" applyFont="1" applyFill="1" applyBorder="1" applyAlignment="1">
      <alignment horizontal="center" vertical="center" wrapText="1"/>
    </xf>
    <xf numFmtId="0" fontId="1" fillId="10" borderId="1" xfId="8" applyFont="1" applyFill="1" applyBorder="1" applyAlignment="1">
      <alignment horizontal="left" indent="1"/>
    </xf>
    <xf numFmtId="165" fontId="1" fillId="0" borderId="4" xfId="8" applyNumberFormat="1" applyFont="1" applyBorder="1" applyAlignment="1" applyProtection="1">
      <alignment vertical="center" wrapText="1"/>
      <protection locked="0"/>
    </xf>
    <xf numFmtId="0" fontId="1" fillId="10" borderId="38" xfId="8" applyFont="1" applyFill="1" applyBorder="1" applyAlignment="1">
      <alignment horizontal="center" vertical="center" wrapText="1"/>
    </xf>
    <xf numFmtId="0" fontId="1" fillId="10" borderId="35" xfId="8" applyFont="1" applyFill="1" applyBorder="1" applyAlignment="1">
      <alignment horizontal="left" vertical="center" wrapText="1" indent="1"/>
    </xf>
    <xf numFmtId="2" fontId="1" fillId="10" borderId="35" xfId="7" applyNumberFormat="1" applyFont="1" applyFill="1" applyBorder="1" applyAlignment="1">
      <alignment horizontal="center" vertical="center"/>
    </xf>
    <xf numFmtId="2" fontId="28" fillId="10" borderId="40" xfId="7" applyNumberFormat="1" applyFont="1" applyFill="1" applyBorder="1" applyAlignment="1">
      <alignment horizontal="center" vertical="center"/>
    </xf>
    <xf numFmtId="0" fontId="28" fillId="10" borderId="32" xfId="8" applyFont="1" applyFill="1" applyBorder="1" applyAlignment="1">
      <alignment horizontal="center" vertical="center" wrapText="1"/>
    </xf>
    <xf numFmtId="0" fontId="28" fillId="10" borderId="14" xfId="8" applyFont="1" applyFill="1" applyBorder="1" applyAlignment="1">
      <alignment vertical="center" wrapText="1"/>
    </xf>
    <xf numFmtId="165" fontId="1" fillId="10" borderId="14" xfId="8" applyNumberFormat="1" applyFont="1" applyFill="1" applyBorder="1" applyAlignment="1" applyProtection="1">
      <alignment vertical="center" wrapText="1"/>
      <protection locked="0"/>
    </xf>
    <xf numFmtId="3" fontId="1" fillId="10" borderId="14" xfId="7" applyNumberFormat="1" applyFont="1" applyFill="1" applyBorder="1"/>
    <xf numFmtId="3" fontId="1" fillId="10" borderId="1" xfId="7" applyNumberFormat="1" applyFont="1" applyFill="1" applyBorder="1"/>
    <xf numFmtId="0" fontId="28" fillId="10" borderId="35" xfId="8" applyFont="1" applyFill="1" applyBorder="1" applyAlignment="1">
      <alignment vertical="center" wrapText="1"/>
    </xf>
    <xf numFmtId="165" fontId="1" fillId="10" borderId="35" xfId="8" applyNumberFormat="1" applyFont="1" applyFill="1" applyBorder="1" applyAlignment="1" applyProtection="1">
      <alignment vertical="center" wrapText="1"/>
      <protection locked="0"/>
    </xf>
    <xf numFmtId="3" fontId="1" fillId="10" borderId="35" xfId="7" applyNumberFormat="1" applyFont="1" applyFill="1" applyBorder="1"/>
    <xf numFmtId="165" fontId="1" fillId="0" borderId="36" xfId="8" applyNumberFormat="1" applyFont="1" applyBorder="1" applyAlignment="1" applyProtection="1">
      <alignment vertical="center" wrapText="1"/>
      <protection locked="0"/>
    </xf>
    <xf numFmtId="165" fontId="1" fillId="0" borderId="35" xfId="8" applyNumberFormat="1" applyFont="1" applyBorder="1" applyAlignment="1" applyProtection="1">
      <alignment vertical="center" wrapText="1"/>
      <protection locked="0"/>
    </xf>
    <xf numFmtId="3" fontId="1" fillId="0" borderId="35" xfId="7" applyNumberFormat="1" applyFont="1" applyBorder="1"/>
    <xf numFmtId="165" fontId="28" fillId="10" borderId="21" xfId="8" applyNumberFormat="1" applyFont="1" applyFill="1" applyBorder="1" applyAlignment="1" applyProtection="1">
      <alignment vertical="center" wrapText="1"/>
      <protection locked="0"/>
    </xf>
    <xf numFmtId="0" fontId="1" fillId="10" borderId="30" xfId="8" applyFont="1" applyFill="1" applyBorder="1" applyAlignment="1">
      <alignment vertical="center" wrapText="1"/>
    </xf>
    <xf numFmtId="165" fontId="1" fillId="10" borderId="30" xfId="8" applyNumberFormat="1" applyFont="1" applyFill="1" applyBorder="1" applyAlignment="1">
      <alignment vertical="center" wrapText="1"/>
    </xf>
    <xf numFmtId="165" fontId="1" fillId="10" borderId="27" xfId="8" applyNumberFormat="1" applyFont="1" applyFill="1" applyBorder="1" applyAlignment="1" applyProtection="1">
      <alignment vertical="center" wrapText="1"/>
      <protection locked="0"/>
    </xf>
    <xf numFmtId="0" fontId="28" fillId="10" borderId="21" xfId="8" applyFont="1" applyFill="1" applyBorder="1" applyAlignment="1">
      <alignment horizontal="center"/>
    </xf>
    <xf numFmtId="0" fontId="31" fillId="10" borderId="21" xfId="8" applyFont="1" applyFill="1" applyBorder="1"/>
    <xf numFmtId="0" fontId="37" fillId="10" borderId="21" xfId="8" applyFont="1" applyFill="1" applyBorder="1"/>
    <xf numFmtId="3" fontId="28" fillId="10" borderId="21" xfId="7" applyNumberFormat="1" applyFont="1" applyFill="1" applyBorder="1"/>
    <xf numFmtId="0" fontId="1" fillId="10" borderId="21" xfId="7" applyFont="1" applyFill="1" applyBorder="1" applyAlignment="1">
      <alignment horizontal="center"/>
    </xf>
    <xf numFmtId="0" fontId="28" fillId="10" borderId="21" xfId="7" applyFont="1" applyFill="1" applyBorder="1"/>
    <xf numFmtId="165" fontId="28" fillId="10" borderId="21" xfId="7" applyNumberFormat="1" applyFont="1" applyFill="1" applyBorder="1"/>
    <xf numFmtId="2" fontId="1" fillId="10" borderId="10" xfId="7" applyNumberFormat="1" applyFont="1" applyFill="1" applyBorder="1" applyAlignment="1">
      <alignment horizontal="center" vertical="center"/>
    </xf>
    <xf numFmtId="0" fontId="0" fillId="0" borderId="41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9" fillId="0" borderId="41" xfId="0" applyFont="1" applyBorder="1" applyAlignment="1">
      <alignment vertical="center"/>
    </xf>
    <xf numFmtId="0" fontId="0" fillId="0" borderId="8" xfId="0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0" xfId="0" applyFont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44" xfId="0" applyBorder="1" applyAlignment="1">
      <alignment vertical="center"/>
    </xf>
    <xf numFmtId="0" fontId="40" fillId="0" borderId="5" xfId="0" applyFon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46" xfId="0" applyBorder="1" applyAlignment="1">
      <alignment vertical="center"/>
    </xf>
    <xf numFmtId="0" fontId="41" fillId="0" borderId="34" xfId="0" applyFont="1" applyBorder="1" applyAlignment="1">
      <alignment horizontal="center" vertical="center"/>
    </xf>
    <xf numFmtId="3" fontId="0" fillId="0" borderId="35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4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47" xfId="0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3" fontId="0" fillId="0" borderId="27" xfId="0" applyNumberFormat="1" applyBorder="1" applyAlignment="1">
      <alignment vertical="center"/>
    </xf>
    <xf numFmtId="3" fontId="0" fillId="0" borderId="48" xfId="0" applyNumberFormat="1" applyBorder="1" applyAlignment="1">
      <alignment vertical="center"/>
    </xf>
    <xf numFmtId="3" fontId="31" fillId="0" borderId="21" xfId="0" applyNumberFormat="1" applyFont="1" applyBorder="1" applyAlignment="1">
      <alignment vertical="center"/>
    </xf>
    <xf numFmtId="3" fontId="31" fillId="0" borderId="49" xfId="0" applyNumberFormat="1" applyFont="1" applyBorder="1" applyAlignment="1">
      <alignment vertical="center"/>
    </xf>
    <xf numFmtId="0" fontId="42" fillId="0" borderId="0" xfId="0" applyFont="1"/>
    <xf numFmtId="165" fontId="42" fillId="0" borderId="0" xfId="6" applyNumberFormat="1" applyFont="1" applyAlignment="1">
      <alignment horizontal="center" vertical="center" wrapText="1"/>
    </xf>
    <xf numFmtId="165" fontId="42" fillId="0" borderId="0" xfId="6" applyNumberFormat="1" applyFont="1" applyAlignment="1">
      <alignment vertical="center" wrapText="1"/>
    </xf>
    <xf numFmtId="165" fontId="28" fillId="0" borderId="51" xfId="6" applyNumberFormat="1" applyFont="1" applyBorder="1" applyAlignment="1">
      <alignment horizontal="center" vertical="center" wrapText="1"/>
    </xf>
    <xf numFmtId="165" fontId="28" fillId="0" borderId="23" xfId="6" applyNumberFormat="1" applyFont="1" applyBorder="1" applyAlignment="1">
      <alignment horizontal="center" vertical="center" wrapText="1"/>
    </xf>
    <xf numFmtId="165" fontId="28" fillId="0" borderId="24" xfId="6" applyNumberFormat="1" applyFont="1" applyBorder="1" applyAlignment="1">
      <alignment horizontal="center" vertical="center" wrapText="1"/>
    </xf>
    <xf numFmtId="165" fontId="28" fillId="0" borderId="49" xfId="6" applyNumberFormat="1" applyFont="1" applyBorder="1" applyAlignment="1">
      <alignment horizontal="center" vertical="center" wrapText="1"/>
    </xf>
    <xf numFmtId="165" fontId="28" fillId="0" borderId="52" xfId="6" applyNumberFormat="1" applyFont="1" applyBorder="1" applyAlignment="1">
      <alignment horizontal="center" vertical="center" wrapText="1"/>
    </xf>
    <xf numFmtId="165" fontId="28" fillId="0" borderId="21" xfId="6" applyNumberFormat="1" applyFont="1" applyBorder="1" applyAlignment="1">
      <alignment horizontal="center" vertical="center" wrapText="1"/>
    </xf>
    <xf numFmtId="165" fontId="28" fillId="0" borderId="20" xfId="6" applyNumberFormat="1" applyFont="1" applyBorder="1" applyAlignment="1">
      <alignment horizontal="center" vertical="center" wrapText="1"/>
    </xf>
    <xf numFmtId="165" fontId="1" fillId="0" borderId="53" xfId="6" applyNumberFormat="1" applyFont="1" applyBorder="1" applyAlignment="1">
      <alignment vertical="center" wrapText="1"/>
    </xf>
    <xf numFmtId="165" fontId="1" fillId="0" borderId="31" xfId="6" applyNumberFormat="1" applyFont="1" applyBorder="1" applyAlignment="1" applyProtection="1">
      <alignment vertical="center" wrapText="1"/>
      <protection locked="0"/>
    </xf>
    <xf numFmtId="2" fontId="1" fillId="0" borderId="54" xfId="0" applyNumberFormat="1" applyFont="1" applyBorder="1" applyAlignment="1">
      <alignment vertical="center"/>
    </xf>
    <xf numFmtId="165" fontId="1" fillId="0" borderId="29" xfId="6" applyNumberFormat="1" applyFont="1" applyBorder="1" applyAlignment="1">
      <alignment vertical="center" wrapText="1"/>
    </xf>
    <xf numFmtId="165" fontId="1" fillId="0" borderId="33" xfId="6" applyNumberFormat="1" applyFont="1" applyBorder="1" applyAlignment="1" applyProtection="1">
      <alignment vertical="center" wrapText="1"/>
      <protection locked="0"/>
    </xf>
    <xf numFmtId="165" fontId="1" fillId="0" borderId="55" xfId="6" applyNumberFormat="1" applyFont="1" applyBorder="1" applyAlignment="1">
      <alignment vertical="center" wrapText="1"/>
    </xf>
    <xf numFmtId="165" fontId="1" fillId="0" borderId="4" xfId="6" applyNumberFormat="1" applyFont="1" applyBorder="1" applyAlignment="1" applyProtection="1">
      <alignment vertical="center" wrapText="1"/>
      <protection locked="0"/>
    </xf>
    <xf numFmtId="2" fontId="1" fillId="0" borderId="45" xfId="0" applyNumberFormat="1" applyFont="1" applyBorder="1" applyAlignment="1">
      <alignment vertical="center"/>
    </xf>
    <xf numFmtId="165" fontId="1" fillId="0" borderId="3" xfId="6" applyNumberFormat="1" applyFont="1" applyBorder="1" applyAlignment="1">
      <alignment vertical="center" wrapText="1"/>
    </xf>
    <xf numFmtId="0" fontId="1" fillId="0" borderId="17" xfId="0" applyFont="1" applyBorder="1"/>
    <xf numFmtId="3" fontId="1" fillId="0" borderId="4" xfId="6" applyNumberFormat="1" applyFont="1" applyBorder="1" applyAlignment="1" applyProtection="1">
      <alignment vertical="center" wrapText="1"/>
      <protection locked="0"/>
    </xf>
    <xf numFmtId="165" fontId="1" fillId="0" borderId="55" xfId="6" applyNumberFormat="1" applyFont="1" applyBorder="1" applyAlignment="1" applyProtection="1">
      <alignment vertical="center" wrapText="1"/>
      <protection locked="0"/>
    </xf>
    <xf numFmtId="165" fontId="1" fillId="0" borderId="1" xfId="6" applyNumberFormat="1" applyFont="1" applyBorder="1" applyAlignment="1" applyProtection="1">
      <alignment vertical="center" wrapText="1"/>
      <protection locked="0"/>
    </xf>
    <xf numFmtId="2" fontId="1" fillId="0" borderId="45" xfId="6" applyNumberFormat="1" applyFont="1" applyBorder="1" applyAlignment="1" applyProtection="1">
      <alignment vertical="center" wrapText="1"/>
      <protection locked="0"/>
    </xf>
    <xf numFmtId="165" fontId="1" fillId="0" borderId="15" xfId="6" applyNumberFormat="1" applyFont="1" applyBorder="1" applyAlignment="1" applyProtection="1">
      <alignment vertical="center" wrapText="1"/>
      <protection locked="0"/>
    </xf>
    <xf numFmtId="3" fontId="1" fillId="0" borderId="1" xfId="0" applyNumberFormat="1" applyFont="1" applyBorder="1" applyAlignment="1">
      <alignment vertical="center"/>
    </xf>
    <xf numFmtId="165" fontId="1" fillId="0" borderId="56" xfId="6" applyNumberFormat="1" applyFont="1" applyBorder="1" applyAlignment="1" applyProtection="1">
      <alignment vertical="center" wrapText="1"/>
      <protection locked="0"/>
    </xf>
    <xf numFmtId="165" fontId="1" fillId="0" borderId="36" xfId="6" applyNumberFormat="1" applyFont="1" applyBorder="1" applyAlignment="1" applyProtection="1">
      <alignment vertical="center" wrapText="1"/>
      <protection locked="0"/>
    </xf>
    <xf numFmtId="165" fontId="1" fillId="0" borderId="35" xfId="6" applyNumberFormat="1" applyFont="1" applyBorder="1" applyAlignment="1" applyProtection="1">
      <alignment vertical="center" wrapText="1"/>
      <protection locked="0"/>
    </xf>
    <xf numFmtId="2" fontId="1" fillId="0" borderId="57" xfId="6" applyNumberFormat="1" applyFont="1" applyBorder="1" applyAlignment="1" applyProtection="1">
      <alignment vertical="center" wrapText="1"/>
      <protection locked="0"/>
    </xf>
    <xf numFmtId="165" fontId="1" fillId="0" borderId="3" xfId="6" applyNumberFormat="1" applyFont="1" applyBorder="1" applyAlignment="1" applyProtection="1">
      <alignment vertical="center" wrapText="1"/>
      <protection locked="0"/>
    </xf>
    <xf numFmtId="165" fontId="28" fillId="10" borderId="58" xfId="6" applyNumberFormat="1" applyFont="1" applyFill="1" applyBorder="1" applyAlignment="1">
      <alignment horizontal="left" vertical="center" wrapText="1" indent="1"/>
    </xf>
    <xf numFmtId="165" fontId="28" fillId="10" borderId="28" xfId="6" applyNumberFormat="1" applyFont="1" applyFill="1" applyBorder="1" applyAlignment="1">
      <alignment vertical="center" wrapText="1"/>
    </xf>
    <xf numFmtId="165" fontId="28" fillId="10" borderId="27" xfId="6" applyNumberFormat="1" applyFont="1" applyFill="1" applyBorder="1" applyAlignment="1">
      <alignment vertical="center" wrapText="1"/>
    </xf>
    <xf numFmtId="2" fontId="28" fillId="0" borderId="49" xfId="0" applyNumberFormat="1" applyFont="1" applyBorder="1"/>
    <xf numFmtId="165" fontId="28" fillId="10" borderId="52" xfId="6" applyNumberFormat="1" applyFont="1" applyFill="1" applyBorder="1" applyAlignment="1">
      <alignment horizontal="left" vertical="center" wrapText="1" indent="1"/>
    </xf>
    <xf numFmtId="165" fontId="28" fillId="10" borderId="22" xfId="6" applyNumberFormat="1" applyFont="1" applyFill="1" applyBorder="1" applyAlignment="1">
      <alignment vertical="center" wrapText="1"/>
    </xf>
    <xf numFmtId="0" fontId="1" fillId="0" borderId="0" xfId="0" applyFont="1"/>
    <xf numFmtId="3" fontId="1" fillId="0" borderId="0" xfId="0" applyNumberFormat="1" applyFont="1" applyAlignment="1">
      <alignment vertical="center"/>
    </xf>
    <xf numFmtId="165" fontId="1" fillId="0" borderId="0" xfId="6" applyNumberFormat="1" applyFont="1" applyAlignment="1">
      <alignment horizontal="center" vertical="center" wrapText="1"/>
    </xf>
    <xf numFmtId="165" fontId="1" fillId="0" borderId="0" xfId="6" applyNumberFormat="1" applyFont="1" applyAlignment="1">
      <alignment vertical="center" wrapText="1"/>
    </xf>
    <xf numFmtId="165" fontId="1" fillId="0" borderId="14" xfId="6" applyNumberFormat="1" applyFont="1" applyBorder="1" applyAlignment="1" applyProtection="1">
      <alignment vertical="center" wrapText="1"/>
      <protection locked="0"/>
    </xf>
    <xf numFmtId="165" fontId="1" fillId="0" borderId="32" xfId="6" applyNumberFormat="1" applyFont="1" applyBorder="1" applyAlignment="1" applyProtection="1">
      <alignment vertical="center" wrapText="1"/>
      <protection locked="0"/>
    </xf>
    <xf numFmtId="166" fontId="1" fillId="0" borderId="32" xfId="6" applyNumberFormat="1" applyFont="1" applyBorder="1" applyAlignment="1" applyProtection="1">
      <alignment vertical="center" wrapText="1"/>
      <protection locked="0"/>
    </xf>
    <xf numFmtId="165" fontId="1" fillId="0" borderId="59" xfId="6" applyNumberFormat="1" applyFont="1" applyBorder="1" applyAlignment="1">
      <alignment vertical="center" wrapText="1"/>
    </xf>
    <xf numFmtId="165" fontId="42" fillId="0" borderId="4" xfId="6" applyNumberFormat="1" applyFont="1" applyBorder="1" applyAlignment="1" applyProtection="1">
      <alignment vertical="center" wrapText="1"/>
      <protection locked="0"/>
    </xf>
    <xf numFmtId="3" fontId="42" fillId="0" borderId="1" xfId="0" applyNumberFormat="1" applyFont="1" applyBorder="1" applyAlignment="1">
      <alignment vertical="center"/>
    </xf>
    <xf numFmtId="2" fontId="42" fillId="0" borderId="54" xfId="0" applyNumberFormat="1" applyFont="1" applyBorder="1" applyAlignment="1">
      <alignment vertical="center"/>
    </xf>
    <xf numFmtId="165" fontId="1" fillId="0" borderId="60" xfId="6" applyNumberFormat="1" applyFont="1" applyBorder="1" applyAlignment="1">
      <alignment vertical="center" wrapText="1"/>
    </xf>
    <xf numFmtId="165" fontId="1" fillId="0" borderId="60" xfId="6" applyNumberFormat="1" applyFont="1" applyBorder="1" applyAlignment="1" applyProtection="1">
      <alignment vertical="center" wrapText="1"/>
      <protection locked="0"/>
    </xf>
    <xf numFmtId="165" fontId="1" fillId="0" borderId="39" xfId="6" applyNumberFormat="1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>
      <alignment vertical="center"/>
    </xf>
    <xf numFmtId="2" fontId="1" fillId="0" borderId="43" xfId="0" applyNumberFormat="1" applyFont="1" applyBorder="1" applyAlignment="1">
      <alignment vertical="center"/>
    </xf>
    <xf numFmtId="165" fontId="28" fillId="10" borderId="21" xfId="6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5" fontId="1" fillId="0" borderId="12" xfId="6" applyNumberFormat="1" applyFont="1" applyFill="1" applyBorder="1" applyAlignment="1">
      <alignment vertical="center" wrapText="1"/>
    </xf>
    <xf numFmtId="165" fontId="0" fillId="0" borderId="0" xfId="0" applyNumberFormat="1"/>
    <xf numFmtId="0" fontId="43" fillId="0" borderId="0" xfId="3" applyFont="1" applyAlignment="1">
      <alignment vertical="center" wrapText="1"/>
    </xf>
    <xf numFmtId="3" fontId="43" fillId="0" borderId="0" xfId="3" applyNumberFormat="1" applyFont="1" applyAlignment="1">
      <alignment vertical="center" wrapText="1"/>
    </xf>
    <xf numFmtId="0" fontId="43" fillId="0" borderId="1" xfId="3" applyFont="1" applyBorder="1" applyAlignment="1">
      <alignment horizontal="center" vertical="center" wrapText="1"/>
    </xf>
    <xf numFmtId="3" fontId="43" fillId="0" borderId="1" xfId="3" applyNumberFormat="1" applyFont="1" applyBorder="1" applyAlignment="1">
      <alignment horizontal="center" vertical="center" wrapText="1"/>
    </xf>
    <xf numFmtId="165" fontId="42" fillId="0" borderId="1" xfId="6" applyNumberFormat="1" applyFont="1" applyBorder="1" applyAlignment="1">
      <alignment horizontal="center" vertical="center" wrapText="1"/>
    </xf>
    <xf numFmtId="0" fontId="43" fillId="0" borderId="1" xfId="3" applyFont="1" applyBorder="1" applyAlignment="1">
      <alignment vertical="center" wrapText="1"/>
    </xf>
    <xf numFmtId="3" fontId="43" fillId="0" borderId="1" xfId="3" applyNumberFormat="1" applyFont="1" applyBorder="1" applyAlignment="1">
      <alignment vertical="center" wrapText="1"/>
    </xf>
    <xf numFmtId="0" fontId="17" fillId="8" borderId="0" xfId="0" applyFont="1" applyFill="1" applyBorder="1" applyAlignment="1">
      <alignment horizontal="left" wrapText="1"/>
    </xf>
    <xf numFmtId="164" fontId="17" fillId="8" borderId="0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Border="1" applyAlignment="1">
      <alignment vertical="center"/>
    </xf>
    <xf numFmtId="0" fontId="0" fillId="0" borderId="0" xfId="0" applyBorder="1" applyAlignment="1"/>
    <xf numFmtId="0" fontId="18" fillId="8" borderId="1" xfId="0" applyFont="1" applyFill="1" applyBorder="1" applyAlignment="1">
      <alignment horizontal="right" wrapText="1"/>
    </xf>
    <xf numFmtId="3" fontId="18" fillId="8" borderId="1" xfId="0" applyNumberFormat="1" applyFont="1" applyFill="1" applyBorder="1" applyAlignment="1">
      <alignment horizontal="right" vertical="center" wrapText="1"/>
    </xf>
    <xf numFmtId="3" fontId="17" fillId="8" borderId="1" xfId="0" applyNumberFormat="1" applyFont="1" applyFill="1" applyBorder="1" applyAlignment="1">
      <alignment horizontal="right" vertical="center" wrapText="1"/>
    </xf>
    <xf numFmtId="0" fontId="19" fillId="8" borderId="1" xfId="0" applyFont="1" applyFill="1" applyBorder="1" applyAlignment="1">
      <alignment wrapText="1"/>
    </xf>
    <xf numFmtId="164" fontId="17" fillId="8" borderId="1" xfId="0" applyNumberFormat="1" applyFont="1" applyFill="1" applyBorder="1" applyAlignment="1">
      <alignment horizontal="right" vertical="center" wrapText="1"/>
    </xf>
    <xf numFmtId="165" fontId="34" fillId="0" borderId="10" xfId="6" applyNumberFormat="1" applyFont="1" applyBorder="1" applyAlignment="1">
      <alignment horizontal="center" vertical="center" wrapText="1"/>
    </xf>
    <xf numFmtId="165" fontId="42" fillId="10" borderId="3" xfId="6" applyNumberFormat="1" applyFont="1" applyFill="1" applyBorder="1" applyAlignment="1">
      <alignment vertical="center" wrapText="1"/>
    </xf>
    <xf numFmtId="2" fontId="34" fillId="0" borderId="1" xfId="6" applyNumberFormat="1" applyFont="1" applyBorder="1" applyAlignment="1" applyProtection="1">
      <alignment vertical="center" wrapText="1"/>
      <protection locked="0"/>
    </xf>
    <xf numFmtId="0" fontId="34" fillId="0" borderId="1" xfId="0" applyFont="1" applyBorder="1"/>
    <xf numFmtId="165" fontId="34" fillId="0" borderId="11" xfId="6" applyNumberFormat="1" applyFont="1" applyBorder="1" applyAlignment="1">
      <alignment horizontal="center" vertical="center" wrapText="1"/>
    </xf>
    <xf numFmtId="0" fontId="34" fillId="0" borderId="3" xfId="0" applyFont="1" applyBorder="1"/>
    <xf numFmtId="0" fontId="42" fillId="0" borderId="1" xfId="0" applyFont="1" applyBorder="1" applyAlignment="1">
      <alignment horizontal="left" vertical="center"/>
    </xf>
    <xf numFmtId="0" fontId="42" fillId="0" borderId="1" xfId="0" applyFont="1" applyBorder="1"/>
    <xf numFmtId="165" fontId="42" fillId="10" borderId="1" xfId="6" applyNumberFormat="1" applyFont="1" applyFill="1" applyBorder="1" applyAlignment="1">
      <alignment horizontal="left" vertical="center" wrapText="1"/>
    </xf>
    <xf numFmtId="165" fontId="42" fillId="10" borderId="1" xfId="6" applyNumberFormat="1" applyFont="1" applyFill="1" applyBorder="1" applyAlignment="1">
      <alignment vertical="center" wrapText="1"/>
    </xf>
    <xf numFmtId="2" fontId="45" fillId="0" borderId="1" xfId="6" applyNumberFormat="1" applyFont="1" applyBorder="1" applyAlignment="1" applyProtection="1">
      <alignment vertical="center" wrapText="1"/>
      <protection locked="0"/>
    </xf>
    <xf numFmtId="2" fontId="46" fillId="10" borderId="14" xfId="7" applyNumberFormat="1" applyFont="1" applyFill="1" applyBorder="1" applyAlignment="1">
      <alignment horizontal="center" vertical="center"/>
    </xf>
    <xf numFmtId="2" fontId="45" fillId="10" borderId="14" xfId="7" applyNumberFormat="1" applyFont="1" applyFill="1" applyBorder="1" applyAlignment="1">
      <alignment horizontal="center" vertical="center"/>
    </xf>
    <xf numFmtId="0" fontId="0" fillId="0" borderId="51" xfId="0" applyBorder="1"/>
    <xf numFmtId="0" fontId="28" fillId="0" borderId="23" xfId="0" applyFont="1" applyBorder="1" applyAlignment="1">
      <alignment vertical="center" wrapText="1"/>
    </xf>
    <xf numFmtId="0" fontId="28" fillId="0" borderId="42" xfId="0" applyFont="1" applyBorder="1" applyAlignment="1">
      <alignment horizontal="center" vertical="center" wrapText="1"/>
    </xf>
    <xf numFmtId="0" fontId="1" fillId="0" borderId="5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0" fontId="28" fillId="0" borderId="58" xfId="0" applyFont="1" applyBorder="1" applyAlignment="1">
      <alignment vertical="center" wrapText="1"/>
    </xf>
    <xf numFmtId="3" fontId="28" fillId="0" borderId="48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3" fillId="0" borderId="1" xfId="0" applyFont="1" applyBorder="1"/>
    <xf numFmtId="0" fontId="23" fillId="0" borderId="3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3" fontId="28" fillId="0" borderId="1" xfId="0" applyNumberFormat="1" applyFont="1" applyBorder="1" applyAlignment="1">
      <alignment vertical="center"/>
    </xf>
    <xf numFmtId="0" fontId="49" fillId="0" borderId="1" xfId="0" applyFont="1" applyBorder="1" applyAlignment="1">
      <alignment horizontal="center" vertical="center"/>
    </xf>
    <xf numFmtId="3" fontId="50" fillId="0" borderId="1" xfId="0" applyNumberFormat="1" applyFont="1" applyBorder="1" applyAlignment="1">
      <alignment vertical="center"/>
    </xf>
    <xf numFmtId="0" fontId="50" fillId="0" borderId="1" xfId="0" applyFont="1" applyBorder="1" applyAlignment="1">
      <alignment vertical="center"/>
    </xf>
    <xf numFmtId="3" fontId="1" fillId="0" borderId="0" xfId="0" applyNumberFormat="1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center" vertical="center" wrapText="1"/>
    </xf>
    <xf numFmtId="0" fontId="52" fillId="0" borderId="53" xfId="0" applyFont="1" applyBorder="1" applyAlignment="1">
      <alignment horizontal="centerContinuous" vertical="center" wrapText="1"/>
    </xf>
    <xf numFmtId="3" fontId="53" fillId="0" borderId="30" xfId="0" applyNumberFormat="1" applyFont="1" applyBorder="1" applyAlignment="1">
      <alignment horizontal="center" vertical="center" wrapText="1"/>
    </xf>
    <xf numFmtId="3" fontId="53" fillId="0" borderId="30" xfId="0" applyNumberFormat="1" applyFont="1" applyBorder="1" applyAlignment="1">
      <alignment horizontal="center" vertical="center"/>
    </xf>
    <xf numFmtId="0" fontId="53" fillId="0" borderId="61" xfId="0" applyFont="1" applyBorder="1" applyAlignment="1">
      <alignment horizontal="centerContinuous" vertical="center" wrapText="1"/>
    </xf>
    <xf numFmtId="0" fontId="1" fillId="0" borderId="55" xfId="0" applyFont="1" applyBorder="1" applyAlignment="1">
      <alignment horizontal="centerContinuous" vertical="center" wrapText="1"/>
    </xf>
    <xf numFmtId="0" fontId="1" fillId="0" borderId="45" xfId="0" applyFont="1" applyBorder="1" applyAlignment="1">
      <alignment horizontal="centerContinuous" vertical="center"/>
    </xf>
    <xf numFmtId="49" fontId="36" fillId="0" borderId="55" xfId="0" applyNumberFormat="1" applyFont="1" applyBorder="1" applyAlignment="1">
      <alignment horizontal="center" vertical="center" wrapText="1"/>
    </xf>
    <xf numFmtId="3" fontId="36" fillId="0" borderId="1" xfId="0" applyNumberFormat="1" applyFont="1" applyBorder="1" applyAlignment="1">
      <alignment horizontal="center" vertical="center"/>
    </xf>
    <xf numFmtId="49" fontId="36" fillId="0" borderId="45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 wrapText="1"/>
    </xf>
    <xf numFmtId="3" fontId="1" fillId="0" borderId="1" xfId="0" applyNumberFormat="1" applyFont="1" applyBorder="1" applyAlignment="1" applyProtection="1">
      <alignment horizontal="right" vertical="center"/>
      <protection locked="0"/>
    </xf>
    <xf numFmtId="167" fontId="1" fillId="0" borderId="45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 applyProtection="1">
      <alignment vertical="center"/>
      <protection locked="0"/>
    </xf>
    <xf numFmtId="0" fontId="28" fillId="0" borderId="55" xfId="0" applyFont="1" applyBorder="1" applyAlignment="1">
      <alignment horizontal="left" vertical="center" wrapText="1"/>
    </xf>
    <xf numFmtId="3" fontId="28" fillId="0" borderId="1" xfId="0" applyNumberFormat="1" applyFont="1" applyBorder="1" applyAlignment="1">
      <alignment horizontal="right" vertical="center"/>
    </xf>
    <xf numFmtId="167" fontId="28" fillId="0" borderId="45" xfId="0" applyNumberFormat="1" applyFont="1" applyBorder="1" applyAlignment="1">
      <alignment horizontal="right" vertical="center"/>
    </xf>
    <xf numFmtId="3" fontId="28" fillId="0" borderId="1" xfId="0" applyNumberFormat="1" applyFont="1" applyBorder="1" applyAlignment="1" applyProtection="1">
      <alignment horizontal="right" vertical="center"/>
      <protection locked="0"/>
    </xf>
    <xf numFmtId="0" fontId="33" fillId="0" borderId="55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 applyProtection="1">
      <alignment vertical="center"/>
      <protection locked="0"/>
    </xf>
    <xf numFmtId="0" fontId="52" fillId="0" borderId="55" xfId="0" applyFont="1" applyBorder="1" applyAlignment="1">
      <alignment horizontal="center" vertical="center" wrapText="1"/>
    </xf>
    <xf numFmtId="3" fontId="53" fillId="0" borderId="1" xfId="0" applyNumberFormat="1" applyFont="1" applyBorder="1" applyAlignment="1">
      <alignment horizontal="center" vertical="center" wrapText="1"/>
    </xf>
    <xf numFmtId="3" fontId="53" fillId="0" borderId="1" xfId="0" applyNumberFormat="1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/>
    </xf>
    <xf numFmtId="0" fontId="42" fillId="0" borderId="55" xfId="0" applyFont="1" applyBorder="1" applyAlignment="1">
      <alignment vertical="center" wrapText="1"/>
    </xf>
    <xf numFmtId="0" fontId="28" fillId="0" borderId="55" xfId="0" applyFont="1" applyBorder="1" applyAlignment="1">
      <alignment vertical="center" wrapText="1"/>
    </xf>
    <xf numFmtId="0" fontId="33" fillId="0" borderId="56" xfId="0" applyFont="1" applyBorder="1" applyAlignment="1">
      <alignment horizontal="left" vertical="center" wrapText="1"/>
    </xf>
    <xf numFmtId="3" fontId="28" fillId="0" borderId="35" xfId="0" applyNumberFormat="1" applyFont="1" applyBorder="1" applyAlignment="1">
      <alignment horizontal="right" vertical="center"/>
    </xf>
    <xf numFmtId="167" fontId="28" fillId="0" borderId="18" xfId="0" applyNumberFormat="1" applyFont="1" applyBorder="1" applyAlignment="1">
      <alignment horizontal="right" vertical="center"/>
    </xf>
    <xf numFmtId="165" fontId="28" fillId="0" borderId="0" xfId="6" applyNumberFormat="1" applyFont="1" applyAlignment="1">
      <alignment horizontal="center" vertical="center" wrapText="1"/>
    </xf>
    <xf numFmtId="168" fontId="1" fillId="0" borderId="0" xfId="6" applyNumberFormat="1" applyFont="1" applyAlignment="1">
      <alignment horizontal="center" vertical="center" wrapText="1"/>
    </xf>
    <xf numFmtId="165" fontId="1" fillId="0" borderId="0" xfId="6" applyNumberFormat="1" applyFont="1" applyAlignment="1">
      <alignment horizontal="right" vertical="center" wrapText="1"/>
    </xf>
    <xf numFmtId="165" fontId="1" fillId="0" borderId="10" xfId="6" applyNumberFormat="1" applyFont="1" applyBorder="1" applyAlignment="1">
      <alignment horizontal="center" vertical="center" wrapText="1"/>
    </xf>
    <xf numFmtId="168" fontId="1" fillId="0" borderId="10" xfId="6" applyNumberFormat="1" applyFont="1" applyBorder="1" applyAlignment="1">
      <alignment horizontal="center" vertical="center" wrapText="1"/>
    </xf>
    <xf numFmtId="165" fontId="1" fillId="0" borderId="13" xfId="6" applyNumberFormat="1" applyFont="1" applyBorder="1" applyAlignment="1">
      <alignment horizontal="center" vertical="center" wrapText="1"/>
    </xf>
    <xf numFmtId="168" fontId="1" fillId="0" borderId="13" xfId="6" applyNumberFormat="1" applyFont="1" applyBorder="1" applyAlignment="1">
      <alignment horizontal="center" vertical="center" wrapText="1"/>
    </xf>
    <xf numFmtId="165" fontId="1" fillId="0" borderId="14" xfId="6" applyNumberFormat="1" applyFont="1" applyBorder="1" applyAlignment="1">
      <alignment horizontal="center" vertical="center" wrapText="1"/>
    </xf>
    <xf numFmtId="168" fontId="1" fillId="0" borderId="14" xfId="6" applyNumberFormat="1" applyFont="1" applyBorder="1" applyAlignment="1">
      <alignment horizontal="center" vertical="center" wrapText="1"/>
    </xf>
    <xf numFmtId="1" fontId="1" fillId="0" borderId="14" xfId="6" applyNumberFormat="1" applyFont="1" applyBorder="1" applyAlignment="1">
      <alignment horizontal="center" vertical="center" wrapText="1"/>
    </xf>
    <xf numFmtId="1" fontId="1" fillId="0" borderId="33" xfId="6" applyNumberFormat="1" applyFont="1" applyBorder="1" applyAlignment="1">
      <alignment horizontal="center" vertical="center" wrapText="1"/>
    </xf>
    <xf numFmtId="165" fontId="1" fillId="0" borderId="13" xfId="6" applyNumberFormat="1" applyFont="1" applyBorder="1" applyAlignment="1">
      <alignment horizontal="left" vertical="center" wrapText="1"/>
    </xf>
    <xf numFmtId="165" fontId="1" fillId="0" borderId="13" xfId="6" applyNumberFormat="1" applyFont="1" applyBorder="1" applyAlignment="1">
      <alignment vertical="center" wrapText="1"/>
    </xf>
    <xf numFmtId="165" fontId="1" fillId="0" borderId="2" xfId="6" applyNumberFormat="1" applyFont="1" applyBorder="1" applyAlignment="1">
      <alignment vertical="center" wrapText="1"/>
    </xf>
    <xf numFmtId="165" fontId="1" fillId="0" borderId="1" xfId="6" applyNumberFormat="1" applyFont="1" applyBorder="1" applyAlignment="1">
      <alignment horizontal="left" vertical="center" wrapText="1"/>
    </xf>
    <xf numFmtId="165" fontId="1" fillId="0" borderId="1" xfId="6" applyNumberFormat="1" applyFont="1" applyBorder="1" applyAlignment="1">
      <alignment vertical="center" wrapText="1"/>
    </xf>
    <xf numFmtId="168" fontId="1" fillId="0" borderId="1" xfId="6" applyNumberFormat="1" applyFont="1" applyBorder="1" applyAlignment="1">
      <alignment horizontal="center" vertical="center" wrapText="1"/>
    </xf>
    <xf numFmtId="165" fontId="1" fillId="0" borderId="4" xfId="6" applyNumberFormat="1" applyFont="1" applyBorder="1" applyAlignment="1">
      <alignment vertical="center" wrapText="1"/>
    </xf>
    <xf numFmtId="165" fontId="28" fillId="0" borderId="1" xfId="6" applyNumberFormat="1" applyFont="1" applyBorder="1" applyAlignment="1">
      <alignment horizontal="left" vertical="center" wrapText="1"/>
    </xf>
    <xf numFmtId="165" fontId="28" fillId="0" borderId="1" xfId="6" applyNumberFormat="1" applyFont="1" applyBorder="1" applyAlignment="1">
      <alignment vertical="center" wrapText="1"/>
    </xf>
    <xf numFmtId="168" fontId="28" fillId="0" borderId="1" xfId="6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65" xfId="0" applyNumberFormat="1" applyFont="1" applyBorder="1" applyAlignment="1">
      <alignment horizontal="center" vertical="center"/>
    </xf>
    <xf numFmtId="0" fontId="1" fillId="0" borderId="0" xfId="10" applyFont="1"/>
    <xf numFmtId="0" fontId="28" fillId="0" borderId="30" xfId="10" applyFont="1" applyBorder="1" applyAlignment="1">
      <alignment horizontal="center" vertical="center"/>
    </xf>
    <xf numFmtId="169" fontId="1" fillId="0" borderId="53" xfId="10" applyNumberFormat="1" applyFont="1" applyBorder="1" applyAlignment="1">
      <alignment horizontal="center" vertical="center"/>
    </xf>
    <xf numFmtId="0" fontId="42" fillId="0" borderId="30" xfId="10" applyFont="1" applyBorder="1" applyAlignment="1">
      <alignment horizontal="left" vertical="center" indent="1"/>
    </xf>
    <xf numFmtId="170" fontId="42" fillId="0" borderId="30" xfId="10" applyNumberFormat="1" applyFont="1" applyBorder="1" applyAlignment="1" applyProtection="1">
      <alignment horizontal="right" vertical="center"/>
      <protection locked="0"/>
    </xf>
    <xf numFmtId="169" fontId="1" fillId="0" borderId="55" xfId="10" applyNumberFormat="1" applyFont="1" applyBorder="1" applyAlignment="1">
      <alignment horizontal="center" vertical="center"/>
    </xf>
    <xf numFmtId="0" fontId="42" fillId="0" borderId="1" xfId="10" applyFont="1" applyBorder="1" applyAlignment="1">
      <alignment horizontal="left" vertical="center" indent="1"/>
    </xf>
    <xf numFmtId="170" fontId="42" fillId="0" borderId="1" xfId="10" applyNumberFormat="1" applyFont="1" applyBorder="1" applyAlignment="1" applyProtection="1">
      <alignment horizontal="right" vertical="center"/>
      <protection locked="0"/>
    </xf>
    <xf numFmtId="170" fontId="42" fillId="0" borderId="45" xfId="10" applyNumberFormat="1" applyFont="1" applyBorder="1" applyAlignment="1" applyProtection="1">
      <alignment horizontal="right" vertical="center"/>
      <protection locked="0"/>
    </xf>
    <xf numFmtId="0" fontId="42" fillId="0" borderId="27" xfId="10" applyFont="1" applyBorder="1" applyAlignment="1">
      <alignment horizontal="left" vertical="center" indent="1"/>
    </xf>
    <xf numFmtId="170" fontId="42" fillId="0" borderId="27" xfId="10" applyNumberFormat="1" applyFont="1" applyBorder="1" applyAlignment="1" applyProtection="1">
      <alignment horizontal="right" vertical="center"/>
      <protection locked="0"/>
    </xf>
    <xf numFmtId="170" fontId="42" fillId="0" borderId="48" xfId="10" applyNumberFormat="1" applyFont="1" applyBorder="1" applyAlignment="1" applyProtection="1">
      <alignment horizontal="right" vertical="center"/>
      <protection locked="0"/>
    </xf>
    <xf numFmtId="169" fontId="36" fillId="0" borderId="52" xfId="10" applyNumberFormat="1" applyFont="1" applyBorder="1" applyAlignment="1">
      <alignment horizontal="center" vertical="center"/>
    </xf>
    <xf numFmtId="0" fontId="55" fillId="0" borderId="21" xfId="10" applyFont="1" applyBorder="1" applyAlignment="1">
      <alignment horizontal="left" vertical="center" indent="1"/>
    </xf>
    <xf numFmtId="170" fontId="55" fillId="0" borderId="21" xfId="10" applyNumberFormat="1" applyFont="1" applyBorder="1" applyAlignment="1">
      <alignment vertical="center"/>
    </xf>
    <xf numFmtId="170" fontId="55" fillId="0" borderId="49" xfId="10" applyNumberFormat="1" applyFont="1" applyBorder="1" applyAlignment="1">
      <alignment vertical="center"/>
    </xf>
    <xf numFmtId="169" fontId="1" fillId="0" borderId="59" xfId="10" applyNumberFormat="1" applyFont="1" applyBorder="1" applyAlignment="1">
      <alignment horizontal="center" vertical="center"/>
    </xf>
    <xf numFmtId="0" fontId="42" fillId="0" borderId="14" xfId="10" applyFont="1" applyBorder="1" applyAlignment="1">
      <alignment horizontal="left" vertical="center" indent="1"/>
    </xf>
    <xf numFmtId="170" fontId="55" fillId="0" borderId="14" xfId="10" applyNumberFormat="1" applyFont="1" applyBorder="1" applyAlignment="1">
      <alignment vertical="center"/>
    </xf>
    <xf numFmtId="170" fontId="55" fillId="0" borderId="54" xfId="10" applyNumberFormat="1" applyFont="1" applyBorder="1" applyAlignment="1">
      <alignment vertical="center"/>
    </xf>
    <xf numFmtId="170" fontId="42" fillId="0" borderId="1" xfId="10" applyNumberFormat="1" applyFont="1" applyBorder="1" applyAlignment="1">
      <alignment vertical="center"/>
    </xf>
    <xf numFmtId="170" fontId="42" fillId="0" borderId="45" xfId="10" applyNumberFormat="1" applyFont="1" applyBorder="1" applyAlignment="1">
      <alignment vertical="center"/>
    </xf>
    <xf numFmtId="170" fontId="55" fillId="0" borderId="1" xfId="10" applyNumberFormat="1" applyFont="1" applyBorder="1" applyAlignment="1">
      <alignment vertical="center"/>
    </xf>
    <xf numFmtId="170" fontId="55" fillId="0" borderId="45" xfId="10" applyNumberFormat="1" applyFont="1" applyBorder="1" applyAlignment="1">
      <alignment vertical="center"/>
    </xf>
    <xf numFmtId="169" fontId="1" fillId="0" borderId="60" xfId="10" applyNumberFormat="1" applyFont="1" applyBorder="1" applyAlignment="1">
      <alignment horizontal="center" vertical="center"/>
    </xf>
    <xf numFmtId="0" fontId="42" fillId="0" borderId="10" xfId="10" applyFont="1" applyBorder="1" applyAlignment="1">
      <alignment horizontal="left" vertical="center" indent="1"/>
    </xf>
    <xf numFmtId="170" fontId="55" fillId="0" borderId="10" xfId="10" applyNumberFormat="1" applyFont="1" applyBorder="1" applyAlignment="1">
      <alignment vertical="center"/>
    </xf>
    <xf numFmtId="170" fontId="56" fillId="0" borderId="10" xfId="10" applyNumberFormat="1" applyFont="1" applyBorder="1" applyAlignment="1">
      <alignment vertical="center"/>
    </xf>
    <xf numFmtId="170" fontId="42" fillId="0" borderId="14" xfId="10" applyNumberFormat="1" applyFont="1" applyBorder="1" applyAlignment="1" applyProtection="1">
      <alignment vertical="center"/>
      <protection locked="0"/>
    </xf>
    <xf numFmtId="170" fontId="42" fillId="0" borderId="54" xfId="10" applyNumberFormat="1" applyFont="1" applyBorder="1" applyAlignment="1" applyProtection="1">
      <alignment vertical="center"/>
      <protection locked="0"/>
    </xf>
    <xf numFmtId="169" fontId="1" fillId="0" borderId="12" xfId="10" applyNumberFormat="1" applyFont="1" applyBorder="1" applyAlignment="1">
      <alignment horizontal="center" vertical="center"/>
    </xf>
    <xf numFmtId="0" fontId="42" fillId="0" borderId="13" xfId="10" applyFont="1" applyBorder="1" applyAlignment="1">
      <alignment horizontal="left" vertical="center" indent="1"/>
    </xf>
    <xf numFmtId="170" fontId="42" fillId="0" borderId="13" xfId="10" applyNumberFormat="1" applyFont="1" applyBorder="1" applyAlignment="1" applyProtection="1">
      <alignment vertical="center"/>
      <protection locked="0"/>
    </xf>
    <xf numFmtId="170" fontId="42" fillId="0" borderId="43" xfId="10" applyNumberFormat="1" applyFont="1" applyBorder="1" applyAlignment="1" applyProtection="1">
      <alignment vertical="center"/>
      <protection locked="0"/>
    </xf>
    <xf numFmtId="170" fontId="42" fillId="11" borderId="10" xfId="10" applyNumberFormat="1" applyFont="1" applyFill="1" applyBorder="1" applyAlignment="1">
      <alignment vertical="center"/>
    </xf>
    <xf numFmtId="170" fontId="42" fillId="0" borderId="64" xfId="10" applyNumberFormat="1" applyFont="1" applyBorder="1" applyAlignment="1" applyProtection="1">
      <alignment vertical="center"/>
      <protection locked="0"/>
    </xf>
    <xf numFmtId="169" fontId="36" fillId="2" borderId="52" xfId="10" applyNumberFormat="1" applyFont="1" applyFill="1" applyBorder="1" applyAlignment="1">
      <alignment horizontal="center" vertical="center"/>
    </xf>
    <xf numFmtId="0" fontId="55" fillId="2" borderId="21" xfId="10" applyFont="1" applyFill="1" applyBorder="1" applyAlignment="1">
      <alignment horizontal="left" vertical="center" indent="1"/>
    </xf>
    <xf numFmtId="170" fontId="55" fillId="2" borderId="21" xfId="10" applyNumberFormat="1" applyFont="1" applyFill="1" applyBorder="1" applyAlignment="1">
      <alignment vertical="center"/>
    </xf>
    <xf numFmtId="170" fontId="55" fillId="2" borderId="49" xfId="10" applyNumberFormat="1" applyFont="1" applyFill="1" applyBorder="1" applyAlignment="1">
      <alignment vertical="center"/>
    </xf>
    <xf numFmtId="170" fontId="42" fillId="0" borderId="1" xfId="10" applyNumberFormat="1" applyFont="1" applyBorder="1" applyAlignment="1" applyProtection="1">
      <alignment vertical="center"/>
      <protection locked="0"/>
    </xf>
    <xf numFmtId="170" fontId="42" fillId="0" borderId="45" xfId="10" applyNumberFormat="1" applyFont="1" applyBorder="1" applyAlignment="1" applyProtection="1">
      <alignment vertical="center"/>
      <protection locked="0"/>
    </xf>
    <xf numFmtId="0" fontId="42" fillId="0" borderId="1" xfId="10" quotePrefix="1" applyFont="1" applyBorder="1" applyAlignment="1">
      <alignment horizontal="left" vertical="center" indent="1"/>
    </xf>
    <xf numFmtId="0" fontId="42" fillId="0" borderId="1" xfId="10" quotePrefix="1" applyFont="1" applyBorder="1" applyAlignment="1">
      <alignment horizontal="left" vertical="center" indent="3"/>
    </xf>
    <xf numFmtId="169" fontId="1" fillId="0" borderId="56" xfId="10" applyNumberFormat="1" applyFont="1" applyBorder="1" applyAlignment="1">
      <alignment horizontal="center" vertical="center"/>
    </xf>
    <xf numFmtId="0" fontId="42" fillId="0" borderId="35" xfId="10" applyFont="1" applyBorder="1" applyAlignment="1">
      <alignment horizontal="left" vertical="center" indent="1"/>
    </xf>
    <xf numFmtId="170" fontId="42" fillId="0" borderId="35" xfId="10" applyNumberFormat="1" applyFont="1" applyBorder="1" applyAlignment="1" applyProtection="1">
      <alignment vertical="center"/>
      <protection locked="0"/>
    </xf>
    <xf numFmtId="170" fontId="42" fillId="0" borderId="18" xfId="10" applyNumberFormat="1" applyFont="1" applyBorder="1" applyAlignment="1" applyProtection="1">
      <alignment vertical="center"/>
      <protection locked="0"/>
    </xf>
    <xf numFmtId="170" fontId="42" fillId="0" borderId="10" xfId="10" applyNumberFormat="1" applyFont="1" applyBorder="1" applyAlignment="1" applyProtection="1">
      <alignment vertical="center"/>
      <protection locked="0"/>
    </xf>
    <xf numFmtId="169" fontId="36" fillId="0" borderId="58" xfId="10" applyNumberFormat="1" applyFont="1" applyBorder="1" applyAlignment="1">
      <alignment horizontal="center" vertical="center"/>
    </xf>
    <xf numFmtId="0" fontId="55" fillId="0" borderId="27" xfId="10" applyFont="1" applyBorder="1" applyAlignment="1">
      <alignment horizontal="left" vertical="center" indent="1"/>
    </xf>
    <xf numFmtId="170" fontId="55" fillId="0" borderId="27" xfId="10" applyNumberFormat="1" applyFont="1" applyBorder="1" applyAlignment="1">
      <alignment vertical="center"/>
    </xf>
    <xf numFmtId="170" fontId="55" fillId="0" borderId="48" xfId="10" applyNumberFormat="1" applyFont="1" applyBorder="1" applyAlignment="1">
      <alignment vertical="center"/>
    </xf>
    <xf numFmtId="170" fontId="42" fillId="11" borderId="1" xfId="10" applyNumberFormat="1" applyFont="1" applyFill="1" applyBorder="1" applyAlignment="1">
      <alignment vertical="center"/>
    </xf>
    <xf numFmtId="170" fontId="42" fillId="11" borderId="45" xfId="10" applyNumberFormat="1" applyFont="1" applyFill="1" applyBorder="1" applyAlignment="1">
      <alignment vertical="center"/>
    </xf>
    <xf numFmtId="0" fontId="55" fillId="0" borderId="21" xfId="10" applyFont="1" applyBorder="1" applyAlignment="1">
      <alignment horizontal="left" vertical="center" wrapText="1" indent="1"/>
    </xf>
    <xf numFmtId="0" fontId="37" fillId="0" borderId="0" xfId="11" applyFont="1"/>
    <xf numFmtId="170" fontId="56" fillId="0" borderId="64" xfId="10" applyNumberFormat="1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3" fontId="0" fillId="0" borderId="14" xfId="0" applyNumberFormat="1" applyBorder="1" applyAlignment="1">
      <alignment vertical="center" wrapText="1"/>
    </xf>
    <xf numFmtId="0" fontId="28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3" fontId="0" fillId="12" borderId="0" xfId="0" applyNumberFormat="1" applyFill="1" applyAlignment="1">
      <alignment vertical="center"/>
    </xf>
    <xf numFmtId="3" fontId="58" fillId="0" borderId="1" xfId="0" applyNumberFormat="1" applyFont="1" applyBorder="1" applyAlignment="1">
      <alignment vertical="center"/>
    </xf>
    <xf numFmtId="0" fontId="33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3" fontId="0" fillId="3" borderId="1" xfId="0" applyNumberFormat="1" applyFill="1" applyBorder="1" applyAlignment="1">
      <alignment vertical="center"/>
    </xf>
    <xf numFmtId="0" fontId="31" fillId="0" borderId="1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/>
    </xf>
    <xf numFmtId="3" fontId="31" fillId="0" borderId="1" xfId="0" applyNumberFormat="1" applyFont="1" applyBorder="1" applyAlignment="1">
      <alignment horizontal="right" vertical="center"/>
    </xf>
    <xf numFmtId="0" fontId="57" fillId="12" borderId="0" xfId="0" applyFont="1" applyFill="1" applyAlignment="1">
      <alignment vertical="center"/>
    </xf>
    <xf numFmtId="0" fontId="28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5" fillId="0" borderId="0" xfId="3" applyFont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10" borderId="0" xfId="7" applyFont="1" applyFill="1" applyAlignment="1">
      <alignment horizontal="center" vertical="center"/>
    </xf>
    <xf numFmtId="0" fontId="28" fillId="10" borderId="0" xfId="7" applyFont="1" applyFill="1" applyAlignment="1">
      <alignment horizontal="center"/>
    </xf>
    <xf numFmtId="0" fontId="28" fillId="10" borderId="0" xfId="7" applyFont="1" applyFill="1" applyAlignment="1">
      <alignment horizontal="center" vertical="center"/>
    </xf>
    <xf numFmtId="0" fontId="2" fillId="0" borderId="0" xfId="7" applyAlignment="1">
      <alignment horizontal="center"/>
    </xf>
    <xf numFmtId="165" fontId="31" fillId="10" borderId="0" xfId="8" applyNumberFormat="1" applyFont="1" applyFill="1" applyAlignment="1">
      <alignment horizontal="center" vertical="center"/>
    </xf>
    <xf numFmtId="0" fontId="1" fillId="10" borderId="19" xfId="9" applyFont="1" applyFill="1" applyBorder="1" applyAlignment="1">
      <alignment horizontal="right"/>
    </xf>
    <xf numFmtId="0" fontId="5" fillId="0" borderId="0" xfId="3" applyFont="1" applyAlignment="1">
      <alignment horizontal="center"/>
    </xf>
    <xf numFmtId="0" fontId="5" fillId="0" borderId="4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49" fontId="3" fillId="0" borderId="4" xfId="3" applyNumberFormat="1" applyFont="1" applyBorder="1" applyAlignment="1">
      <alignment horizontal="center" vertical="center" wrapText="1"/>
    </xf>
    <xf numFmtId="49" fontId="3" fillId="0" borderId="5" xfId="3" applyNumberFormat="1" applyFont="1" applyBorder="1" applyAlignment="1">
      <alignment horizontal="center" vertical="center" wrapText="1"/>
    </xf>
    <xf numFmtId="49" fontId="3" fillId="0" borderId="3" xfId="3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49" fontId="15" fillId="0" borderId="4" xfId="3" applyNumberFormat="1" applyFont="1" applyBorder="1" applyAlignment="1">
      <alignment horizontal="center" vertical="center"/>
    </xf>
    <xf numFmtId="49" fontId="15" fillId="0" borderId="5" xfId="3" applyNumberFormat="1" applyFont="1" applyBorder="1" applyAlignment="1">
      <alignment horizontal="center" vertical="center"/>
    </xf>
    <xf numFmtId="49" fontId="15" fillId="0" borderId="3" xfId="3" applyNumberFormat="1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/>
    </xf>
    <xf numFmtId="0" fontId="5" fillId="0" borderId="0" xfId="3" applyFont="1" applyAlignment="1">
      <alignment horizontal="center" wrapText="1"/>
    </xf>
    <xf numFmtId="0" fontId="3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6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5" fontId="28" fillId="0" borderId="0" xfId="6" applyNumberFormat="1" applyFont="1" applyAlignment="1">
      <alignment horizontal="center" vertical="center" wrapText="1"/>
    </xf>
    <xf numFmtId="165" fontId="42" fillId="0" borderId="0" xfId="6" applyNumberFormat="1" applyFont="1" applyAlignment="1">
      <alignment horizontal="right" vertical="center"/>
    </xf>
    <xf numFmtId="165" fontId="28" fillId="0" borderId="6" xfId="6" applyNumberFormat="1" applyFont="1" applyBorder="1" applyAlignment="1">
      <alignment horizontal="center" vertical="center" wrapText="1"/>
    </xf>
    <xf numFmtId="165" fontId="28" fillId="0" borderId="7" xfId="6" applyNumberFormat="1" applyFont="1" applyBorder="1" applyAlignment="1">
      <alignment horizontal="center" vertical="center" wrapText="1"/>
    </xf>
    <xf numFmtId="165" fontId="28" fillId="0" borderId="50" xfId="6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65" fontId="1" fillId="0" borderId="19" xfId="6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4" fillId="0" borderId="0" xfId="3" applyFont="1" applyAlignment="1">
      <alignment horizontal="center" vertical="center" wrapText="1"/>
    </xf>
    <xf numFmtId="3" fontId="43" fillId="0" borderId="0" xfId="3" applyNumberFormat="1" applyFont="1" applyAlignment="1">
      <alignment horizontal="center" wrapText="1"/>
    </xf>
    <xf numFmtId="0" fontId="43" fillId="0" borderId="0" xfId="3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45" fillId="0" borderId="10" xfId="6" applyNumberFormat="1" applyFont="1" applyBorder="1" applyAlignment="1">
      <alignment horizontal="center" vertical="center" wrapText="1"/>
    </xf>
    <xf numFmtId="165" fontId="45" fillId="0" borderId="14" xfId="6" applyNumberFormat="1" applyFont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 wrapText="1"/>
    </xf>
    <xf numFmtId="0" fontId="18" fillId="8" borderId="1" xfId="0" applyFont="1" applyFill="1" applyBorder="1" applyAlignment="1">
      <alignment wrapText="1"/>
    </xf>
    <xf numFmtId="0" fontId="19" fillId="8" borderId="1" xfId="0" applyFont="1" applyFill="1" applyBorder="1" applyAlignment="1">
      <alignment wrapText="1"/>
    </xf>
    <xf numFmtId="3" fontId="17" fillId="8" borderId="1" xfId="0" applyNumberFormat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3" fontId="18" fillId="8" borderId="1" xfId="0" applyNumberFormat="1" applyFont="1" applyFill="1" applyBorder="1" applyAlignment="1">
      <alignment vertical="center" wrapText="1"/>
    </xf>
    <xf numFmtId="3" fontId="17" fillId="8" borderId="1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8" borderId="1" xfId="0" applyFont="1" applyFill="1" applyBorder="1" applyAlignment="1">
      <alignment horizontal="left" wrapText="1"/>
    </xf>
    <xf numFmtId="3" fontId="18" fillId="8" borderId="1" xfId="0" applyNumberFormat="1" applyFont="1" applyFill="1" applyBorder="1" applyAlignment="1">
      <alignment horizontal="left" vertical="center" wrapText="1"/>
    </xf>
    <xf numFmtId="3" fontId="17" fillId="8" borderId="1" xfId="0" applyNumberFormat="1" applyFont="1" applyFill="1" applyBorder="1" applyAlignment="1">
      <alignment horizontal="left" vertical="center" wrapText="1"/>
    </xf>
    <xf numFmtId="3" fontId="19" fillId="8" borderId="1" xfId="0" applyNumberFormat="1" applyFont="1" applyFill="1" applyBorder="1" applyAlignment="1">
      <alignment vertical="center" wrapText="1"/>
    </xf>
    <xf numFmtId="0" fontId="34" fillId="0" borderId="0" xfId="0" applyFont="1" applyAlignment="1">
      <alignment horizontal="center"/>
    </xf>
    <xf numFmtId="165" fontId="34" fillId="0" borderId="10" xfId="6" applyNumberFormat="1" applyFont="1" applyBorder="1" applyAlignment="1">
      <alignment horizontal="center" vertical="center" wrapText="1"/>
    </xf>
    <xf numFmtId="165" fontId="34" fillId="0" borderId="14" xfId="6" applyNumberFormat="1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/>
    </xf>
    <xf numFmtId="3" fontId="20" fillId="0" borderId="10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3" fontId="17" fillId="8" borderId="4" xfId="0" applyNumberFormat="1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left" vertical="center" wrapText="1"/>
    </xf>
    <xf numFmtId="0" fontId="17" fillId="8" borderId="5" xfId="0" applyFont="1" applyFill="1" applyBorder="1" applyAlignment="1">
      <alignment horizontal="left" vertical="center" wrapText="1"/>
    </xf>
    <xf numFmtId="0" fontId="17" fillId="8" borderId="3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center"/>
      <protection locked="0"/>
    </xf>
    <xf numFmtId="3" fontId="5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165" fontId="1" fillId="0" borderId="37" xfId="6" applyNumberFormat="1" applyFont="1" applyBorder="1" applyAlignment="1">
      <alignment horizontal="right" vertical="center" wrapText="1"/>
    </xf>
    <xf numFmtId="165" fontId="1" fillId="0" borderId="10" xfId="6" applyNumberFormat="1" applyFont="1" applyBorder="1" applyAlignment="1">
      <alignment horizontal="center" vertical="center" wrapText="1"/>
    </xf>
    <xf numFmtId="165" fontId="1" fillId="0" borderId="13" xfId="6" applyNumberFormat="1" applyFont="1" applyBorder="1" applyAlignment="1">
      <alignment horizontal="center" vertical="center" wrapText="1"/>
    </xf>
    <xf numFmtId="165" fontId="1" fillId="0" borderId="14" xfId="6" applyNumberFormat="1" applyFont="1" applyBorder="1" applyAlignment="1">
      <alignment horizontal="center" vertical="center" wrapText="1"/>
    </xf>
    <xf numFmtId="168" fontId="1" fillId="0" borderId="10" xfId="6" applyNumberFormat="1" applyFont="1" applyBorder="1" applyAlignment="1">
      <alignment horizontal="center" vertical="center" wrapText="1"/>
    </xf>
    <xf numFmtId="168" fontId="1" fillId="0" borderId="13" xfId="6" applyNumberFormat="1" applyFont="1" applyBorder="1" applyAlignment="1">
      <alignment horizontal="center" vertical="center" wrapText="1"/>
    </xf>
    <xf numFmtId="168" fontId="1" fillId="0" borderId="14" xfId="6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1" fillId="0" borderId="1" xfId="6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7" fillId="0" borderId="5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28" fillId="0" borderId="51" xfId="10" quotePrefix="1" applyFont="1" applyBorder="1" applyAlignment="1">
      <alignment horizontal="center" vertical="center" wrapText="1"/>
    </xf>
    <xf numFmtId="0" fontId="28" fillId="0" borderId="58" xfId="10" quotePrefix="1" applyFont="1" applyBorder="1" applyAlignment="1">
      <alignment horizontal="center" vertical="center" wrapText="1"/>
    </xf>
    <xf numFmtId="0" fontId="28" fillId="0" borderId="23" xfId="10" applyFont="1" applyBorder="1" applyAlignment="1">
      <alignment horizontal="center" vertical="center"/>
    </xf>
    <xf numFmtId="0" fontId="28" fillId="0" borderId="27" xfId="10" applyFont="1" applyBorder="1" applyAlignment="1">
      <alignment horizontal="center" vertical="center"/>
    </xf>
    <xf numFmtId="0" fontId="28" fillId="0" borderId="42" xfId="10" applyFont="1" applyBorder="1" applyAlignment="1">
      <alignment horizontal="center" vertical="center"/>
    </xf>
    <xf numFmtId="0" fontId="28" fillId="0" borderId="48" xfId="10" applyFont="1" applyBorder="1" applyAlignment="1">
      <alignment horizontal="center" vertical="center"/>
    </xf>
    <xf numFmtId="0" fontId="28" fillId="0" borderId="36" xfId="10" applyFont="1" applyBorder="1" applyAlignment="1">
      <alignment horizontal="center" vertical="center"/>
    </xf>
    <xf numFmtId="0" fontId="28" fillId="0" borderId="38" xfId="10" applyFont="1" applyBorder="1" applyAlignment="1">
      <alignment horizontal="center" vertical="center"/>
    </xf>
    <xf numFmtId="0" fontId="31" fillId="0" borderId="0" xfId="10" applyFont="1" applyAlignment="1" applyProtection="1">
      <alignment horizontal="center" vertical="center"/>
      <protection locked="0"/>
    </xf>
    <xf numFmtId="0" fontId="31" fillId="0" borderId="0" xfId="10" applyFont="1" applyAlignment="1">
      <alignment horizontal="center"/>
    </xf>
    <xf numFmtId="0" fontId="31" fillId="0" borderId="0" xfId="10" applyFont="1" applyAlignment="1">
      <alignment horizontal="center" vertical="center"/>
    </xf>
    <xf numFmtId="0" fontId="36" fillId="0" borderId="0" xfId="10" applyFont="1" applyAlignment="1">
      <alignment horizontal="right"/>
    </xf>
    <xf numFmtId="0" fontId="31" fillId="0" borderId="39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47" fillId="0" borderId="0" xfId="0" applyFont="1" applyAlignment="1">
      <alignment horizontal="center"/>
    </xf>
  </cellXfs>
  <cellStyles count="12">
    <cellStyle name="Normál" xfId="0" builtinId="0"/>
    <cellStyle name="Normál 2" xfId="1"/>
    <cellStyle name="Normál 2 2" xfId="2"/>
    <cellStyle name="Normál 2 3" xfId="4"/>
    <cellStyle name="Normál 3" xfId="3"/>
    <cellStyle name="Normál 4" xfId="5"/>
    <cellStyle name="Normál_KVRENMUNKA" xfId="8"/>
    <cellStyle name="Normál_minta" xfId="10"/>
    <cellStyle name="Normál_Munka1" xfId="6"/>
    <cellStyle name="Normál_Munka1_Munka15" xfId="9"/>
    <cellStyle name="Normál_Munka15" xfId="7"/>
    <cellStyle name="Normál_Munka2" xfId="11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p-user\Downloads\Z&#225;rsz&#225;mad&#225;s-mell&#233;kletek-Gordisa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p-user\Desktop\Z&#225;rsz&#225;mad&#225;s%20mell&#233;kletek%20Gordisa%20-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ímrend"/>
      <sheetName val="2. mérleg"/>
      <sheetName val="3.bev-kiadás"/>
      <sheetName val="4.korm.funkció"/>
      <sheetName val="5.gördülő"/>
      <sheetName val="6-7.műk-felh."/>
      <sheetName val="8.állami"/>
      <sheetName val="9.beruházás"/>
      <sheetName val="10.vagyon"/>
      <sheetName val="11.PM"/>
      <sheetName val="12.Közvetett"/>
      <sheetName val="13.hitel"/>
      <sheetName val="14.létszám"/>
      <sheetName val="15.epj"/>
      <sheetName val="16. többéves"/>
      <sheetName val="17. tul.részesedés"/>
    </sheetNames>
    <sheetDataSet>
      <sheetData sheetId="0"/>
      <sheetData sheetId="1">
        <row r="14">
          <cell r="G1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ímrend"/>
      <sheetName val="2. mérleg"/>
      <sheetName val="3.bev-kiadás"/>
      <sheetName val="4.korm.funkció"/>
      <sheetName val="5.gördülő"/>
      <sheetName val="6-7.műk-felh."/>
      <sheetName val="8.állami"/>
      <sheetName val="9.beruházás"/>
      <sheetName val="10.vagyon"/>
      <sheetName val="11.PM"/>
      <sheetName val="12.Közvetett"/>
      <sheetName val="13.hitel"/>
      <sheetName val="14.létszám"/>
      <sheetName val="15.epj"/>
      <sheetName val="16. többéves"/>
      <sheetName val="17. tul.részesedés"/>
    </sheetNames>
    <sheetDataSet>
      <sheetData sheetId="0"/>
      <sheetData sheetId="1">
        <row r="13">
          <cell r="B13">
            <v>0</v>
          </cell>
          <cell r="C1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activeCell="D18" sqref="D18"/>
    </sheetView>
  </sheetViews>
  <sheetFormatPr defaultRowHeight="15" x14ac:dyDescent="0.25"/>
  <cols>
    <col min="1" max="1" width="22.28515625" customWidth="1"/>
    <col min="2" max="2" width="6.28515625" customWidth="1"/>
    <col min="3" max="3" width="28.140625" customWidth="1"/>
    <col min="4" max="4" width="42.42578125" customWidth="1"/>
    <col min="5" max="5" width="36.5703125" customWidth="1"/>
  </cols>
  <sheetData>
    <row r="1" spans="1:5" x14ac:dyDescent="0.25">
      <c r="A1" s="544" t="s">
        <v>222</v>
      </c>
      <c r="B1" s="545"/>
      <c r="C1" s="545"/>
      <c r="D1" s="545"/>
      <c r="E1" s="546"/>
    </row>
    <row r="2" spans="1:5" x14ac:dyDescent="0.25">
      <c r="A2" s="544" t="str">
        <f>+'2. mérleg'!A3:K3</f>
        <v xml:space="preserve">4/2020. (VI.18.)zárszámadási rendelet </v>
      </c>
      <c r="B2" s="545"/>
      <c r="C2" s="545"/>
      <c r="D2" s="545"/>
      <c r="E2" s="546"/>
    </row>
    <row r="4" spans="1:5" x14ac:dyDescent="0.25">
      <c r="A4" s="110" t="s">
        <v>223</v>
      </c>
      <c r="B4" s="110" t="s">
        <v>224</v>
      </c>
      <c r="C4" s="110" t="s">
        <v>225</v>
      </c>
      <c r="D4" s="110" t="s">
        <v>226</v>
      </c>
      <c r="E4" s="110" t="s">
        <v>227</v>
      </c>
    </row>
    <row r="5" spans="1:5" x14ac:dyDescent="0.25">
      <c r="A5" s="109"/>
      <c r="B5" s="109"/>
      <c r="C5" s="109"/>
      <c r="D5" s="109"/>
      <c r="E5" s="109"/>
    </row>
    <row r="6" spans="1:5" ht="30" x14ac:dyDescent="0.25">
      <c r="A6" s="111" t="s">
        <v>360</v>
      </c>
      <c r="B6" s="109"/>
      <c r="C6" s="112" t="s">
        <v>154</v>
      </c>
      <c r="D6" s="113" t="s">
        <v>228</v>
      </c>
      <c r="E6" s="109"/>
    </row>
    <row r="7" spans="1:5" x14ac:dyDescent="0.25">
      <c r="A7" s="109"/>
      <c r="B7" s="109"/>
      <c r="C7" s="109" t="s">
        <v>229</v>
      </c>
      <c r="D7" s="109" t="s">
        <v>230</v>
      </c>
      <c r="E7" s="109" t="s">
        <v>231</v>
      </c>
    </row>
    <row r="8" spans="1:5" x14ac:dyDescent="0.25">
      <c r="A8" s="109"/>
      <c r="B8" s="109"/>
      <c r="C8" s="109"/>
      <c r="D8" s="109"/>
      <c r="E8" s="109" t="s">
        <v>232</v>
      </c>
    </row>
    <row r="9" spans="1:5" x14ac:dyDescent="0.25">
      <c r="A9" s="109"/>
      <c r="B9" s="109"/>
      <c r="C9" s="109"/>
      <c r="D9" s="109"/>
      <c r="E9" s="109" t="s">
        <v>233</v>
      </c>
    </row>
    <row r="10" spans="1:5" x14ac:dyDescent="0.25">
      <c r="A10" s="109"/>
      <c r="B10" s="109"/>
      <c r="C10" s="109"/>
      <c r="D10" s="109"/>
      <c r="E10" s="109" t="s">
        <v>234</v>
      </c>
    </row>
    <row r="11" spans="1:5" x14ac:dyDescent="0.25">
      <c r="A11" s="109"/>
      <c r="B11" s="109"/>
      <c r="C11" s="109"/>
      <c r="D11" s="109"/>
      <c r="E11" s="109" t="s">
        <v>235</v>
      </c>
    </row>
    <row r="12" spans="1:5" x14ac:dyDescent="0.25">
      <c r="A12" s="109"/>
      <c r="B12" s="109"/>
      <c r="C12" s="109"/>
      <c r="D12" s="109"/>
      <c r="E12" s="109"/>
    </row>
    <row r="13" spans="1:5" x14ac:dyDescent="0.25">
      <c r="A13" s="109"/>
      <c r="B13" s="109"/>
      <c r="C13" s="112" t="s">
        <v>114</v>
      </c>
      <c r="D13" s="113" t="s">
        <v>236</v>
      </c>
      <c r="E13" s="109"/>
    </row>
    <row r="14" spans="1:5" x14ac:dyDescent="0.25">
      <c r="A14" s="109"/>
      <c r="B14" s="109"/>
      <c r="C14" s="109" t="s">
        <v>229</v>
      </c>
      <c r="D14" s="109" t="s">
        <v>230</v>
      </c>
      <c r="E14" s="109" t="s">
        <v>233</v>
      </c>
    </row>
    <row r="15" spans="1:5" x14ac:dyDescent="0.25">
      <c r="A15" s="109"/>
      <c r="B15" s="109"/>
      <c r="C15" s="109"/>
      <c r="D15" s="109"/>
      <c r="E15" s="109"/>
    </row>
    <row r="16" spans="1:5" x14ac:dyDescent="0.25">
      <c r="A16" s="109"/>
      <c r="B16" s="109"/>
      <c r="C16" s="112" t="s">
        <v>237</v>
      </c>
      <c r="D16" s="113" t="s">
        <v>238</v>
      </c>
      <c r="E16" s="109"/>
    </row>
    <row r="17" spans="1:5" x14ac:dyDescent="0.25">
      <c r="A17" s="109"/>
      <c r="B17" s="109"/>
      <c r="C17" s="109" t="s">
        <v>229</v>
      </c>
      <c r="D17" s="109" t="s">
        <v>230</v>
      </c>
      <c r="E17" s="109" t="s">
        <v>233</v>
      </c>
    </row>
    <row r="18" spans="1:5" x14ac:dyDescent="0.25">
      <c r="A18" s="109"/>
      <c r="B18" s="109"/>
      <c r="C18" s="109"/>
      <c r="D18" s="109"/>
      <c r="E18" s="109" t="s">
        <v>232</v>
      </c>
    </row>
    <row r="19" spans="1:5" x14ac:dyDescent="0.25">
      <c r="A19" s="109"/>
      <c r="B19" s="109"/>
      <c r="C19" s="114" t="s">
        <v>116</v>
      </c>
      <c r="D19" s="113" t="s">
        <v>239</v>
      </c>
      <c r="E19" s="109"/>
    </row>
    <row r="20" spans="1:5" x14ac:dyDescent="0.25">
      <c r="A20" s="109"/>
      <c r="B20" s="109"/>
      <c r="C20" s="109" t="s">
        <v>229</v>
      </c>
      <c r="D20" s="109" t="s">
        <v>230</v>
      </c>
      <c r="E20" s="109" t="s">
        <v>233</v>
      </c>
    </row>
    <row r="21" spans="1:5" x14ac:dyDescent="0.25">
      <c r="A21" s="109"/>
      <c r="B21" s="109"/>
      <c r="C21" s="114" t="s">
        <v>115</v>
      </c>
      <c r="D21" s="113" t="s">
        <v>240</v>
      </c>
      <c r="E21" s="109"/>
    </row>
    <row r="22" spans="1:5" x14ac:dyDescent="0.25">
      <c r="A22" s="109"/>
      <c r="B22" s="109"/>
      <c r="C22" s="109" t="s">
        <v>229</v>
      </c>
      <c r="D22" s="109" t="s">
        <v>230</v>
      </c>
      <c r="E22" s="109" t="s">
        <v>231</v>
      </c>
    </row>
    <row r="23" spans="1:5" x14ac:dyDescent="0.25">
      <c r="A23" s="109"/>
      <c r="B23" s="109"/>
      <c r="C23" s="109"/>
      <c r="D23" s="109"/>
      <c r="E23" s="109" t="s">
        <v>232</v>
      </c>
    </row>
    <row r="24" spans="1:5" x14ac:dyDescent="0.25">
      <c r="A24" s="109"/>
      <c r="B24" s="109"/>
      <c r="C24" s="109"/>
      <c r="D24" s="109"/>
      <c r="E24" s="109" t="s">
        <v>233</v>
      </c>
    </row>
    <row r="25" spans="1:5" x14ac:dyDescent="0.25">
      <c r="A25" s="109"/>
      <c r="B25" s="109"/>
      <c r="C25" s="109"/>
      <c r="D25" s="109"/>
      <c r="E25" s="109" t="s">
        <v>234</v>
      </c>
    </row>
    <row r="26" spans="1:5" x14ac:dyDescent="0.25">
      <c r="A26" s="115"/>
      <c r="B26" s="109"/>
      <c r="C26" s="109"/>
      <c r="D26" s="109"/>
      <c r="E26" s="109" t="s">
        <v>235</v>
      </c>
    </row>
    <row r="27" spans="1:5" x14ac:dyDescent="0.25">
      <c r="A27" s="109"/>
      <c r="B27" s="109"/>
      <c r="C27" s="109" t="s">
        <v>241</v>
      </c>
      <c r="D27" s="109" t="s">
        <v>242</v>
      </c>
      <c r="E27" s="109" t="s">
        <v>243</v>
      </c>
    </row>
    <row r="28" spans="1:5" x14ac:dyDescent="0.25">
      <c r="A28" s="109"/>
      <c r="B28" s="109"/>
      <c r="C28" s="109"/>
      <c r="D28" s="109"/>
      <c r="E28" s="109" t="s">
        <v>244</v>
      </c>
    </row>
    <row r="29" spans="1:5" x14ac:dyDescent="0.25">
      <c r="A29" s="109"/>
      <c r="B29" s="109"/>
      <c r="C29" s="114" t="s">
        <v>114</v>
      </c>
      <c r="D29" s="113" t="s">
        <v>245</v>
      </c>
      <c r="E29" s="109"/>
    </row>
    <row r="30" spans="1:5" x14ac:dyDescent="0.25">
      <c r="A30" s="109"/>
      <c r="B30" s="109"/>
      <c r="C30" s="109" t="s">
        <v>229</v>
      </c>
      <c r="D30" s="109" t="s">
        <v>230</v>
      </c>
      <c r="E30" s="109" t="s">
        <v>233</v>
      </c>
    </row>
    <row r="31" spans="1:5" x14ac:dyDescent="0.25">
      <c r="A31" s="109"/>
      <c r="B31" s="109"/>
      <c r="C31" s="109"/>
      <c r="D31" s="109"/>
      <c r="E31" s="109" t="s">
        <v>235</v>
      </c>
    </row>
    <row r="32" spans="1:5" x14ac:dyDescent="0.25">
      <c r="A32" s="109"/>
      <c r="B32" s="109"/>
      <c r="C32" s="109" t="s">
        <v>241</v>
      </c>
      <c r="D32" s="109" t="s">
        <v>242</v>
      </c>
      <c r="E32" s="109" t="s">
        <v>243</v>
      </c>
    </row>
    <row r="33" spans="1:5" x14ac:dyDescent="0.25">
      <c r="A33" s="109"/>
      <c r="B33" s="109"/>
      <c r="C33" s="109"/>
      <c r="D33" s="109"/>
      <c r="E33" s="109" t="s">
        <v>244</v>
      </c>
    </row>
    <row r="34" spans="1:5" x14ac:dyDescent="0.25">
      <c r="A34" s="109"/>
      <c r="B34" s="109"/>
      <c r="C34" s="114" t="s">
        <v>246</v>
      </c>
      <c r="D34" s="113" t="s">
        <v>247</v>
      </c>
      <c r="E34" s="109"/>
    </row>
    <row r="35" spans="1:5" x14ac:dyDescent="0.25">
      <c r="A35" s="109"/>
      <c r="B35" s="109"/>
      <c r="C35" s="109" t="s">
        <v>229</v>
      </c>
      <c r="D35" s="109" t="s">
        <v>230</v>
      </c>
      <c r="E35" s="109" t="s">
        <v>233</v>
      </c>
    </row>
    <row r="36" spans="1:5" x14ac:dyDescent="0.25">
      <c r="A36" s="109"/>
      <c r="B36" s="109"/>
      <c r="C36" s="114" t="s">
        <v>248</v>
      </c>
      <c r="D36" s="113" t="s">
        <v>249</v>
      </c>
      <c r="E36" s="109"/>
    </row>
    <row r="37" spans="1:5" x14ac:dyDescent="0.25">
      <c r="A37" s="109"/>
      <c r="B37" s="109"/>
      <c r="C37" s="109" t="s">
        <v>229</v>
      </c>
      <c r="D37" s="109" t="s">
        <v>230</v>
      </c>
      <c r="E37" s="109" t="s">
        <v>250</v>
      </c>
    </row>
    <row r="38" spans="1:5" x14ac:dyDescent="0.25">
      <c r="A38" s="109"/>
      <c r="B38" s="109"/>
      <c r="C38" s="114" t="s">
        <v>251</v>
      </c>
      <c r="D38" s="113" t="s">
        <v>252</v>
      </c>
      <c r="E38" s="109"/>
    </row>
    <row r="39" spans="1:5" x14ac:dyDescent="0.25">
      <c r="A39" s="109"/>
      <c r="B39" s="109"/>
      <c r="C39" s="116" t="s">
        <v>241</v>
      </c>
      <c r="D39" s="109" t="s">
        <v>230</v>
      </c>
      <c r="E39" s="109" t="s">
        <v>250</v>
      </c>
    </row>
    <row r="40" spans="1:5" x14ac:dyDescent="0.25">
      <c r="A40" s="109"/>
      <c r="B40" s="109"/>
      <c r="C40" s="117" t="s">
        <v>253</v>
      </c>
      <c r="D40" s="118" t="s">
        <v>254</v>
      </c>
      <c r="E40" s="46"/>
    </row>
    <row r="41" spans="1:5" x14ac:dyDescent="0.25">
      <c r="A41" s="109"/>
      <c r="B41" s="109"/>
      <c r="C41" s="116" t="s">
        <v>229</v>
      </c>
      <c r="D41" s="109" t="s">
        <v>230</v>
      </c>
      <c r="E41" s="109" t="s">
        <v>231</v>
      </c>
    </row>
    <row r="42" spans="1:5" x14ac:dyDescent="0.25">
      <c r="A42" s="109"/>
      <c r="B42" s="109"/>
      <c r="C42" s="116"/>
      <c r="D42" s="109"/>
      <c r="E42" s="109" t="s">
        <v>255</v>
      </c>
    </row>
    <row r="43" spans="1:5" x14ac:dyDescent="0.25">
      <c r="A43" s="109"/>
      <c r="B43" s="109"/>
      <c r="C43" s="117"/>
      <c r="D43" s="109"/>
      <c r="E43" s="109" t="s">
        <v>233</v>
      </c>
    </row>
    <row r="44" spans="1:5" x14ac:dyDescent="0.25">
      <c r="A44" s="109"/>
      <c r="B44" s="109"/>
      <c r="C44" s="117"/>
      <c r="D44" s="109"/>
      <c r="E44" s="109" t="s">
        <v>234</v>
      </c>
    </row>
    <row r="45" spans="1:5" x14ac:dyDescent="0.25">
      <c r="A45" s="109"/>
      <c r="B45" s="109"/>
      <c r="C45" s="117"/>
      <c r="D45" s="109"/>
      <c r="E45" s="109" t="s">
        <v>235</v>
      </c>
    </row>
    <row r="46" spans="1:5" x14ac:dyDescent="0.25">
      <c r="A46" s="109"/>
      <c r="B46" s="109"/>
      <c r="C46" s="117"/>
      <c r="D46" s="109"/>
      <c r="E46" s="109"/>
    </row>
    <row r="47" spans="1:5" x14ac:dyDescent="0.25">
      <c r="A47" s="109"/>
      <c r="B47" s="109"/>
      <c r="C47" s="114" t="s">
        <v>256</v>
      </c>
      <c r="D47" s="113" t="s">
        <v>257</v>
      </c>
      <c r="E47" s="109" t="s">
        <v>231</v>
      </c>
    </row>
    <row r="48" spans="1:5" x14ac:dyDescent="0.25">
      <c r="A48" s="109"/>
      <c r="B48" s="109"/>
      <c r="C48" s="119"/>
      <c r="D48" s="109"/>
      <c r="E48" s="109" t="s">
        <v>232</v>
      </c>
    </row>
    <row r="49" spans="1:5" x14ac:dyDescent="0.25">
      <c r="A49" s="109"/>
      <c r="B49" s="109"/>
      <c r="C49" s="114"/>
      <c r="D49" s="109"/>
      <c r="E49" s="109" t="s">
        <v>233</v>
      </c>
    </row>
    <row r="50" spans="1:5" x14ac:dyDescent="0.25">
      <c r="A50" s="109"/>
      <c r="B50" s="109"/>
      <c r="C50" s="117"/>
      <c r="D50" s="109"/>
      <c r="E50" s="109"/>
    </row>
    <row r="51" spans="1:5" x14ac:dyDescent="0.25">
      <c r="A51" s="109"/>
      <c r="B51" s="109"/>
      <c r="C51" s="117"/>
      <c r="D51" s="109"/>
      <c r="E51" s="109"/>
    </row>
    <row r="52" spans="1:5" x14ac:dyDescent="0.25">
      <c r="A52" s="109"/>
      <c r="B52" s="109"/>
      <c r="C52" s="114" t="s">
        <v>111</v>
      </c>
      <c r="D52" s="113" t="s">
        <v>258</v>
      </c>
      <c r="E52" s="109"/>
    </row>
    <row r="53" spans="1:5" x14ac:dyDescent="0.25">
      <c r="A53" s="109"/>
      <c r="B53" s="109"/>
      <c r="C53" s="109" t="s">
        <v>229</v>
      </c>
      <c r="D53" s="109" t="s">
        <v>230</v>
      </c>
      <c r="E53" s="109" t="s">
        <v>231</v>
      </c>
    </row>
    <row r="54" spans="1:5" x14ac:dyDescent="0.25">
      <c r="A54" s="109"/>
      <c r="B54" s="109"/>
      <c r="C54" s="109"/>
      <c r="D54" s="109"/>
      <c r="E54" s="109" t="s">
        <v>232</v>
      </c>
    </row>
    <row r="55" spans="1:5" x14ac:dyDescent="0.25">
      <c r="A55" s="109"/>
      <c r="B55" s="109"/>
      <c r="C55" s="109"/>
      <c r="D55" s="109"/>
      <c r="E55" s="109" t="s">
        <v>233</v>
      </c>
    </row>
    <row r="56" spans="1:5" x14ac:dyDescent="0.25">
      <c r="A56" s="109"/>
      <c r="B56" s="109"/>
      <c r="C56" s="109"/>
      <c r="D56" s="109"/>
      <c r="E56" s="109" t="s">
        <v>235</v>
      </c>
    </row>
    <row r="57" spans="1:5" x14ac:dyDescent="0.25">
      <c r="A57" s="109"/>
      <c r="B57" s="109"/>
      <c r="C57" s="117" t="s">
        <v>259</v>
      </c>
      <c r="D57" s="113" t="s">
        <v>260</v>
      </c>
      <c r="E57" s="109"/>
    </row>
    <row r="58" spans="1:5" x14ac:dyDescent="0.25">
      <c r="A58" s="109"/>
      <c r="B58" s="109"/>
      <c r="C58" s="109" t="s">
        <v>229</v>
      </c>
      <c r="D58" s="109" t="s">
        <v>230</v>
      </c>
      <c r="E58" s="109" t="s">
        <v>231</v>
      </c>
    </row>
    <row r="59" spans="1:5" x14ac:dyDescent="0.25">
      <c r="A59" s="109"/>
      <c r="B59" s="109"/>
      <c r="C59" s="109"/>
      <c r="D59" s="109"/>
      <c r="E59" s="109" t="s">
        <v>232</v>
      </c>
    </row>
    <row r="60" spans="1:5" x14ac:dyDescent="0.25">
      <c r="A60" s="109"/>
      <c r="B60" s="109"/>
      <c r="C60" s="109"/>
      <c r="D60" s="109"/>
      <c r="E60" s="109" t="s">
        <v>233</v>
      </c>
    </row>
    <row r="61" spans="1:5" x14ac:dyDescent="0.25">
      <c r="A61" s="109"/>
      <c r="B61" s="109"/>
      <c r="C61" s="109"/>
      <c r="D61" s="109"/>
      <c r="E61" s="109" t="s">
        <v>234</v>
      </c>
    </row>
    <row r="62" spans="1:5" x14ac:dyDescent="0.25">
      <c r="A62" s="109"/>
      <c r="B62" s="109"/>
      <c r="C62" s="109"/>
      <c r="D62" s="109"/>
      <c r="E62" s="109" t="s">
        <v>235</v>
      </c>
    </row>
    <row r="63" spans="1:5" ht="45" x14ac:dyDescent="0.25">
      <c r="A63" s="109"/>
      <c r="B63" s="109"/>
      <c r="C63" s="114" t="s">
        <v>261</v>
      </c>
      <c r="D63" s="120" t="s">
        <v>262</v>
      </c>
      <c r="E63" s="109"/>
    </row>
    <row r="64" spans="1:5" x14ac:dyDescent="0.25">
      <c r="A64" s="109"/>
      <c r="B64" s="109"/>
      <c r="C64" s="121" t="s">
        <v>229</v>
      </c>
      <c r="D64" s="121" t="s">
        <v>230</v>
      </c>
      <c r="E64" s="121" t="s">
        <v>263</v>
      </c>
    </row>
  </sheetData>
  <mergeCells count="2">
    <mergeCell ref="A1:E1"/>
    <mergeCell ref="A2:E2"/>
  </mergeCells>
  <pageMargins left="0.23622047244094491" right="0.23622047244094491" top="0.74803149606299213" bottom="0.74803149606299213" header="0.31496062992125984" footer="0.31496062992125984"/>
  <pageSetup paperSize="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A2" sqref="A2:D2"/>
    </sheetView>
  </sheetViews>
  <sheetFormatPr defaultRowHeight="15" x14ac:dyDescent="0.25"/>
  <cols>
    <col min="1" max="1" width="54.42578125" customWidth="1"/>
    <col min="2" max="3" width="12.28515625" customWidth="1"/>
    <col min="4" max="4" width="10.7109375" customWidth="1"/>
  </cols>
  <sheetData>
    <row r="1" spans="1:4" x14ac:dyDescent="0.25">
      <c r="A1" s="632" t="s">
        <v>485</v>
      </c>
      <c r="B1" s="632"/>
      <c r="C1" s="632"/>
      <c r="D1" s="632"/>
    </row>
    <row r="2" spans="1:4" x14ac:dyDescent="0.25">
      <c r="A2" s="632" t="str">
        <f>+'9.beruházás'!A2:G2</f>
        <v xml:space="preserve">4/2020. (VI.18.)zárszámadási rendelet </v>
      </c>
      <c r="B2" s="632"/>
      <c r="C2" s="632"/>
      <c r="D2" s="632"/>
    </row>
    <row r="3" spans="1:4" ht="18" x14ac:dyDescent="0.25">
      <c r="A3" s="635" t="s">
        <v>471</v>
      </c>
      <c r="B3" s="635"/>
      <c r="C3" s="635"/>
      <c r="D3" s="635"/>
    </row>
    <row r="4" spans="1:4" ht="18" x14ac:dyDescent="0.25">
      <c r="A4" s="635" t="s">
        <v>486</v>
      </c>
      <c r="B4" s="635"/>
      <c r="C4" s="635"/>
      <c r="D4" s="635"/>
    </row>
    <row r="5" spans="1:4" ht="15.75" x14ac:dyDescent="0.25">
      <c r="A5" s="636" t="s">
        <v>487</v>
      </c>
      <c r="B5" s="636"/>
      <c r="C5" s="636"/>
      <c r="D5" s="636"/>
    </row>
    <row r="6" spans="1:4" x14ac:dyDescent="0.25">
      <c r="A6" s="636" t="s">
        <v>529</v>
      </c>
      <c r="B6" s="600"/>
      <c r="C6" s="600"/>
      <c r="D6" s="600"/>
    </row>
    <row r="7" spans="1:4" ht="15.75" x14ac:dyDescent="0.25">
      <c r="A7" s="400"/>
      <c r="B7" s="345"/>
      <c r="C7" s="345"/>
      <c r="D7" s="345"/>
    </row>
    <row r="8" spans="1:4" ht="16.5" thickBot="1" x14ac:dyDescent="0.3">
      <c r="A8" s="400"/>
      <c r="B8" s="345"/>
      <c r="C8" s="345"/>
      <c r="D8" s="345" t="s">
        <v>488</v>
      </c>
    </row>
    <row r="9" spans="1:4" ht="45" x14ac:dyDescent="0.25">
      <c r="A9" s="401" t="s">
        <v>489</v>
      </c>
      <c r="B9" s="402" t="s">
        <v>490</v>
      </c>
      <c r="C9" s="403" t="s">
        <v>491</v>
      </c>
      <c r="D9" s="404" t="s">
        <v>492</v>
      </c>
    </row>
    <row r="10" spans="1:4" x14ac:dyDescent="0.25">
      <c r="A10" s="405"/>
      <c r="B10" s="633" t="s">
        <v>493</v>
      </c>
      <c r="C10" s="634"/>
      <c r="D10" s="406"/>
    </row>
    <row r="11" spans="1:4" x14ac:dyDescent="0.25">
      <c r="A11" s="407" t="s">
        <v>494</v>
      </c>
      <c r="B11" s="408" t="s">
        <v>495</v>
      </c>
      <c r="C11" s="408" t="s">
        <v>496</v>
      </c>
      <c r="D11" s="409" t="s">
        <v>497</v>
      </c>
    </row>
    <row r="12" spans="1:4" x14ac:dyDescent="0.25">
      <c r="A12" s="410" t="s">
        <v>498</v>
      </c>
      <c r="B12" s="411">
        <v>527559</v>
      </c>
      <c r="C12" s="411">
        <v>267715</v>
      </c>
      <c r="D12" s="412">
        <f>C12/B12</f>
        <v>0.50745982913759413</v>
      </c>
    </row>
    <row r="13" spans="1:4" x14ac:dyDescent="0.25">
      <c r="A13" s="410" t="s">
        <v>499</v>
      </c>
      <c r="B13" s="413">
        <v>200979967</v>
      </c>
      <c r="C13" s="413">
        <v>193564069</v>
      </c>
      <c r="D13" s="412">
        <f>C13/B13</f>
        <v>0.9631013075049415</v>
      </c>
    </row>
    <row r="14" spans="1:4" x14ac:dyDescent="0.25">
      <c r="A14" s="410" t="s">
        <v>500</v>
      </c>
      <c r="B14" s="414">
        <v>1742307</v>
      </c>
      <c r="C14" s="414">
        <v>1742307</v>
      </c>
      <c r="D14" s="412">
        <f>C14/B14</f>
        <v>1</v>
      </c>
    </row>
    <row r="15" spans="1:4" x14ac:dyDescent="0.25">
      <c r="A15" s="410" t="s">
        <v>501</v>
      </c>
      <c r="B15" s="414"/>
      <c r="C15" s="414"/>
      <c r="D15" s="412"/>
    </row>
    <row r="16" spans="1:4" x14ac:dyDescent="0.25">
      <c r="A16" s="415" t="s">
        <v>502</v>
      </c>
      <c r="B16" s="416">
        <f>SUM(B12:B15)</f>
        <v>203249833</v>
      </c>
      <c r="C16" s="416">
        <f>SUM(C12:C15)</f>
        <v>195574091</v>
      </c>
      <c r="D16" s="417">
        <f>C16/B16</f>
        <v>0.9622349406801235</v>
      </c>
    </row>
    <row r="17" spans="1:4" x14ac:dyDescent="0.25">
      <c r="A17" s="410" t="s">
        <v>503</v>
      </c>
      <c r="B17" s="411">
        <v>1238250</v>
      </c>
      <c r="C17" s="411">
        <v>0</v>
      </c>
      <c r="D17" s="412">
        <f>C17/B17</f>
        <v>0</v>
      </c>
    </row>
    <row r="18" spans="1:4" x14ac:dyDescent="0.25">
      <c r="A18" s="410" t="s">
        <v>504</v>
      </c>
      <c r="B18" s="411">
        <v>0</v>
      </c>
      <c r="C18" s="411">
        <v>0</v>
      </c>
      <c r="D18" s="412"/>
    </row>
    <row r="19" spans="1:4" x14ac:dyDescent="0.25">
      <c r="A19" s="415" t="s">
        <v>505</v>
      </c>
      <c r="B19" s="418">
        <f>B17+B18</f>
        <v>1238250</v>
      </c>
      <c r="C19" s="418">
        <f>C17+C18</f>
        <v>0</v>
      </c>
      <c r="D19" s="417">
        <f t="shared" ref="D19:D25" si="0">C19/B19</f>
        <v>0</v>
      </c>
    </row>
    <row r="20" spans="1:4" x14ac:dyDescent="0.25">
      <c r="A20" s="415" t="s">
        <v>506</v>
      </c>
      <c r="B20" s="418">
        <v>10120208</v>
      </c>
      <c r="C20" s="418">
        <v>11157494</v>
      </c>
      <c r="D20" s="417">
        <f t="shared" si="0"/>
        <v>1.1024965099531552</v>
      </c>
    </row>
    <row r="21" spans="1:4" x14ac:dyDescent="0.25">
      <c r="A21" s="415" t="s">
        <v>507</v>
      </c>
      <c r="B21" s="418">
        <v>0</v>
      </c>
      <c r="C21" s="418">
        <v>200002</v>
      </c>
      <c r="D21" s="417"/>
    </row>
    <row r="22" spans="1:4" x14ac:dyDescent="0.25">
      <c r="A22" s="415" t="s">
        <v>508</v>
      </c>
      <c r="B22" s="418">
        <v>159204</v>
      </c>
      <c r="C22" s="418">
        <v>2491856</v>
      </c>
      <c r="D22" s="417">
        <f t="shared" si="0"/>
        <v>15.651968543503932</v>
      </c>
    </row>
    <row r="23" spans="1:4" x14ac:dyDescent="0.25">
      <c r="A23" s="415" t="s">
        <v>509</v>
      </c>
      <c r="B23" s="418"/>
      <c r="C23" s="418"/>
      <c r="D23" s="417"/>
    </row>
    <row r="24" spans="1:4" x14ac:dyDescent="0.25">
      <c r="A24" s="415" t="s">
        <v>510</v>
      </c>
      <c r="B24" s="416">
        <f>B19+B20++B21+B22</f>
        <v>11517662</v>
      </c>
      <c r="C24" s="416">
        <f>C19+C20++C21+C22</f>
        <v>13849352</v>
      </c>
      <c r="D24" s="417">
        <f t="shared" si="0"/>
        <v>1.2024447322729213</v>
      </c>
    </row>
    <row r="25" spans="1:4" x14ac:dyDescent="0.25">
      <c r="A25" s="419" t="s">
        <v>511</v>
      </c>
      <c r="B25" s="416">
        <f>B16+B24</f>
        <v>214767495</v>
      </c>
      <c r="C25" s="416">
        <f>C16+C24</f>
        <v>209423443</v>
      </c>
      <c r="D25" s="417">
        <f t="shared" si="0"/>
        <v>0.97511703528506488</v>
      </c>
    </row>
    <row r="26" spans="1:4" x14ac:dyDescent="0.25">
      <c r="A26" s="420"/>
      <c r="B26" s="399"/>
      <c r="C26" s="399"/>
      <c r="D26" s="421"/>
    </row>
    <row r="27" spans="1:4" ht="20.25" x14ac:dyDescent="0.25">
      <c r="A27" s="422" t="s">
        <v>512</v>
      </c>
      <c r="B27" s="423" t="s">
        <v>513</v>
      </c>
      <c r="C27" s="424" t="s">
        <v>491</v>
      </c>
      <c r="D27" s="425" t="s">
        <v>514</v>
      </c>
    </row>
    <row r="28" spans="1:4" x14ac:dyDescent="0.25">
      <c r="A28" s="426"/>
      <c r="B28" s="633" t="s">
        <v>493</v>
      </c>
      <c r="C28" s="634"/>
      <c r="D28" s="427" t="s">
        <v>515</v>
      </c>
    </row>
    <row r="29" spans="1:4" x14ac:dyDescent="0.25">
      <c r="A29" s="407" t="s">
        <v>494</v>
      </c>
      <c r="B29" s="408" t="s">
        <v>495</v>
      </c>
      <c r="C29" s="408" t="s">
        <v>496</v>
      </c>
      <c r="D29" s="409" t="s">
        <v>497</v>
      </c>
    </row>
    <row r="30" spans="1:4" x14ac:dyDescent="0.25">
      <c r="A30" s="410" t="s">
        <v>516</v>
      </c>
      <c r="B30" s="411">
        <v>173385386</v>
      </c>
      <c r="C30" s="411">
        <v>173385386</v>
      </c>
      <c r="D30" s="412">
        <f>C30/B30</f>
        <v>1</v>
      </c>
    </row>
    <row r="31" spans="1:4" x14ac:dyDescent="0.25">
      <c r="A31" s="410" t="s">
        <v>517</v>
      </c>
      <c r="B31" s="411"/>
      <c r="C31" s="411"/>
      <c r="D31" s="412"/>
    </row>
    <row r="32" spans="1:4" x14ac:dyDescent="0.25">
      <c r="A32" s="410" t="s">
        <v>518</v>
      </c>
      <c r="B32" s="411">
        <v>11113315</v>
      </c>
      <c r="C32" s="411">
        <v>11113315</v>
      </c>
      <c r="D32" s="412">
        <f t="shared" ref="D32:D41" si="1">C32/B32</f>
        <v>1</v>
      </c>
    </row>
    <row r="33" spans="1:4" x14ac:dyDescent="0.25">
      <c r="A33" s="410" t="s">
        <v>519</v>
      </c>
      <c r="B33" s="411">
        <v>-70687425</v>
      </c>
      <c r="C33" s="411">
        <v>-79351465</v>
      </c>
      <c r="D33" s="412">
        <f t="shared" si="1"/>
        <v>1.1225683351741842</v>
      </c>
    </row>
    <row r="34" spans="1:4" x14ac:dyDescent="0.25">
      <c r="A34" s="410" t="s">
        <v>520</v>
      </c>
      <c r="B34" s="411"/>
      <c r="C34" s="411"/>
      <c r="D34" s="412"/>
    </row>
    <row r="35" spans="1:4" x14ac:dyDescent="0.25">
      <c r="A35" s="410" t="s">
        <v>521</v>
      </c>
      <c r="B35" s="411">
        <v>-8664040</v>
      </c>
      <c r="C35" s="411">
        <v>-8295824</v>
      </c>
      <c r="D35" s="412">
        <f t="shared" si="1"/>
        <v>0.95750065789169947</v>
      </c>
    </row>
    <row r="36" spans="1:4" x14ac:dyDescent="0.25">
      <c r="A36" s="415" t="s">
        <v>522</v>
      </c>
      <c r="B36" s="416">
        <f>SUM(B30:B35)</f>
        <v>105147236</v>
      </c>
      <c r="C36" s="416">
        <f>SUM(C30:C35)</f>
        <v>96851412</v>
      </c>
      <c r="D36" s="417">
        <f>C36/B36</f>
        <v>0.92110278581169747</v>
      </c>
    </row>
    <row r="37" spans="1:4" x14ac:dyDescent="0.25">
      <c r="A37" s="428" t="s">
        <v>523</v>
      </c>
      <c r="B37" s="413">
        <v>1089351</v>
      </c>
      <c r="C37" s="413">
        <v>1129193</v>
      </c>
      <c r="D37" s="412">
        <f t="shared" si="1"/>
        <v>1.0365740702491668</v>
      </c>
    </row>
    <row r="38" spans="1:4" x14ac:dyDescent="0.25">
      <c r="A38" s="428" t="s">
        <v>524</v>
      </c>
      <c r="B38" s="413">
        <v>1129792</v>
      </c>
      <c r="C38" s="413">
        <v>1184836</v>
      </c>
      <c r="D38" s="412">
        <f t="shared" si="1"/>
        <v>1.0487204724409449</v>
      </c>
    </row>
    <row r="39" spans="1:4" x14ac:dyDescent="0.25">
      <c r="A39" s="428" t="s">
        <v>525</v>
      </c>
      <c r="B39" s="413">
        <v>0</v>
      </c>
      <c r="C39" s="413">
        <v>2856886</v>
      </c>
      <c r="D39" s="412"/>
    </row>
    <row r="40" spans="1:4" x14ac:dyDescent="0.25">
      <c r="A40" s="429" t="s">
        <v>526</v>
      </c>
      <c r="B40" s="416">
        <f>SUM(B37:B39)</f>
        <v>2219143</v>
      </c>
      <c r="C40" s="416">
        <f>SUM(C37:C39)</f>
        <v>5170915</v>
      </c>
      <c r="D40" s="417">
        <f t="shared" si="1"/>
        <v>2.3301405091965681</v>
      </c>
    </row>
    <row r="41" spans="1:4" x14ac:dyDescent="0.25">
      <c r="A41" s="429" t="s">
        <v>527</v>
      </c>
      <c r="B41" s="416">
        <v>107401116</v>
      </c>
      <c r="C41" s="416">
        <v>107401116</v>
      </c>
      <c r="D41" s="417">
        <f t="shared" si="1"/>
        <v>1</v>
      </c>
    </row>
    <row r="42" spans="1:4" ht="15.75" thickBot="1" x14ac:dyDescent="0.3">
      <c r="A42" s="430" t="s">
        <v>528</v>
      </c>
      <c r="B42" s="431">
        <f>B36+B40+B41</f>
        <v>214767495</v>
      </c>
      <c r="C42" s="431">
        <f>C36+C40+C41</f>
        <v>209423443</v>
      </c>
      <c r="D42" s="432">
        <f>C42/B42</f>
        <v>0.97511703528506488</v>
      </c>
    </row>
  </sheetData>
  <mergeCells count="8">
    <mergeCell ref="A1:D1"/>
    <mergeCell ref="A2:D2"/>
    <mergeCell ref="B28:C28"/>
    <mergeCell ref="A3:D3"/>
    <mergeCell ref="A4:D4"/>
    <mergeCell ref="A5:D5"/>
    <mergeCell ref="A6:D6"/>
    <mergeCell ref="B10:C10"/>
  </mergeCells>
  <pageMargins left="0.70866141732283472" right="0.70866141732283472" top="0.74803149606299213" bottom="0.74803149606299213" header="0.31496062992125984" footer="0.31496062992125984"/>
  <pageSetup paperSize="8" scale="1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7" workbookViewId="0">
      <selection activeCell="A9" sqref="A9:C9"/>
    </sheetView>
  </sheetViews>
  <sheetFormatPr defaultRowHeight="15" x14ac:dyDescent="0.25"/>
  <cols>
    <col min="1" max="1" width="4.42578125" customWidth="1"/>
    <col min="2" max="2" width="47.85546875" customWidth="1"/>
    <col min="3" max="3" width="30.5703125" customWidth="1"/>
    <col min="4" max="5" width="0" hidden="1" customWidth="1"/>
  </cols>
  <sheetData>
    <row r="1" spans="1:5" x14ac:dyDescent="0.25">
      <c r="A1">
        <v>11</v>
      </c>
    </row>
    <row r="8" spans="1:5" x14ac:dyDescent="0.25">
      <c r="A8" s="590" t="s">
        <v>470</v>
      </c>
      <c r="B8" s="590"/>
      <c r="C8" s="590"/>
    </row>
    <row r="9" spans="1:5" x14ac:dyDescent="0.25">
      <c r="A9" s="590" t="str">
        <f>+'9.beruházás'!A26:G26</f>
        <v xml:space="preserve">4/2020. (VI.18.)zárszámadási rendelet </v>
      </c>
      <c r="B9" s="590"/>
      <c r="C9" s="590"/>
    </row>
    <row r="10" spans="1:5" ht="15.75" x14ac:dyDescent="0.25">
      <c r="A10" s="637" t="s">
        <v>471</v>
      </c>
      <c r="B10" s="637"/>
      <c r="C10" s="637"/>
      <c r="D10" s="637"/>
      <c r="E10" s="637"/>
    </row>
    <row r="11" spans="1:5" ht="15.75" x14ac:dyDescent="0.25">
      <c r="A11" s="637" t="s">
        <v>484</v>
      </c>
      <c r="B11" s="637"/>
      <c r="C11" s="637"/>
      <c r="D11" s="637"/>
      <c r="E11" s="637"/>
    </row>
    <row r="13" spans="1:5" ht="25.15" customHeight="1" x14ac:dyDescent="0.25">
      <c r="A13" s="385" t="s">
        <v>472</v>
      </c>
      <c r="B13" s="386" t="s">
        <v>8</v>
      </c>
      <c r="C13" s="387" t="s">
        <v>473</v>
      </c>
      <c r="D13" s="388" t="s">
        <v>474</v>
      </c>
      <c r="E13" s="389"/>
    </row>
    <row r="14" spans="1:5" ht="25.15" customHeight="1" x14ac:dyDescent="0.25">
      <c r="A14" s="390">
        <v>1</v>
      </c>
      <c r="B14" s="391" t="s">
        <v>475</v>
      </c>
      <c r="C14" s="274">
        <v>58413360</v>
      </c>
      <c r="D14" s="392"/>
      <c r="E14" s="392"/>
    </row>
    <row r="15" spans="1:5" ht="25.15" customHeight="1" x14ac:dyDescent="0.25">
      <c r="A15" s="390">
        <v>2</v>
      </c>
      <c r="B15" s="391" t="s">
        <v>476</v>
      </c>
      <c r="C15" s="274">
        <v>57955352</v>
      </c>
      <c r="D15" s="392"/>
      <c r="E15" s="392"/>
    </row>
    <row r="16" spans="1:5" ht="25.15" customHeight="1" x14ac:dyDescent="0.25">
      <c r="A16" s="393">
        <v>3</v>
      </c>
      <c r="B16" s="394" t="s">
        <v>477</v>
      </c>
      <c r="C16" s="395">
        <f>+C14-C15</f>
        <v>458008</v>
      </c>
      <c r="D16" s="392"/>
      <c r="E16" s="392"/>
    </row>
    <row r="17" spans="1:5" ht="25.15" customHeight="1" x14ac:dyDescent="0.25">
      <c r="A17" s="390">
        <v>4</v>
      </c>
      <c r="B17" s="391" t="s">
        <v>478</v>
      </c>
      <c r="C17" s="274">
        <v>11910544</v>
      </c>
      <c r="D17" s="392"/>
      <c r="E17" s="392"/>
    </row>
    <row r="18" spans="1:5" ht="25.15" customHeight="1" x14ac:dyDescent="0.25">
      <c r="A18" s="390">
        <v>5</v>
      </c>
      <c r="B18" s="391" t="s">
        <v>479</v>
      </c>
      <c r="C18" s="274">
        <v>1129792</v>
      </c>
      <c r="D18" s="392"/>
      <c r="E18" s="392"/>
    </row>
    <row r="19" spans="1:5" ht="25.15" customHeight="1" x14ac:dyDescent="0.25">
      <c r="A19" s="396">
        <v>6</v>
      </c>
      <c r="B19" s="394" t="s">
        <v>480</v>
      </c>
      <c r="C19" s="397">
        <f>+C17-C18</f>
        <v>10780752</v>
      </c>
      <c r="D19" s="398"/>
      <c r="E19" s="398"/>
    </row>
    <row r="20" spans="1:5" ht="25.15" customHeight="1" x14ac:dyDescent="0.25">
      <c r="A20" s="393">
        <v>7</v>
      </c>
      <c r="B20" s="394" t="s">
        <v>481</v>
      </c>
      <c r="C20" s="395">
        <f>+C16+C19</f>
        <v>11238760</v>
      </c>
      <c r="D20" s="394"/>
      <c r="E20" s="394"/>
    </row>
    <row r="21" spans="1:5" ht="25.15" customHeight="1" x14ac:dyDescent="0.25">
      <c r="A21" s="393">
        <v>8</v>
      </c>
      <c r="B21" s="394" t="s">
        <v>482</v>
      </c>
      <c r="C21" s="395">
        <f>+C20</f>
        <v>11238760</v>
      </c>
      <c r="D21" s="394"/>
      <c r="E21" s="394"/>
    </row>
    <row r="22" spans="1:5" ht="25.15" customHeight="1" x14ac:dyDescent="0.25">
      <c r="A22" s="396">
        <v>9</v>
      </c>
      <c r="B22" s="394" t="s">
        <v>483</v>
      </c>
      <c r="C22" s="397">
        <f>+C21</f>
        <v>11238760</v>
      </c>
      <c r="D22" s="398"/>
      <c r="E22" s="398"/>
    </row>
  </sheetData>
  <mergeCells count="4">
    <mergeCell ref="A10:E10"/>
    <mergeCell ref="A11:E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8" scale="11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workbookViewId="0">
      <selection activeCell="A3" sqref="A3:D3"/>
    </sheetView>
  </sheetViews>
  <sheetFormatPr defaultRowHeight="15" x14ac:dyDescent="0.25"/>
  <cols>
    <col min="1" max="1" width="8" customWidth="1"/>
    <col min="2" max="2" width="41.7109375" customWidth="1"/>
    <col min="3" max="3" width="15.7109375" customWidth="1"/>
    <col min="4" max="4" width="15.28515625" customWidth="1"/>
  </cols>
  <sheetData>
    <row r="2" spans="1:4" x14ac:dyDescent="0.25">
      <c r="A2" s="605" t="s">
        <v>458</v>
      </c>
      <c r="B2" s="605"/>
      <c r="C2" s="605"/>
      <c r="D2" s="605"/>
    </row>
    <row r="3" spans="1:4" x14ac:dyDescent="0.25">
      <c r="A3" s="605" t="str">
        <f>+'2. mérleg'!A3:K3</f>
        <v xml:space="preserve">4/2020. (VI.18.)zárszámadási rendelet </v>
      </c>
      <c r="B3" s="605"/>
      <c r="C3" s="605"/>
      <c r="D3" s="605"/>
    </row>
    <row r="4" spans="1:4" x14ac:dyDescent="0.25">
      <c r="A4" s="638" t="s">
        <v>200</v>
      </c>
      <c r="B4" s="638"/>
      <c r="C4" s="638"/>
      <c r="D4" s="638"/>
    </row>
    <row r="5" spans="1:4" x14ac:dyDescent="0.25">
      <c r="A5" s="26"/>
      <c r="B5" s="26"/>
      <c r="C5" s="26"/>
      <c r="D5" s="26"/>
    </row>
    <row r="6" spans="1:4" ht="24" x14ac:dyDescent="0.25">
      <c r="A6" s="16" t="s">
        <v>70</v>
      </c>
      <c r="B6" s="16" t="s">
        <v>69</v>
      </c>
      <c r="C6" s="16" t="s">
        <v>73</v>
      </c>
      <c r="D6" s="16" t="s">
        <v>68</v>
      </c>
    </row>
    <row r="7" spans="1:4" x14ac:dyDescent="0.25">
      <c r="A7" s="15"/>
      <c r="B7" s="15"/>
      <c r="C7" s="15"/>
      <c r="D7" s="15"/>
    </row>
    <row r="8" spans="1:4" ht="24" x14ac:dyDescent="0.25">
      <c r="A8" s="12">
        <v>1</v>
      </c>
      <c r="B8" s="13" t="s">
        <v>67</v>
      </c>
      <c r="C8" s="13"/>
      <c r="D8" s="11"/>
    </row>
    <row r="9" spans="1:4" ht="24" x14ac:dyDescent="0.25">
      <c r="A9" s="12">
        <v>2</v>
      </c>
      <c r="B9" s="13" t="s">
        <v>66</v>
      </c>
      <c r="C9" s="11"/>
      <c r="D9" s="11"/>
    </row>
    <row r="10" spans="1:4" ht="24" x14ac:dyDescent="0.25">
      <c r="A10" s="12">
        <v>3</v>
      </c>
      <c r="B10" s="13" t="s">
        <v>65</v>
      </c>
      <c r="C10" s="11"/>
      <c r="D10" s="11"/>
    </row>
    <row r="11" spans="1:4" ht="24" x14ac:dyDescent="0.25">
      <c r="A11" s="12">
        <v>4</v>
      </c>
      <c r="B11" s="13" t="s">
        <v>64</v>
      </c>
      <c r="C11" s="11"/>
      <c r="D11" s="11"/>
    </row>
    <row r="12" spans="1:4" ht="24" x14ac:dyDescent="0.25">
      <c r="A12" s="12">
        <v>5</v>
      </c>
      <c r="B12" s="13" t="s">
        <v>63</v>
      </c>
      <c r="C12" s="14"/>
      <c r="D12" s="11"/>
    </row>
    <row r="13" spans="1:4" x14ac:dyDescent="0.25">
      <c r="A13" s="12">
        <v>6</v>
      </c>
      <c r="B13" s="13" t="s">
        <v>62</v>
      </c>
      <c r="C13" s="11"/>
      <c r="D13" s="11"/>
    </row>
    <row r="14" spans="1:4" x14ac:dyDescent="0.25">
      <c r="A14" s="12">
        <v>7</v>
      </c>
      <c r="B14" s="13" t="s">
        <v>61</v>
      </c>
      <c r="C14" s="11"/>
      <c r="D14" s="11"/>
    </row>
    <row r="15" spans="1:4" x14ac:dyDescent="0.25">
      <c r="A15" s="12">
        <v>8</v>
      </c>
      <c r="B15" s="13" t="s">
        <v>60</v>
      </c>
      <c r="C15" s="11"/>
      <c r="D15" s="11"/>
    </row>
    <row r="16" spans="1:4" x14ac:dyDescent="0.25">
      <c r="A16" s="12">
        <v>9</v>
      </c>
      <c r="B16" s="13" t="s">
        <v>59</v>
      </c>
      <c r="C16" s="14">
        <f>+'4a. bevételek'!D21</f>
        <v>485000</v>
      </c>
      <c r="D16" s="14">
        <v>0</v>
      </c>
    </row>
    <row r="17" spans="1:4" x14ac:dyDescent="0.25">
      <c r="A17" s="12">
        <v>10</v>
      </c>
      <c r="B17" s="13" t="s">
        <v>58</v>
      </c>
      <c r="C17" s="14"/>
      <c r="D17" s="14"/>
    </row>
    <row r="18" spans="1:4" x14ac:dyDescent="0.25">
      <c r="A18" s="12">
        <v>11</v>
      </c>
      <c r="B18" s="13" t="s">
        <v>57</v>
      </c>
      <c r="C18" s="14"/>
      <c r="D18" s="14"/>
    </row>
    <row r="19" spans="1:4" ht="24" x14ac:dyDescent="0.25">
      <c r="A19" s="12">
        <v>12</v>
      </c>
      <c r="B19" s="13" t="s">
        <v>56</v>
      </c>
      <c r="C19" s="14">
        <f>+'4a. bevételek'!D23</f>
        <v>420000</v>
      </c>
      <c r="D19" s="14">
        <v>0</v>
      </c>
    </row>
    <row r="20" spans="1:4" x14ac:dyDescent="0.25">
      <c r="A20" s="12">
        <v>13</v>
      </c>
      <c r="B20" s="13" t="s">
        <v>55</v>
      </c>
      <c r="C20" s="14">
        <f>+'4a. bevételek'!D24</f>
        <v>302000</v>
      </c>
      <c r="D20" s="14">
        <v>0</v>
      </c>
    </row>
    <row r="21" spans="1:4" x14ac:dyDescent="0.25">
      <c r="A21" s="12">
        <v>14</v>
      </c>
      <c r="B21" s="13" t="s">
        <v>54</v>
      </c>
      <c r="C21" s="11"/>
      <c r="D21" s="11"/>
    </row>
    <row r="22" spans="1:4" x14ac:dyDescent="0.25">
      <c r="A22" s="12">
        <v>15</v>
      </c>
      <c r="B22" s="13" t="s">
        <v>53</v>
      </c>
      <c r="C22" s="11"/>
      <c r="D22" s="11"/>
    </row>
    <row r="23" spans="1:4" x14ac:dyDescent="0.25">
      <c r="A23" s="12">
        <v>16</v>
      </c>
      <c r="B23" s="13" t="s">
        <v>52</v>
      </c>
      <c r="C23" s="11"/>
      <c r="D23" s="11"/>
    </row>
    <row r="24" spans="1:4" x14ac:dyDescent="0.25">
      <c r="A24" s="12">
        <v>17</v>
      </c>
      <c r="B24" s="13" t="s">
        <v>51</v>
      </c>
      <c r="C24" s="11"/>
      <c r="D24" s="11"/>
    </row>
    <row r="25" spans="1:4" x14ac:dyDescent="0.25">
      <c r="A25" s="12">
        <v>18</v>
      </c>
      <c r="B25" s="11"/>
      <c r="C25" s="11"/>
      <c r="D25" s="11"/>
    </row>
    <row r="26" spans="1:4" x14ac:dyDescent="0.25">
      <c r="A26" s="12">
        <v>19</v>
      </c>
      <c r="B26" s="11"/>
      <c r="C26" s="11"/>
      <c r="D26" s="11"/>
    </row>
    <row r="27" spans="1:4" x14ac:dyDescent="0.25">
      <c r="A27" s="12">
        <v>20</v>
      </c>
      <c r="B27" s="11"/>
      <c r="C27" s="11"/>
      <c r="D27" s="11"/>
    </row>
    <row r="28" spans="1:4" x14ac:dyDescent="0.25">
      <c r="A28" s="12">
        <v>21</v>
      </c>
      <c r="B28" s="11"/>
      <c r="C28" s="11"/>
      <c r="D28" s="11"/>
    </row>
    <row r="29" spans="1:4" x14ac:dyDescent="0.25">
      <c r="A29" s="12">
        <v>22</v>
      </c>
      <c r="B29" s="11"/>
      <c r="C29" s="11"/>
      <c r="D29" s="11"/>
    </row>
    <row r="30" spans="1:4" x14ac:dyDescent="0.25">
      <c r="A30" s="12">
        <v>23</v>
      </c>
      <c r="B30" s="11"/>
      <c r="C30" s="11"/>
      <c r="D30" s="11"/>
    </row>
    <row r="31" spans="1:4" x14ac:dyDescent="0.25">
      <c r="A31" s="12">
        <v>24</v>
      </c>
      <c r="B31" s="11"/>
      <c r="C31" s="11"/>
      <c r="D31" s="11"/>
    </row>
    <row r="32" spans="1:4" ht="22.15" customHeight="1" x14ac:dyDescent="0.25">
      <c r="A32" s="34"/>
      <c r="B32" s="35" t="s">
        <v>50</v>
      </c>
      <c r="C32" s="36">
        <f>C14+C16+C19+C20</f>
        <v>1207000</v>
      </c>
      <c r="D32" s="37">
        <v>0</v>
      </c>
    </row>
  </sheetData>
  <mergeCells count="3">
    <mergeCell ref="A2:D2"/>
    <mergeCell ref="A3:D3"/>
    <mergeCell ref="A4:D4"/>
  </mergeCells>
  <phoneticPr fontId="0" type="noConversion"/>
  <pageMargins left="0.70866141732283472" right="0.70866141732283472" top="0.74803149606299213" bottom="0.74803149606299213" header="0.31496062992125984" footer="0.31496062992125984"/>
  <pageSetup paperSize="8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1"/>
  <sheetViews>
    <sheetView topLeftCell="B1" workbookViewId="0">
      <selection activeCell="G7" sqref="G7"/>
    </sheetView>
  </sheetViews>
  <sheetFormatPr defaultRowHeight="15" x14ac:dyDescent="0.25"/>
  <cols>
    <col min="2" max="2" width="42.7109375" customWidth="1"/>
    <col min="3" max="4" width="0" hidden="1" customWidth="1"/>
    <col min="5" max="5" width="13.42578125" customWidth="1"/>
    <col min="6" max="6" width="15.140625" customWidth="1"/>
    <col min="7" max="7" width="13.7109375" customWidth="1"/>
    <col min="8" max="18" width="0" hidden="1" customWidth="1"/>
  </cols>
  <sheetData>
    <row r="1" spans="2:36" x14ac:dyDescent="0.25">
      <c r="B1" s="600" t="s">
        <v>530</v>
      </c>
      <c r="C1" s="600"/>
      <c r="D1" s="600"/>
      <c r="E1" s="600"/>
      <c r="F1" s="600"/>
      <c r="G1" s="600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</row>
    <row r="2" spans="2:36" ht="14.45" customHeight="1" x14ac:dyDescent="0.25">
      <c r="B2" s="559" t="s">
        <v>361</v>
      </c>
      <c r="C2" s="559"/>
      <c r="D2" s="559"/>
      <c r="E2" s="559"/>
      <c r="F2" s="559"/>
      <c r="G2" s="559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</row>
    <row r="3" spans="2:36" x14ac:dyDescent="0.25">
      <c r="B3" s="593" t="s">
        <v>557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</row>
    <row r="4" spans="2:36" x14ac:dyDescent="0.25"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</row>
    <row r="5" spans="2:36" x14ac:dyDescent="0.25">
      <c r="B5" s="330"/>
      <c r="C5" s="331"/>
      <c r="D5" s="434"/>
      <c r="E5" s="434"/>
      <c r="F5" s="331"/>
      <c r="G5" s="435" t="s">
        <v>531</v>
      </c>
      <c r="H5" s="331"/>
      <c r="I5" s="328"/>
      <c r="J5" s="328"/>
      <c r="K5" s="328"/>
      <c r="L5" s="328"/>
      <c r="M5" s="641" t="s">
        <v>532</v>
      </c>
      <c r="N5" s="641"/>
      <c r="O5" s="641"/>
      <c r="P5" s="641"/>
      <c r="Q5" s="641"/>
      <c r="R5" s="641"/>
    </row>
    <row r="6" spans="2:36" x14ac:dyDescent="0.25">
      <c r="B6" s="642" t="s">
        <v>533</v>
      </c>
      <c r="C6" s="436" t="s">
        <v>534</v>
      </c>
      <c r="D6" s="437" t="s">
        <v>535</v>
      </c>
      <c r="E6" s="645" t="s">
        <v>536</v>
      </c>
      <c r="F6" s="436" t="s">
        <v>558</v>
      </c>
      <c r="G6" s="436" t="s">
        <v>627</v>
      </c>
      <c r="H6" s="436" t="s">
        <v>537</v>
      </c>
      <c r="I6" s="648" t="s">
        <v>538</v>
      </c>
      <c r="J6" s="648"/>
      <c r="K6" s="648"/>
      <c r="L6" s="648"/>
      <c r="M6" s="649" t="s">
        <v>539</v>
      </c>
      <c r="N6" s="649"/>
      <c r="O6" s="649"/>
      <c r="P6" s="649"/>
      <c r="Q6" s="649"/>
      <c r="R6" s="650"/>
    </row>
    <row r="7" spans="2:36" x14ac:dyDescent="0.25">
      <c r="B7" s="643"/>
      <c r="C7" s="438" t="s">
        <v>540</v>
      </c>
      <c r="D7" s="439" t="s">
        <v>541</v>
      </c>
      <c r="E7" s="646"/>
      <c r="F7" s="438" t="s">
        <v>542</v>
      </c>
      <c r="G7" s="438" t="s">
        <v>542</v>
      </c>
      <c r="H7" s="438" t="s">
        <v>543</v>
      </c>
      <c r="I7" s="639" t="s">
        <v>544</v>
      </c>
      <c r="J7" s="639" t="s">
        <v>545</v>
      </c>
      <c r="K7" s="639" t="s">
        <v>546</v>
      </c>
      <c r="L7" s="640" t="s">
        <v>547</v>
      </c>
      <c r="M7" s="649"/>
      <c r="N7" s="649"/>
      <c r="O7" s="649"/>
      <c r="P7" s="649"/>
      <c r="Q7" s="649"/>
      <c r="R7" s="650"/>
    </row>
    <row r="8" spans="2:36" x14ac:dyDescent="0.25">
      <c r="B8" s="644"/>
      <c r="C8" s="440" t="s">
        <v>548</v>
      </c>
      <c r="D8" s="441" t="s">
        <v>549</v>
      </c>
      <c r="E8" s="647"/>
      <c r="F8" s="440" t="s">
        <v>550</v>
      </c>
      <c r="G8" s="440" t="s">
        <v>550</v>
      </c>
      <c r="H8" s="440" t="s">
        <v>551</v>
      </c>
      <c r="I8" s="639"/>
      <c r="J8" s="639"/>
      <c r="K8" s="639"/>
      <c r="L8" s="639"/>
      <c r="M8" s="442"/>
      <c r="N8" s="443"/>
      <c r="O8" s="443"/>
      <c r="P8" s="443"/>
      <c r="Q8" s="443"/>
      <c r="R8" s="443"/>
    </row>
    <row r="9" spans="2:36" ht="19.899999999999999" customHeight="1" x14ac:dyDescent="0.25">
      <c r="B9" s="444" t="s">
        <v>552</v>
      </c>
      <c r="C9" s="445"/>
      <c r="D9" s="439"/>
      <c r="E9" s="439"/>
      <c r="F9" s="445">
        <v>0</v>
      </c>
      <c r="G9" s="445"/>
      <c r="H9" s="445"/>
      <c r="I9" s="121"/>
      <c r="J9" s="121"/>
      <c r="K9" s="121"/>
      <c r="L9" s="121"/>
      <c r="M9" s="445"/>
      <c r="N9" s="446"/>
      <c r="O9" s="446"/>
      <c r="P9" s="446"/>
      <c r="Q9" s="446"/>
      <c r="R9" s="446"/>
    </row>
    <row r="10" spans="2:36" ht="19.899999999999999" customHeight="1" x14ac:dyDescent="0.25">
      <c r="B10" s="447" t="s">
        <v>553</v>
      </c>
      <c r="C10" s="448"/>
      <c r="D10" s="309"/>
      <c r="E10" s="449"/>
      <c r="F10" s="448"/>
      <c r="G10" s="448"/>
      <c r="H10" s="448"/>
      <c r="I10" s="121"/>
      <c r="J10" s="121"/>
      <c r="K10" s="121"/>
      <c r="L10" s="121"/>
      <c r="M10" s="448"/>
      <c r="N10" s="450"/>
      <c r="O10" s="450"/>
      <c r="P10" s="450"/>
      <c r="Q10" s="450"/>
      <c r="R10" s="450"/>
    </row>
    <row r="11" spans="2:36" ht="19.899999999999999" customHeight="1" x14ac:dyDescent="0.25">
      <c r="B11" s="447" t="s">
        <v>554</v>
      </c>
      <c r="C11" s="448"/>
      <c r="D11" s="309"/>
      <c r="E11" s="449"/>
      <c r="F11" s="448"/>
      <c r="G11" s="121"/>
      <c r="H11" s="448"/>
      <c r="I11" s="121"/>
      <c r="J11" s="121"/>
      <c r="K11" s="121"/>
      <c r="L11" s="121"/>
      <c r="M11" s="448"/>
      <c r="N11" s="450"/>
      <c r="O11" s="450"/>
      <c r="P11" s="450"/>
      <c r="Q11" s="450"/>
      <c r="R11" s="450"/>
    </row>
    <row r="12" spans="2:36" ht="19.899999999999999" customHeight="1" x14ac:dyDescent="0.25">
      <c r="B12" s="447" t="s">
        <v>555</v>
      </c>
      <c r="C12" s="448"/>
      <c r="D12" s="309"/>
      <c r="E12" s="449"/>
      <c r="F12" s="448"/>
      <c r="G12" s="448"/>
      <c r="H12" s="448"/>
      <c r="I12" s="121"/>
      <c r="J12" s="121"/>
      <c r="K12" s="121"/>
      <c r="L12" s="121"/>
      <c r="M12" s="448"/>
      <c r="N12" s="450"/>
      <c r="O12" s="450"/>
      <c r="P12" s="450"/>
      <c r="Q12" s="450"/>
      <c r="R12" s="450"/>
    </row>
    <row r="13" spans="2:36" ht="19.899999999999999" customHeight="1" x14ac:dyDescent="0.25">
      <c r="B13" s="451" t="s">
        <v>556</v>
      </c>
      <c r="C13" s="452" t="e">
        <f>#REF!+#REF!</f>
        <v>#REF!</v>
      </c>
      <c r="D13" s="453"/>
      <c r="E13" s="453"/>
      <c r="F13" s="452">
        <v>0</v>
      </c>
      <c r="G13" s="452">
        <v>0</v>
      </c>
      <c r="H13" s="452" t="e">
        <f>#REF!+#REF!</f>
        <v>#REF!</v>
      </c>
      <c r="I13" s="452" t="e">
        <f>#REF!+#REF!</f>
        <v>#REF!</v>
      </c>
      <c r="J13" s="452" t="e">
        <f>#REF!+#REF!</f>
        <v>#REF!</v>
      </c>
      <c r="K13" s="452" t="e">
        <f>#REF!+#REF!</f>
        <v>#REF!</v>
      </c>
      <c r="L13" s="452"/>
      <c r="M13" s="452"/>
      <c r="N13" s="452"/>
      <c r="O13" s="452"/>
      <c r="P13" s="452"/>
      <c r="Q13" s="452"/>
      <c r="R13" s="452"/>
    </row>
    <row r="21" spans="20:20" x14ac:dyDescent="0.25">
      <c r="T21" t="s">
        <v>459</v>
      </c>
    </row>
  </sheetData>
  <mergeCells count="12">
    <mergeCell ref="I7:I8"/>
    <mergeCell ref="J7:J8"/>
    <mergeCell ref="K7:K8"/>
    <mergeCell ref="L7:L8"/>
    <mergeCell ref="B1:G1"/>
    <mergeCell ref="B2:G2"/>
    <mergeCell ref="B3:R3"/>
    <mergeCell ref="M5:R5"/>
    <mergeCell ref="B6:B8"/>
    <mergeCell ref="E6:E8"/>
    <mergeCell ref="I6:L6"/>
    <mergeCell ref="M6:R7"/>
  </mergeCells>
  <pageMargins left="0.7" right="0.7" top="0.75" bottom="0.75" header="0.3" footer="0.3"/>
  <pageSetup paperSize="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8" sqref="B8"/>
    </sheetView>
  </sheetViews>
  <sheetFormatPr defaultRowHeight="15" x14ac:dyDescent="0.25"/>
  <cols>
    <col min="1" max="1" width="31.140625" customWidth="1"/>
    <col min="2" max="2" width="20.7109375" customWidth="1"/>
    <col min="3" max="3" width="27.28515625" customWidth="1"/>
    <col min="4" max="4" width="18.7109375" customWidth="1"/>
  </cols>
  <sheetData>
    <row r="1" spans="1:4" x14ac:dyDescent="0.25">
      <c r="A1" s="651" t="s">
        <v>559</v>
      </c>
      <c r="B1" s="651"/>
      <c r="C1" s="651"/>
      <c r="D1" s="651"/>
    </row>
    <row r="2" spans="1:4" x14ac:dyDescent="0.25">
      <c r="A2" s="652" t="str">
        <f>+'12 közv.tám.'!A3:D3</f>
        <v xml:space="preserve">4/2020. (VI.18.)zárszámadási rendelet </v>
      </c>
      <c r="B2" s="652"/>
      <c r="C2" s="652"/>
      <c r="D2" s="652"/>
    </row>
    <row r="3" spans="1:4" x14ac:dyDescent="0.25">
      <c r="A3" s="653" t="s">
        <v>560</v>
      </c>
      <c r="B3" s="653"/>
      <c r="C3" s="653"/>
      <c r="D3" s="653"/>
    </row>
    <row r="4" spans="1:4" ht="15.75" thickBot="1" x14ac:dyDescent="0.3">
      <c r="A4" s="454"/>
      <c r="B4" s="454"/>
      <c r="C4" s="454"/>
      <c r="D4" s="454"/>
    </row>
    <row r="5" spans="1:4" ht="14.45" customHeight="1" x14ac:dyDescent="0.25">
      <c r="A5" s="654" t="s">
        <v>561</v>
      </c>
      <c r="B5" s="656" t="s">
        <v>562</v>
      </c>
      <c r="C5" s="656"/>
      <c r="D5" s="657"/>
    </row>
    <row r="6" spans="1:4" ht="52.9" customHeight="1" x14ac:dyDescent="0.25">
      <c r="A6" s="655"/>
      <c r="B6" s="455" t="s">
        <v>563</v>
      </c>
      <c r="C6" s="456" t="s">
        <v>569</v>
      </c>
      <c r="D6" s="457" t="s">
        <v>564</v>
      </c>
    </row>
    <row r="7" spans="1:4" ht="46.9" customHeight="1" x14ac:dyDescent="0.25">
      <c r="A7" s="458" t="s">
        <v>565</v>
      </c>
      <c r="B7" s="459">
        <v>26</v>
      </c>
      <c r="C7" s="459">
        <v>26</v>
      </c>
      <c r="D7" s="460">
        <v>18</v>
      </c>
    </row>
    <row r="8" spans="1:4" ht="31.15" customHeight="1" x14ac:dyDescent="0.25">
      <c r="A8" s="458" t="s">
        <v>566</v>
      </c>
      <c r="B8" s="459">
        <v>1</v>
      </c>
      <c r="C8" s="459">
        <v>1</v>
      </c>
      <c r="D8" s="460">
        <v>1</v>
      </c>
    </row>
    <row r="9" spans="1:4" ht="47.45" customHeight="1" thickBot="1" x14ac:dyDescent="0.3">
      <c r="A9" s="461" t="s">
        <v>567</v>
      </c>
      <c r="B9" s="462"/>
      <c r="C9" s="463"/>
      <c r="D9" s="464"/>
    </row>
    <row r="10" spans="1:4" ht="15.75" thickBot="1" x14ac:dyDescent="0.3">
      <c r="A10" s="465" t="s">
        <v>568</v>
      </c>
      <c r="B10" s="466">
        <f>SUM(B7:B9)</f>
        <v>27</v>
      </c>
      <c r="C10" s="467">
        <f>SUM(C7:C9)</f>
        <v>27</v>
      </c>
      <c r="D10" s="468">
        <f>SUM(D7:D9)</f>
        <v>19</v>
      </c>
    </row>
  </sheetData>
  <mergeCells count="5">
    <mergeCell ref="A1:D1"/>
    <mergeCell ref="A2:D2"/>
    <mergeCell ref="A3:D3"/>
    <mergeCell ref="A5:A6"/>
    <mergeCell ref="B5:D5"/>
  </mergeCells>
  <pageMargins left="0.7" right="0.7" top="0.75" bottom="0.75" header="0.3" footer="0.3"/>
  <pageSetup paperSize="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D29" sqref="D29"/>
    </sheetView>
  </sheetViews>
  <sheetFormatPr defaultRowHeight="15" x14ac:dyDescent="0.25"/>
  <cols>
    <col min="1" max="1" width="5.7109375" customWidth="1"/>
    <col min="2" max="2" width="51.7109375" customWidth="1"/>
    <col min="3" max="3" width="12.28515625" customWidth="1"/>
    <col min="4" max="4" width="11.42578125" customWidth="1"/>
    <col min="5" max="5" width="11.28515625" customWidth="1"/>
  </cols>
  <sheetData>
    <row r="1" spans="1:5" x14ac:dyDescent="0.25">
      <c r="A1" s="600" t="s">
        <v>570</v>
      </c>
      <c r="B1" s="600"/>
      <c r="C1" s="600"/>
      <c r="D1" s="600"/>
      <c r="E1" s="600"/>
    </row>
    <row r="2" spans="1:5" x14ac:dyDescent="0.25">
      <c r="A2" s="591" t="str">
        <f>+'14.létszám'!A2:D2</f>
        <v xml:space="preserve">4/2020. (VI.18.)zárszámadási rendelet </v>
      </c>
      <c r="B2" s="591"/>
      <c r="C2" s="591"/>
      <c r="D2" s="591"/>
      <c r="E2" s="591"/>
    </row>
    <row r="3" spans="1:5" ht="15.75" x14ac:dyDescent="0.25">
      <c r="A3" s="666" t="s">
        <v>471</v>
      </c>
      <c r="B3" s="666"/>
      <c r="C3" s="666"/>
      <c r="D3" s="666"/>
      <c r="E3" s="666"/>
    </row>
    <row r="4" spans="1:5" ht="15.75" x14ac:dyDescent="0.25">
      <c r="A4" s="667" t="s">
        <v>571</v>
      </c>
      <c r="B4" s="667"/>
      <c r="C4" s="667"/>
      <c r="D4" s="667"/>
      <c r="E4" s="667"/>
    </row>
    <row r="5" spans="1:5" ht="15.75" x14ac:dyDescent="0.25">
      <c r="A5" s="668" t="s">
        <v>620</v>
      </c>
      <c r="B5" s="668"/>
      <c r="C5" s="668"/>
      <c r="D5" s="668"/>
      <c r="E5" s="668"/>
    </row>
    <row r="6" spans="1:5" ht="15.75" thickBot="1" x14ac:dyDescent="0.3">
      <c r="A6" s="469"/>
      <c r="B6" s="469"/>
      <c r="C6" s="469"/>
      <c r="D6" s="669" t="s">
        <v>572</v>
      </c>
      <c r="E6" s="669"/>
    </row>
    <row r="7" spans="1:5" x14ac:dyDescent="0.25">
      <c r="A7" s="658" t="s">
        <v>573</v>
      </c>
      <c r="B7" s="660" t="s">
        <v>8</v>
      </c>
      <c r="C7" s="470" t="s">
        <v>574</v>
      </c>
      <c r="D7" s="470" t="s">
        <v>575</v>
      </c>
      <c r="E7" s="662" t="s">
        <v>576</v>
      </c>
    </row>
    <row r="8" spans="1:5" ht="15.75" thickBot="1" x14ac:dyDescent="0.3">
      <c r="A8" s="659"/>
      <c r="B8" s="661"/>
      <c r="C8" s="664" t="s">
        <v>577</v>
      </c>
      <c r="D8" s="665"/>
      <c r="E8" s="663"/>
    </row>
    <row r="9" spans="1:5" x14ac:dyDescent="0.25">
      <c r="A9" s="471">
        <v>1</v>
      </c>
      <c r="B9" s="472" t="s">
        <v>376</v>
      </c>
      <c r="C9" s="473">
        <f>+'2. mérleg'!I9</f>
        <v>24053990</v>
      </c>
      <c r="D9" s="473">
        <f>+'2. mérleg'!J9</f>
        <v>24805990</v>
      </c>
      <c r="E9" s="473">
        <f>+'2. mérleg'!K9</f>
        <v>23950858</v>
      </c>
    </row>
    <row r="10" spans="1:5" x14ac:dyDescent="0.25">
      <c r="A10" s="474">
        <v>2</v>
      </c>
      <c r="B10" s="475" t="s">
        <v>405</v>
      </c>
      <c r="C10" s="476">
        <f>+'2. mérleg'!I10</f>
        <v>3065610</v>
      </c>
      <c r="D10" s="476">
        <f>+'2. mérleg'!J10</f>
        <v>3111610</v>
      </c>
      <c r="E10" s="476">
        <f>+'2. mérleg'!K10</f>
        <v>3110880</v>
      </c>
    </row>
    <row r="11" spans="1:5" x14ac:dyDescent="0.25">
      <c r="A11" s="474">
        <v>3</v>
      </c>
      <c r="B11" s="475" t="s">
        <v>578</v>
      </c>
      <c r="C11" s="476">
        <f>+'2. mérleg'!I11</f>
        <v>14141216</v>
      </c>
      <c r="D11" s="476">
        <f>+'2. mérleg'!J11</f>
        <v>19857430</v>
      </c>
      <c r="E11" s="476">
        <f>+'2. mérleg'!K11</f>
        <v>17831754</v>
      </c>
    </row>
    <row r="12" spans="1:5" x14ac:dyDescent="0.25">
      <c r="A12" s="474">
        <v>4</v>
      </c>
      <c r="B12" s="475" t="s">
        <v>579</v>
      </c>
      <c r="C12" s="476">
        <f>+'3.bevétel-kiadás'!C63</f>
        <v>2858520</v>
      </c>
      <c r="D12" s="476">
        <f>+'3.bevétel-kiadás'!D63</f>
        <v>2234087</v>
      </c>
      <c r="E12" s="476">
        <f>+'3.bevétel-kiadás'!E63</f>
        <v>2189884</v>
      </c>
    </row>
    <row r="13" spans="1:5" x14ac:dyDescent="0.25">
      <c r="A13" s="474">
        <v>5</v>
      </c>
      <c r="B13" s="475" t="s">
        <v>580</v>
      </c>
      <c r="C13" s="476">
        <f>+'3.bevétel-kiadás'!C64</f>
        <v>47000</v>
      </c>
      <c r="D13" s="476">
        <f>+'3.bevétel-kiadás'!D64</f>
        <v>47000</v>
      </c>
      <c r="E13" s="476">
        <f>+'3.bevétel-kiadás'!E64</f>
        <v>0</v>
      </c>
    </row>
    <row r="14" spans="1:5" x14ac:dyDescent="0.25">
      <c r="A14" s="474">
        <v>6</v>
      </c>
      <c r="B14" s="475" t="s">
        <v>581</v>
      </c>
      <c r="C14" s="476">
        <f>+'3.bevétel-kiadás'!C65</f>
        <v>12612500</v>
      </c>
      <c r="D14" s="476">
        <f>+'3.bevétel-kiadás'!D65</f>
        <v>10529860</v>
      </c>
      <c r="E14" s="476">
        <f>+'3.bevétel-kiadás'!E65</f>
        <v>7399096</v>
      </c>
    </row>
    <row r="15" spans="1:5" x14ac:dyDescent="0.25">
      <c r="A15" s="474">
        <v>7</v>
      </c>
      <c r="B15" s="475" t="s">
        <v>0</v>
      </c>
      <c r="C15" s="476">
        <f>+'2. mérleg'!I17</f>
        <v>5661000</v>
      </c>
      <c r="D15" s="476">
        <f>+'2. mérleg'!J17</f>
        <v>0</v>
      </c>
      <c r="E15" s="476">
        <f>+'2. mérleg'!K17</f>
        <v>0</v>
      </c>
    </row>
    <row r="16" spans="1:5" x14ac:dyDescent="0.25">
      <c r="A16" s="474">
        <v>8</v>
      </c>
      <c r="B16" s="475" t="s">
        <v>582</v>
      </c>
      <c r="C16" s="476">
        <f>+'2. mérleg'!I16</f>
        <v>635000</v>
      </c>
      <c r="D16" s="476">
        <f>+'2. mérleg'!J16</f>
        <v>3675000</v>
      </c>
      <c r="E16" s="476">
        <f>+'2. mérleg'!K16</f>
        <v>3472880</v>
      </c>
    </row>
    <row r="17" spans="1:5" x14ac:dyDescent="0.25">
      <c r="A17" s="474">
        <v>9</v>
      </c>
      <c r="B17" s="475" t="s">
        <v>583</v>
      </c>
      <c r="C17" s="476"/>
      <c r="D17" s="476"/>
      <c r="E17" s="477"/>
    </row>
    <row r="18" spans="1:5" x14ac:dyDescent="0.25">
      <c r="A18" s="474">
        <v>10</v>
      </c>
      <c r="B18" s="475" t="s">
        <v>584</v>
      </c>
      <c r="C18" s="476"/>
      <c r="D18" s="476"/>
      <c r="E18" s="477"/>
    </row>
    <row r="19" spans="1:5" x14ac:dyDescent="0.25">
      <c r="A19" s="474">
        <v>11</v>
      </c>
      <c r="B19" s="475" t="s">
        <v>585</v>
      </c>
      <c r="C19" s="476"/>
      <c r="D19" s="476"/>
      <c r="E19" s="477"/>
    </row>
    <row r="20" spans="1:5" ht="15.75" thickBot="1" x14ac:dyDescent="0.3">
      <c r="A20" s="474">
        <v>12</v>
      </c>
      <c r="B20" s="478" t="s">
        <v>586</v>
      </c>
      <c r="C20" s="479"/>
      <c r="D20" s="479"/>
      <c r="E20" s="480"/>
    </row>
    <row r="21" spans="1:5" ht="15.75" thickBot="1" x14ac:dyDescent="0.3">
      <c r="A21" s="481">
        <v>13</v>
      </c>
      <c r="B21" s="482" t="s">
        <v>587</v>
      </c>
      <c r="C21" s="483">
        <f>SUM(C9:C20)</f>
        <v>63074836</v>
      </c>
      <c r="D21" s="483">
        <f>SUM(D9:D20)</f>
        <v>64260977</v>
      </c>
      <c r="E21" s="484">
        <f>SUM(E9:E20)</f>
        <v>57955352</v>
      </c>
    </row>
    <row r="22" spans="1:5" x14ac:dyDescent="0.25">
      <c r="A22" s="485">
        <v>14</v>
      </c>
      <c r="B22" s="486" t="s">
        <v>588</v>
      </c>
      <c r="C22" s="487"/>
      <c r="D22" s="487"/>
      <c r="E22" s="488"/>
    </row>
    <row r="23" spans="1:5" x14ac:dyDescent="0.25">
      <c r="A23" s="474">
        <v>15</v>
      </c>
      <c r="B23" s="475" t="s">
        <v>589</v>
      </c>
      <c r="C23" s="489"/>
      <c r="D23" s="489"/>
      <c r="E23" s="490"/>
    </row>
    <row r="24" spans="1:5" x14ac:dyDescent="0.25">
      <c r="A24" s="474">
        <v>16</v>
      </c>
      <c r="B24" s="475" t="s">
        <v>590</v>
      </c>
      <c r="C24" s="491"/>
      <c r="D24" s="491"/>
      <c r="E24" s="492"/>
    </row>
    <row r="25" spans="1:5" ht="15.75" thickBot="1" x14ac:dyDescent="0.3">
      <c r="A25" s="493">
        <v>17</v>
      </c>
      <c r="B25" s="494" t="s">
        <v>591</v>
      </c>
      <c r="C25" s="495"/>
      <c r="D25" s="496">
        <f>+'2. mérleg'!J21</f>
        <v>1129792</v>
      </c>
      <c r="E25" s="526">
        <f>+'2. mérleg'!K21</f>
        <v>1129792</v>
      </c>
    </row>
    <row r="26" spans="1:5" ht="15.75" thickBot="1" x14ac:dyDescent="0.3">
      <c r="A26" s="481">
        <v>18</v>
      </c>
      <c r="B26" s="482" t="s">
        <v>592</v>
      </c>
      <c r="C26" s="483">
        <f>SUM(C22:C25)</f>
        <v>0</v>
      </c>
      <c r="D26" s="483">
        <f>SUM(D22:D25)</f>
        <v>1129792</v>
      </c>
      <c r="E26" s="484">
        <f>SUM(E22:E25)</f>
        <v>1129792</v>
      </c>
    </row>
    <row r="27" spans="1:5" ht="15.75" thickBot="1" x14ac:dyDescent="0.3">
      <c r="A27" s="481">
        <v>19</v>
      </c>
      <c r="B27" s="482" t="s">
        <v>593</v>
      </c>
      <c r="C27" s="483">
        <f>C21+C26</f>
        <v>63074836</v>
      </c>
      <c r="D27" s="483">
        <f>D21+D26</f>
        <v>65390769</v>
      </c>
      <c r="E27" s="484">
        <f>E21+E26</f>
        <v>59085144</v>
      </c>
    </row>
    <row r="28" spans="1:5" x14ac:dyDescent="0.25">
      <c r="A28" s="485">
        <v>20</v>
      </c>
      <c r="B28" s="486" t="s">
        <v>594</v>
      </c>
      <c r="C28" s="497"/>
      <c r="D28" s="497">
        <f>+'3.bevétel-kiadás'!D79</f>
        <v>3818156</v>
      </c>
      <c r="E28" s="498"/>
    </row>
    <row r="29" spans="1:5" x14ac:dyDescent="0.25">
      <c r="A29" s="499">
        <v>21</v>
      </c>
      <c r="B29" s="500" t="s">
        <v>595</v>
      </c>
      <c r="C29" s="501"/>
      <c r="D29" s="501"/>
      <c r="E29" s="502"/>
    </row>
    <row r="30" spans="1:5" ht="15.75" thickBot="1" x14ac:dyDescent="0.3">
      <c r="A30" s="493">
        <v>22</v>
      </c>
      <c r="B30" s="494" t="s">
        <v>596</v>
      </c>
      <c r="C30" s="503"/>
      <c r="D30" s="503"/>
      <c r="E30" s="504"/>
    </row>
    <row r="31" spans="1:5" ht="15.75" thickBot="1" x14ac:dyDescent="0.3">
      <c r="A31" s="505">
        <v>23</v>
      </c>
      <c r="B31" s="506" t="s">
        <v>597</v>
      </c>
      <c r="C31" s="507">
        <f>C27+C28+C29+C30</f>
        <v>63074836</v>
      </c>
      <c r="D31" s="507">
        <f>D27+D28+D29+D30</f>
        <v>69208925</v>
      </c>
      <c r="E31" s="508">
        <f>E27+E28+E29+E30</f>
        <v>59085144</v>
      </c>
    </row>
    <row r="32" spans="1:5" x14ac:dyDescent="0.25">
      <c r="A32" s="485">
        <v>24</v>
      </c>
      <c r="B32" s="486" t="s">
        <v>365</v>
      </c>
      <c r="C32" s="497">
        <f>+'2. mérleg'!C11</f>
        <v>0</v>
      </c>
      <c r="D32" s="497">
        <f>+'2. mérleg'!D11</f>
        <v>163000</v>
      </c>
      <c r="E32" s="498">
        <f>+'2. mérleg'!E11</f>
        <v>162626</v>
      </c>
    </row>
    <row r="33" spans="1:5" x14ac:dyDescent="0.25">
      <c r="A33" s="474">
        <v>25</v>
      </c>
      <c r="B33" s="475" t="s">
        <v>598</v>
      </c>
      <c r="C33" s="509">
        <f>+'2. mérleg'!C13</f>
        <v>28244807</v>
      </c>
      <c r="D33" s="509">
        <f>+'2. mérleg'!D13</f>
        <v>31750503</v>
      </c>
      <c r="E33" s="510">
        <f>+'2. mérleg'!E13</f>
        <v>31750503</v>
      </c>
    </row>
    <row r="34" spans="1:5" x14ac:dyDescent="0.25">
      <c r="A34" s="474">
        <v>26</v>
      </c>
      <c r="B34" s="475" t="s">
        <v>599</v>
      </c>
      <c r="C34" s="509">
        <f>+'2. mérleg'!C9</f>
        <v>20086962</v>
      </c>
      <c r="D34" s="509">
        <f>+'2. mérleg'!D9</f>
        <v>22689116</v>
      </c>
      <c r="E34" s="510">
        <f>+'2. mérleg'!E9</f>
        <v>22619722</v>
      </c>
    </row>
    <row r="35" spans="1:5" x14ac:dyDescent="0.25">
      <c r="A35" s="474">
        <v>27</v>
      </c>
      <c r="B35" s="475" t="s">
        <v>600</v>
      </c>
      <c r="C35" s="509">
        <f>+'2. mérleg'!C12</f>
        <v>0</v>
      </c>
      <c r="D35" s="509">
        <f>+'2. mérleg'!D12</f>
        <v>300000</v>
      </c>
      <c r="E35" s="510">
        <f>+'2. mérleg'!E12</f>
        <v>300000</v>
      </c>
    </row>
    <row r="36" spans="1:5" x14ac:dyDescent="0.25">
      <c r="A36" s="474">
        <v>28</v>
      </c>
      <c r="B36" s="500" t="s">
        <v>7</v>
      </c>
      <c r="C36" s="509">
        <f>+'2. mérleg'!C10</f>
        <v>2580000</v>
      </c>
      <c r="D36" s="509">
        <f>+'2. mérleg'!D10</f>
        <v>1209000</v>
      </c>
      <c r="E36" s="510">
        <f>+'2. mérleg'!E10</f>
        <v>1208911</v>
      </c>
    </row>
    <row r="37" spans="1:5" x14ac:dyDescent="0.25">
      <c r="A37" s="474">
        <v>29</v>
      </c>
      <c r="B37" s="511" t="s">
        <v>601</v>
      </c>
      <c r="C37" s="509"/>
      <c r="D37" s="509"/>
      <c r="E37" s="510"/>
    </row>
    <row r="38" spans="1:5" x14ac:dyDescent="0.25">
      <c r="A38" s="474">
        <v>30</v>
      </c>
      <c r="B38" s="475" t="s">
        <v>602</v>
      </c>
      <c r="C38" s="509"/>
      <c r="D38" s="509">
        <f>+'2. mérleg'!D16</f>
        <v>2371598</v>
      </c>
      <c r="E38" s="510">
        <f>+'2. mérleg'!E16</f>
        <v>2371598</v>
      </c>
    </row>
    <row r="39" spans="1:5" x14ac:dyDescent="0.25">
      <c r="A39" s="474">
        <v>31</v>
      </c>
      <c r="B39" s="475" t="s">
        <v>603</v>
      </c>
      <c r="C39" s="509"/>
      <c r="D39" s="509"/>
      <c r="E39" s="510"/>
    </row>
    <row r="40" spans="1:5" x14ac:dyDescent="0.25">
      <c r="A40" s="474">
        <v>32</v>
      </c>
      <c r="B40" s="475"/>
      <c r="C40" s="509"/>
      <c r="D40" s="509"/>
      <c r="E40" s="510"/>
    </row>
    <row r="41" spans="1:5" x14ac:dyDescent="0.25">
      <c r="A41" s="474">
        <v>33</v>
      </c>
      <c r="B41" s="512"/>
      <c r="C41" s="509"/>
      <c r="D41" s="509"/>
      <c r="E41" s="510"/>
    </row>
    <row r="42" spans="1:5" x14ac:dyDescent="0.25">
      <c r="A42" s="485">
        <v>34</v>
      </c>
      <c r="B42" s="486" t="s">
        <v>604</v>
      </c>
      <c r="C42" s="497"/>
      <c r="D42" s="497"/>
      <c r="E42" s="498"/>
    </row>
    <row r="43" spans="1:5" ht="15.75" thickBot="1" x14ac:dyDescent="0.3">
      <c r="A43" s="513">
        <v>35</v>
      </c>
      <c r="B43" s="514" t="s">
        <v>605</v>
      </c>
      <c r="C43" s="515"/>
      <c r="D43" s="515"/>
      <c r="E43" s="516"/>
    </row>
    <row r="44" spans="1:5" ht="15.75" thickBot="1" x14ac:dyDescent="0.3">
      <c r="A44" s="481">
        <v>36</v>
      </c>
      <c r="B44" s="482" t="s">
        <v>606</v>
      </c>
      <c r="C44" s="483">
        <f>SUM(C32:C43)</f>
        <v>50911769</v>
      </c>
      <c r="D44" s="483">
        <f>SUM(D32:D43)</f>
        <v>58483217</v>
      </c>
      <c r="E44" s="484">
        <f>SUM(E32:E43)</f>
        <v>58413360</v>
      </c>
    </row>
    <row r="45" spans="1:5" x14ac:dyDescent="0.25">
      <c r="A45" s="485">
        <v>37</v>
      </c>
      <c r="B45" s="486" t="s">
        <v>607</v>
      </c>
      <c r="C45" s="497"/>
      <c r="D45" s="497"/>
      <c r="E45" s="498"/>
    </row>
    <row r="46" spans="1:5" x14ac:dyDescent="0.25">
      <c r="A46" s="474">
        <v>38</v>
      </c>
      <c r="B46" s="475" t="s">
        <v>608</v>
      </c>
      <c r="C46" s="509"/>
      <c r="D46" s="509"/>
      <c r="E46" s="510"/>
    </row>
    <row r="47" spans="1:5" x14ac:dyDescent="0.25">
      <c r="A47" s="474">
        <v>39</v>
      </c>
      <c r="B47" s="486" t="s">
        <v>609</v>
      </c>
      <c r="C47" s="509">
        <f>+'2. mérleg'!C21</f>
        <v>12163067</v>
      </c>
      <c r="D47" s="509">
        <f>+'2. mérleg'!D21</f>
        <v>10725708</v>
      </c>
      <c r="E47" s="510">
        <f>+'2. mérleg'!E21</f>
        <v>10725708</v>
      </c>
    </row>
    <row r="48" spans="1:5" ht="15.75" thickBot="1" x14ac:dyDescent="0.3">
      <c r="A48" s="493">
        <v>40</v>
      </c>
      <c r="B48" s="494" t="s">
        <v>610</v>
      </c>
      <c r="C48" s="517">
        <f>+'[2]2. mérleg'!B13</f>
        <v>0</v>
      </c>
      <c r="D48" s="517">
        <f>+'[2]2. mérleg'!C13</f>
        <v>0</v>
      </c>
      <c r="E48" s="516">
        <f>+'2. mérleg'!E22</f>
        <v>1184836</v>
      </c>
    </row>
    <row r="49" spans="1:5" ht="15.75" thickBot="1" x14ac:dyDescent="0.3">
      <c r="A49" s="481">
        <v>41</v>
      </c>
      <c r="B49" s="482" t="s">
        <v>611</v>
      </c>
      <c r="C49" s="483">
        <f>SUM(C46:C48)</f>
        <v>12163067</v>
      </c>
      <c r="D49" s="483">
        <f>SUM(D46:D48)</f>
        <v>10725708</v>
      </c>
      <c r="E49" s="484">
        <f>SUM(E46:E48)</f>
        <v>11910544</v>
      </c>
    </row>
    <row r="50" spans="1:5" ht="15.75" thickBot="1" x14ac:dyDescent="0.3">
      <c r="A50" s="518">
        <v>42</v>
      </c>
      <c r="B50" s="519" t="s">
        <v>612</v>
      </c>
      <c r="C50" s="520">
        <f>C44+C49</f>
        <v>63074836</v>
      </c>
      <c r="D50" s="520">
        <f>D44+D49</f>
        <v>69208925</v>
      </c>
      <c r="E50" s="521">
        <f>E44+E49</f>
        <v>70323904</v>
      </c>
    </row>
    <row r="51" spans="1:5" x14ac:dyDescent="0.25">
      <c r="A51" s="485">
        <v>43</v>
      </c>
      <c r="B51" s="486" t="s">
        <v>316</v>
      </c>
      <c r="C51" s="497"/>
      <c r="D51" s="497"/>
      <c r="E51" s="498"/>
    </row>
    <row r="52" spans="1:5" x14ac:dyDescent="0.25">
      <c r="A52" s="499">
        <v>44</v>
      </c>
      <c r="B52" s="500" t="s">
        <v>613</v>
      </c>
      <c r="C52" s="497"/>
      <c r="D52" s="497"/>
      <c r="E52" s="498"/>
    </row>
    <row r="53" spans="1:5" ht="15.75" thickBot="1" x14ac:dyDescent="0.3">
      <c r="A53" s="493">
        <v>45</v>
      </c>
      <c r="B53" s="494" t="s">
        <v>614</v>
      </c>
      <c r="C53" s="522"/>
      <c r="D53" s="522"/>
      <c r="E53" s="523"/>
    </row>
    <row r="54" spans="1:5" ht="15.75" thickBot="1" x14ac:dyDescent="0.3">
      <c r="A54" s="481">
        <v>46</v>
      </c>
      <c r="B54" s="482" t="s">
        <v>615</v>
      </c>
      <c r="C54" s="483">
        <f>C50+C51+C52+C53</f>
        <v>63074836</v>
      </c>
      <c r="D54" s="483">
        <f>D50+D51+D52+D53</f>
        <v>69208925</v>
      </c>
      <c r="E54" s="484">
        <f>E50+E51+E52+E53</f>
        <v>70323904</v>
      </c>
    </row>
    <row r="55" spans="1:5" ht="24.75" thickBot="1" x14ac:dyDescent="0.3">
      <c r="A55" s="481">
        <v>47</v>
      </c>
      <c r="B55" s="524" t="s">
        <v>616</v>
      </c>
      <c r="C55" s="484">
        <f>+C44+C51-C21-C28</f>
        <v>-12163067</v>
      </c>
      <c r="D55" s="484">
        <f>+D44+D51-D21-D28</f>
        <v>-9595916</v>
      </c>
      <c r="E55" s="484">
        <f>+E44+E51-E21-E28</f>
        <v>458008</v>
      </c>
    </row>
    <row r="56" spans="1:5" ht="15.75" thickBot="1" x14ac:dyDescent="0.3">
      <c r="A56" s="518">
        <v>48</v>
      </c>
      <c r="B56" s="519" t="s">
        <v>617</v>
      </c>
      <c r="C56" s="520">
        <f>+C49-C26</f>
        <v>12163067</v>
      </c>
      <c r="D56" s="520">
        <f>+D49-D26</f>
        <v>9595916</v>
      </c>
      <c r="E56" s="484">
        <f>+E49-E26</f>
        <v>10780752</v>
      </c>
    </row>
    <row r="57" spans="1:5" ht="15.75" thickBot="1" x14ac:dyDescent="0.3">
      <c r="A57" s="518">
        <v>49</v>
      </c>
      <c r="B57" s="519" t="s">
        <v>618</v>
      </c>
      <c r="C57" s="520"/>
      <c r="D57" s="520"/>
      <c r="E57" s="521"/>
    </row>
    <row r="58" spans="1:5" ht="15.75" thickBot="1" x14ac:dyDescent="0.3">
      <c r="A58" s="518">
        <v>50</v>
      </c>
      <c r="B58" s="519" t="s">
        <v>619</v>
      </c>
      <c r="C58" s="520"/>
      <c r="D58" s="520"/>
      <c r="E58" s="521">
        <f>E53-E30</f>
        <v>0</v>
      </c>
    </row>
    <row r="59" spans="1:5" ht="15.75" x14ac:dyDescent="0.25">
      <c r="A59" s="469"/>
      <c r="B59" s="525"/>
      <c r="C59" s="469"/>
      <c r="D59" s="469"/>
      <c r="E59" s="469"/>
    </row>
  </sheetData>
  <mergeCells count="10">
    <mergeCell ref="A7:A8"/>
    <mergeCell ref="B7:B8"/>
    <mergeCell ref="E7:E8"/>
    <mergeCell ref="C8:D8"/>
    <mergeCell ref="A1:E1"/>
    <mergeCell ref="A2:E2"/>
    <mergeCell ref="A3:E3"/>
    <mergeCell ref="A4:E4"/>
    <mergeCell ref="A5:E5"/>
    <mergeCell ref="D6:E6"/>
  </mergeCells>
  <pageMargins left="0.70866141732283472" right="0.70866141732283472" top="0.74803149606299213" bottom="0.74803149606299213" header="0.31496062992125984" footer="0.31496062992125984"/>
  <pageSetup paperSize="8" scale="110" orientation="portrait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5" sqref="A5:E5"/>
    </sheetView>
  </sheetViews>
  <sheetFormatPr defaultRowHeight="15" x14ac:dyDescent="0.25"/>
  <cols>
    <col min="1" max="1" width="33.85546875" customWidth="1"/>
    <col min="2" max="2" width="21" customWidth="1"/>
  </cols>
  <sheetData>
    <row r="1" spans="1:5" x14ac:dyDescent="0.25">
      <c r="A1" s="586" t="s">
        <v>626</v>
      </c>
      <c r="B1" s="586"/>
      <c r="C1" s="586"/>
      <c r="D1" s="586"/>
      <c r="E1" s="586"/>
    </row>
    <row r="3" spans="1:5" x14ac:dyDescent="0.25">
      <c r="A3" s="590" t="s">
        <v>621</v>
      </c>
      <c r="B3" s="590"/>
      <c r="C3" s="590"/>
      <c r="D3" s="590"/>
      <c r="E3" s="590"/>
    </row>
    <row r="4" spans="1:5" x14ac:dyDescent="0.25">
      <c r="A4" s="587" t="str">
        <f>+'15. Egyszerűsített PJ.'!A2:E2</f>
        <v xml:space="preserve">4/2020. (VI.18.)zárszámadási rendelet </v>
      </c>
      <c r="B4" s="587"/>
      <c r="C4" s="587"/>
      <c r="D4" s="587"/>
      <c r="E4" s="587"/>
    </row>
    <row r="5" spans="1:5" x14ac:dyDescent="0.25">
      <c r="A5" s="586" t="s">
        <v>622</v>
      </c>
      <c r="B5" s="586"/>
      <c r="C5" s="586"/>
      <c r="D5" s="586"/>
      <c r="E5" s="586"/>
    </row>
    <row r="7" spans="1:5" s="271" customFormat="1" ht="30" x14ac:dyDescent="0.25">
      <c r="A7" s="534" t="s">
        <v>623</v>
      </c>
      <c r="B7" s="535" t="s">
        <v>624</v>
      </c>
      <c r="C7" s="527">
        <v>2019</v>
      </c>
      <c r="D7" s="527">
        <v>2020</v>
      </c>
      <c r="E7" s="527">
        <v>2021</v>
      </c>
    </row>
    <row r="8" spans="1:5" s="271" customFormat="1" x14ac:dyDescent="0.25">
      <c r="A8" s="528"/>
      <c r="B8" s="529"/>
      <c r="C8" s="536"/>
      <c r="D8" s="536"/>
      <c r="E8" s="536"/>
    </row>
    <row r="9" spans="1:5" s="271" customFormat="1" x14ac:dyDescent="0.25">
      <c r="A9" s="530"/>
      <c r="B9" s="531"/>
      <c r="C9" s="536"/>
      <c r="D9" s="536"/>
      <c r="E9" s="536"/>
    </row>
    <row r="10" spans="1:5" s="271" customFormat="1" x14ac:dyDescent="0.25">
      <c r="A10" s="530"/>
      <c r="B10" s="531"/>
      <c r="C10" s="536"/>
      <c r="D10" s="536"/>
      <c r="E10" s="536"/>
    </row>
    <row r="11" spans="1:5" s="271" customFormat="1" ht="15.75" x14ac:dyDescent="0.25">
      <c r="A11" s="537" t="s">
        <v>457</v>
      </c>
      <c r="B11" s="538">
        <f>SUM(B8:B10)</f>
        <v>0</v>
      </c>
      <c r="C11" s="538">
        <f t="shared" ref="C11:D11" si="0">SUM(C8:C10)</f>
        <v>0</v>
      </c>
      <c r="D11" s="538">
        <f t="shared" si="0"/>
        <v>0</v>
      </c>
      <c r="E11" s="539">
        <v>0</v>
      </c>
    </row>
    <row r="12" spans="1:5" s="271" customFormat="1" x14ac:dyDescent="0.25">
      <c r="A12" s="540"/>
      <c r="B12" s="540"/>
      <c r="C12" s="540"/>
      <c r="D12" s="532"/>
      <c r="E12" s="532"/>
    </row>
    <row r="13" spans="1:5" s="271" customFormat="1" x14ac:dyDescent="0.25">
      <c r="A13" s="540"/>
      <c r="B13" s="540"/>
      <c r="C13" s="540"/>
      <c r="D13" s="532"/>
      <c r="E13" s="532"/>
    </row>
    <row r="14" spans="1:5" s="271" customFormat="1" x14ac:dyDescent="0.25">
      <c r="A14" s="670" t="s">
        <v>625</v>
      </c>
      <c r="B14" s="671"/>
      <c r="C14" s="671"/>
      <c r="D14" s="671"/>
      <c r="E14" s="672"/>
    </row>
    <row r="15" spans="1:5" s="271" customFormat="1" x14ac:dyDescent="0.25">
      <c r="A15" s="673"/>
      <c r="B15" s="674"/>
      <c r="C15" s="674"/>
      <c r="D15" s="674"/>
      <c r="E15" s="675"/>
    </row>
    <row r="16" spans="1:5" s="271" customFormat="1" x14ac:dyDescent="0.25">
      <c r="A16" s="394"/>
      <c r="B16" s="274"/>
      <c r="C16" s="676"/>
      <c r="D16" s="676"/>
      <c r="E16" s="677"/>
    </row>
    <row r="17" spans="1:5" s="271" customFormat="1" x14ac:dyDescent="0.25">
      <c r="A17" s="541"/>
      <c r="B17" s="274"/>
      <c r="C17" s="274"/>
      <c r="D17" s="274"/>
      <c r="E17" s="274"/>
    </row>
    <row r="18" spans="1:5" s="271" customFormat="1" ht="15.75" x14ac:dyDescent="0.25">
      <c r="A18" s="542" t="s">
        <v>457</v>
      </c>
      <c r="B18" s="533">
        <f>SUM(B16:B17)</f>
        <v>0</v>
      </c>
      <c r="C18" s="533">
        <f t="shared" ref="C18:E18" si="1">SUM(C16:C17)</f>
        <v>0</v>
      </c>
      <c r="D18" s="533">
        <f t="shared" si="1"/>
        <v>0</v>
      </c>
      <c r="E18" s="533">
        <f t="shared" si="1"/>
        <v>0</v>
      </c>
    </row>
  </sheetData>
  <mergeCells count="6">
    <mergeCell ref="A1:E1"/>
    <mergeCell ref="A5:E5"/>
    <mergeCell ref="A14:E15"/>
    <mergeCell ref="C16:E16"/>
    <mergeCell ref="A3:E3"/>
    <mergeCell ref="A4:E4"/>
  </mergeCells>
  <pageMargins left="0.7" right="0.7" top="0.75" bottom="0.75" header="0.3" footer="0.3"/>
  <pageSetup paperSize="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C19" sqref="C19"/>
    </sheetView>
  </sheetViews>
  <sheetFormatPr defaultRowHeight="15" x14ac:dyDescent="0.25"/>
  <cols>
    <col min="1" max="1" width="5.28515625" customWidth="1"/>
    <col min="2" max="2" width="31.28515625" customWidth="1"/>
    <col min="3" max="3" width="47.28515625" customWidth="1"/>
  </cols>
  <sheetData>
    <row r="2" spans="1:3" x14ac:dyDescent="0.25">
      <c r="A2" s="591" t="s">
        <v>463</v>
      </c>
      <c r="B2" s="591"/>
      <c r="C2" s="591"/>
    </row>
    <row r="3" spans="1:3" x14ac:dyDescent="0.25">
      <c r="A3" s="587" t="str">
        <f>+'8.állami'!A2:E2</f>
        <v xml:space="preserve">4/2020. (VI.18.)zárszámadási rendelet </v>
      </c>
      <c r="B3" s="587"/>
      <c r="C3" s="587"/>
    </row>
    <row r="4" spans="1:3" ht="15.75" x14ac:dyDescent="0.25">
      <c r="A4" s="678" t="s">
        <v>464</v>
      </c>
      <c r="B4" s="678"/>
      <c r="C4" s="678"/>
    </row>
    <row r="5" spans="1:3" ht="15.75" thickBot="1" x14ac:dyDescent="0.3"/>
    <row r="6" spans="1:3" ht="48.6" customHeight="1" thickBot="1" x14ac:dyDescent="0.3">
      <c r="A6" s="377"/>
      <c r="B6" s="378" t="s">
        <v>465</v>
      </c>
      <c r="C6" s="379" t="s">
        <v>466</v>
      </c>
    </row>
    <row r="7" spans="1:3" ht="31.9" customHeight="1" thickBot="1" x14ac:dyDescent="0.3">
      <c r="A7" s="380" t="s">
        <v>467</v>
      </c>
      <c r="B7" s="381" t="s">
        <v>468</v>
      </c>
      <c r="C7" s="382">
        <v>1742307</v>
      </c>
    </row>
    <row r="8" spans="1:3" ht="37.15" customHeight="1" thickBot="1" x14ac:dyDescent="0.3">
      <c r="A8" s="285"/>
      <c r="B8" s="383" t="s">
        <v>469</v>
      </c>
      <c r="C8" s="384">
        <v>1742307</v>
      </c>
    </row>
  </sheetData>
  <mergeCells count="3">
    <mergeCell ref="A4:C4"/>
    <mergeCell ref="A2:C2"/>
    <mergeCell ref="A3:C3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30"/>
  <sheetViews>
    <sheetView workbookViewId="0">
      <selection activeCell="A2" sqref="A2:K2"/>
    </sheetView>
  </sheetViews>
  <sheetFormatPr defaultColWidth="8.85546875" defaultRowHeight="15" x14ac:dyDescent="0.2"/>
  <cols>
    <col min="1" max="1" width="47" style="8" customWidth="1"/>
    <col min="2" max="2" width="5.85546875" style="8" customWidth="1"/>
    <col min="3" max="5" width="10.42578125" style="8" customWidth="1"/>
    <col min="6" max="6" width="7.140625" style="8" customWidth="1"/>
    <col min="7" max="7" width="57.85546875" style="8" customWidth="1"/>
    <col min="8" max="8" width="5.42578125" style="8" customWidth="1"/>
    <col min="9" max="11" width="10.42578125" style="7" customWidth="1"/>
    <col min="12" max="12" width="6.28515625" style="7" customWidth="1"/>
    <col min="13" max="13" width="10.140625" style="1" bestFit="1" customWidth="1"/>
    <col min="14" max="16384" width="8.85546875" style="1"/>
  </cols>
  <sheetData>
    <row r="1" spans="1:13" ht="20.100000000000001" customHeight="1" x14ac:dyDescent="0.2"/>
    <row r="2" spans="1:13" ht="15.6" customHeight="1" x14ac:dyDescent="0.2">
      <c r="A2" s="550" t="s">
        <v>628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107"/>
    </row>
    <row r="3" spans="1:13" ht="16.149999999999999" customHeight="1" x14ac:dyDescent="0.2">
      <c r="A3" s="549" t="str">
        <f>+'9.beruházás'!A2:F2</f>
        <v xml:space="preserve">4/2020. (VI.18.)zárszámadási rendelet 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106"/>
    </row>
    <row r="4" spans="1:13" ht="20.100000000000001" customHeight="1" x14ac:dyDescent="0.2">
      <c r="A4" s="548" t="s">
        <v>199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105"/>
    </row>
    <row r="5" spans="1:13" ht="20.100000000000001" customHeight="1" x14ac:dyDescent="0.2">
      <c r="A5" s="2"/>
      <c r="B5" s="2"/>
      <c r="C5" s="2"/>
      <c r="D5" s="2"/>
      <c r="E5" s="2"/>
      <c r="F5" s="2"/>
      <c r="G5" s="41"/>
      <c r="H5" s="41"/>
      <c r="I5" s="41"/>
      <c r="J5" s="41"/>
      <c r="K5" s="41"/>
      <c r="L5" s="41" t="s">
        <v>178</v>
      </c>
    </row>
    <row r="6" spans="1:13" ht="28.15" customHeight="1" x14ac:dyDescent="0.2">
      <c r="A6" s="552" t="s">
        <v>49</v>
      </c>
      <c r="B6" s="552"/>
      <c r="C6" s="552"/>
      <c r="D6" s="552"/>
      <c r="E6" s="552"/>
      <c r="F6" s="552"/>
      <c r="G6" s="552" t="s">
        <v>48</v>
      </c>
      <c r="H6" s="552"/>
      <c r="I6" s="552"/>
      <c r="J6" s="552"/>
      <c r="K6" s="552"/>
      <c r="L6" s="552"/>
    </row>
    <row r="7" spans="1:13" ht="37.9" customHeight="1" x14ac:dyDescent="0.2">
      <c r="A7" s="32" t="s">
        <v>8</v>
      </c>
      <c r="B7" s="30" t="s">
        <v>47</v>
      </c>
      <c r="C7" s="30" t="s">
        <v>202</v>
      </c>
      <c r="D7" s="30" t="s">
        <v>201</v>
      </c>
      <c r="E7" s="30" t="s">
        <v>203</v>
      </c>
      <c r="F7" s="126" t="s">
        <v>264</v>
      </c>
      <c r="G7" s="32" t="s">
        <v>8</v>
      </c>
      <c r="H7" s="30" t="s">
        <v>47</v>
      </c>
      <c r="I7" s="30" t="str">
        <f>+C7</f>
        <v>2019. évi eredeti előirányzat</v>
      </c>
      <c r="J7" s="30" t="str">
        <f>+D7</f>
        <v>2019. évi módosított előirányzat</v>
      </c>
      <c r="K7" s="30" t="str">
        <f>+E7</f>
        <v>2019.évi tény</v>
      </c>
      <c r="L7" s="127" t="str">
        <f>+F7</f>
        <v>Teljesítés %</v>
      </c>
    </row>
    <row r="8" spans="1:13" ht="20.100000000000001" customHeight="1" x14ac:dyDescent="0.2">
      <c r="A8" s="551" t="s">
        <v>46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108"/>
    </row>
    <row r="9" spans="1:13" ht="20.100000000000001" customHeight="1" x14ac:dyDescent="0.2">
      <c r="A9" s="5" t="s">
        <v>45</v>
      </c>
      <c r="B9" s="30" t="s">
        <v>44</v>
      </c>
      <c r="C9" s="28">
        <f>+'4a. bevételek'!AG15</f>
        <v>20086962</v>
      </c>
      <c r="D9" s="28">
        <f>+'4a. bevételek'!AH15</f>
        <v>22689116</v>
      </c>
      <c r="E9" s="28">
        <f>+'4a. bevételek'!AI15</f>
        <v>22619722</v>
      </c>
      <c r="F9" s="122">
        <f>E9/D9*100</f>
        <v>99.694152914551623</v>
      </c>
      <c r="G9" s="5" t="s">
        <v>2</v>
      </c>
      <c r="H9" s="17" t="s">
        <v>43</v>
      </c>
      <c r="I9" s="28">
        <f>+'4b.kiadások'!AG17</f>
        <v>24053990</v>
      </c>
      <c r="J9" s="28">
        <f>+'4b.kiadások'!AH17</f>
        <v>24805990</v>
      </c>
      <c r="K9" s="28">
        <f>+'4b.kiadások'!AI17</f>
        <v>23950858</v>
      </c>
      <c r="L9" s="122">
        <f>K9/J9*100</f>
        <v>96.55271972616292</v>
      </c>
    </row>
    <row r="10" spans="1:13" ht="20.100000000000001" customHeight="1" x14ac:dyDescent="0.2">
      <c r="A10" s="5" t="s">
        <v>7</v>
      </c>
      <c r="B10" s="30" t="s">
        <v>42</v>
      </c>
      <c r="C10" s="28">
        <f>+'4a. bevételek'!AG26</f>
        <v>2580000</v>
      </c>
      <c r="D10" s="28">
        <f>+'4a. bevételek'!AH26</f>
        <v>1209000</v>
      </c>
      <c r="E10" s="28">
        <f>+'4a. bevételek'!AI26</f>
        <v>1208911</v>
      </c>
      <c r="F10" s="122">
        <f t="shared" ref="F10:F24" si="0">E10/D10*100</f>
        <v>99.992638544251449</v>
      </c>
      <c r="G10" s="5" t="s">
        <v>41</v>
      </c>
      <c r="H10" s="17" t="s">
        <v>40</v>
      </c>
      <c r="I10" s="28">
        <f>+'4b.kiadások'!AG18</f>
        <v>3065610</v>
      </c>
      <c r="J10" s="28">
        <f>+'4b.kiadások'!AH18</f>
        <v>3111610</v>
      </c>
      <c r="K10" s="28">
        <f>+'4b.kiadások'!AI18</f>
        <v>3110880</v>
      </c>
      <c r="L10" s="122">
        <f t="shared" ref="L10:L14" si="1">K10/J10*100</f>
        <v>99.976539476348265</v>
      </c>
    </row>
    <row r="11" spans="1:13" ht="20.100000000000001" customHeight="1" x14ac:dyDescent="0.2">
      <c r="A11" s="5" t="s">
        <v>6</v>
      </c>
      <c r="B11" s="30" t="s">
        <v>39</v>
      </c>
      <c r="C11" s="28">
        <f>+'4a. bevételek'!AG29</f>
        <v>0</v>
      </c>
      <c r="D11" s="28">
        <f>+'4a. bevételek'!AH29</f>
        <v>163000</v>
      </c>
      <c r="E11" s="28">
        <f>+'4a. bevételek'!AI29</f>
        <v>162626</v>
      </c>
      <c r="F11" s="122">
        <f t="shared" si="0"/>
        <v>99.770552147239272</v>
      </c>
      <c r="G11" s="5" t="s">
        <v>38</v>
      </c>
      <c r="H11" s="17" t="s">
        <v>37</v>
      </c>
      <c r="I11" s="28">
        <f>+'4b.kiadások'!AG50</f>
        <v>14141216</v>
      </c>
      <c r="J11" s="28">
        <f>+'4b.kiadások'!AH50</f>
        <v>19857430</v>
      </c>
      <c r="K11" s="28">
        <f>+'4b.kiadások'!AI50</f>
        <v>17831754</v>
      </c>
      <c r="L11" s="122">
        <f t="shared" si="1"/>
        <v>89.79890146912264</v>
      </c>
    </row>
    <row r="12" spans="1:13" ht="20.100000000000001" customHeight="1" x14ac:dyDescent="0.2">
      <c r="A12" s="5" t="s">
        <v>5</v>
      </c>
      <c r="B12" s="30" t="s">
        <v>36</v>
      </c>
      <c r="C12" s="28">
        <f>+'4a. bevételek'!AG31</f>
        <v>0</v>
      </c>
      <c r="D12" s="28">
        <f>+'4a. bevételek'!AH31</f>
        <v>300000</v>
      </c>
      <c r="E12" s="28">
        <f>+'4a. bevételek'!AI31</f>
        <v>300000</v>
      </c>
      <c r="F12" s="122">
        <f t="shared" si="0"/>
        <v>100</v>
      </c>
      <c r="G12" s="5" t="s">
        <v>35</v>
      </c>
      <c r="H12" s="17" t="s">
        <v>34</v>
      </c>
      <c r="I12" s="28">
        <f>+'4b.kiadások'!AG54</f>
        <v>12612500</v>
      </c>
      <c r="J12" s="28">
        <f>+'4b.kiadások'!AH54</f>
        <v>10529860</v>
      </c>
      <c r="K12" s="28">
        <f>+'4b.kiadások'!AI54</f>
        <v>7399096</v>
      </c>
      <c r="L12" s="122">
        <f t="shared" si="1"/>
        <v>70.267752847616208</v>
      </c>
    </row>
    <row r="13" spans="1:13" s="10" customFormat="1" ht="39" customHeight="1" x14ac:dyDescent="0.25">
      <c r="A13" s="5" t="s">
        <v>33</v>
      </c>
      <c r="B13" s="17" t="s">
        <v>44</v>
      </c>
      <c r="C13" s="4">
        <f>+'4a. bevételek'!AG14</f>
        <v>28244807</v>
      </c>
      <c r="D13" s="4">
        <f>+'4a. bevételek'!AH14</f>
        <v>31750503</v>
      </c>
      <c r="E13" s="4">
        <f>+'4a. bevételek'!AI14</f>
        <v>31750503</v>
      </c>
      <c r="F13" s="122">
        <f t="shared" si="0"/>
        <v>100</v>
      </c>
      <c r="G13" s="5" t="s">
        <v>32</v>
      </c>
      <c r="H13" s="17" t="s">
        <v>31</v>
      </c>
      <c r="I13" s="4">
        <f>+'4b.kiadások'!AG63</f>
        <v>2905520</v>
      </c>
      <c r="J13" s="4">
        <f>+'4b.kiadások'!AH63</f>
        <v>6099243</v>
      </c>
      <c r="K13" s="4">
        <f>+'4b.kiadások'!AI63</f>
        <v>2189884</v>
      </c>
      <c r="L13" s="122">
        <f t="shared" si="1"/>
        <v>35.904193356454236</v>
      </c>
    </row>
    <row r="14" spans="1:13" ht="26.45" customHeight="1" x14ac:dyDescent="0.2">
      <c r="A14" s="31" t="s">
        <v>30</v>
      </c>
      <c r="B14" s="31"/>
      <c r="C14" s="31">
        <f>SUM(C9:C13)</f>
        <v>50911769</v>
      </c>
      <c r="D14" s="31">
        <f t="shared" ref="D14:E14" si="2">SUM(D9:D13)</f>
        <v>56111619</v>
      </c>
      <c r="E14" s="31">
        <f t="shared" si="2"/>
        <v>56041762</v>
      </c>
      <c r="F14" s="123">
        <f t="shared" si="0"/>
        <v>99.875503503115809</v>
      </c>
      <c r="G14" s="31" t="s">
        <v>29</v>
      </c>
      <c r="H14" s="31"/>
      <c r="I14" s="31">
        <f>SUM(I9:I13)</f>
        <v>56778836</v>
      </c>
      <c r="J14" s="31">
        <f t="shared" ref="J14:K14" si="3">SUM(J9:J13)</f>
        <v>64404133</v>
      </c>
      <c r="K14" s="31">
        <f t="shared" si="3"/>
        <v>54482472</v>
      </c>
      <c r="L14" s="123">
        <f t="shared" si="1"/>
        <v>84.594682766710022</v>
      </c>
    </row>
    <row r="15" spans="1:13" ht="20.100000000000001" customHeight="1" x14ac:dyDescent="0.2">
      <c r="A15" s="547" t="s">
        <v>28</v>
      </c>
      <c r="B15" s="547"/>
      <c r="C15" s="547"/>
      <c r="D15" s="547"/>
      <c r="E15" s="547"/>
      <c r="F15" s="547"/>
      <c r="G15" s="547"/>
      <c r="H15" s="547"/>
      <c r="I15" s="547"/>
      <c r="J15" s="547"/>
      <c r="K15" s="547"/>
      <c r="L15" s="104"/>
    </row>
    <row r="16" spans="1:13" ht="20.100000000000001" customHeight="1" x14ac:dyDescent="0.2">
      <c r="A16" s="5" t="s">
        <v>27</v>
      </c>
      <c r="B16" s="30" t="s">
        <v>26</v>
      </c>
      <c r="C16" s="28">
        <f>+'4a. bevételek'!AG18</f>
        <v>0</v>
      </c>
      <c r="D16" s="28">
        <f>+'4a. bevételek'!AH18</f>
        <v>2371598</v>
      </c>
      <c r="E16" s="28">
        <f>+'4a. bevételek'!AI18</f>
        <v>2371598</v>
      </c>
      <c r="F16" s="122">
        <f t="shared" si="0"/>
        <v>100</v>
      </c>
      <c r="G16" s="4" t="s">
        <v>1</v>
      </c>
      <c r="H16" s="32" t="s">
        <v>25</v>
      </c>
      <c r="I16" s="4">
        <f>+'4b.kiadások'!AG66</f>
        <v>635000</v>
      </c>
      <c r="J16" s="4">
        <f>+'4b.kiadások'!AH66</f>
        <v>3675000</v>
      </c>
      <c r="K16" s="4">
        <f>+'4b.kiadások'!AI66</f>
        <v>3472880</v>
      </c>
      <c r="L16" s="122">
        <f t="shared" ref="L16:L19" si="4">K16/J16*100</f>
        <v>94.500136054421773</v>
      </c>
      <c r="M16" s="6"/>
    </row>
    <row r="17" spans="1:15" ht="20.100000000000001" customHeight="1" x14ac:dyDescent="0.2">
      <c r="A17" s="5" t="s">
        <v>4</v>
      </c>
      <c r="B17" s="30" t="s">
        <v>24</v>
      </c>
      <c r="C17" s="28">
        <v>0</v>
      </c>
      <c r="D17" s="28">
        <v>0</v>
      </c>
      <c r="E17" s="28">
        <v>0</v>
      </c>
      <c r="F17" s="122"/>
      <c r="G17" s="5" t="s">
        <v>0</v>
      </c>
      <c r="H17" s="17" t="s">
        <v>23</v>
      </c>
      <c r="I17" s="4">
        <f>+'4b.kiadások'!AG69</f>
        <v>5661000</v>
      </c>
      <c r="J17" s="4">
        <f>+'4b.kiadások'!AH69</f>
        <v>0</v>
      </c>
      <c r="K17" s="4">
        <f>+'4b.kiadások'!AI69</f>
        <v>0</v>
      </c>
      <c r="L17" s="122"/>
    </row>
    <row r="18" spans="1:15" ht="39" customHeight="1" x14ac:dyDescent="0.2">
      <c r="A18" s="5" t="s">
        <v>22</v>
      </c>
      <c r="B18" s="30" t="s">
        <v>21</v>
      </c>
      <c r="C18" s="28">
        <v>0</v>
      </c>
      <c r="D18" s="28">
        <v>0</v>
      </c>
      <c r="E18" s="28">
        <v>0</v>
      </c>
      <c r="F18" s="122"/>
      <c r="G18" s="5" t="s">
        <v>20</v>
      </c>
      <c r="H18" s="17" t="s">
        <v>19</v>
      </c>
      <c r="I18" s="4">
        <v>0</v>
      </c>
      <c r="J18" s="4">
        <v>0</v>
      </c>
      <c r="K18" s="4">
        <v>0</v>
      </c>
      <c r="L18" s="122"/>
      <c r="N18" s="6"/>
    </row>
    <row r="19" spans="1:15" ht="20.100000000000001" customHeight="1" x14ac:dyDescent="0.2">
      <c r="A19" s="31" t="s">
        <v>18</v>
      </c>
      <c r="B19" s="31"/>
      <c r="C19" s="31">
        <f>SUM(C16:C18)</f>
        <v>0</v>
      </c>
      <c r="D19" s="31">
        <f t="shared" ref="D19:E19" si="5">SUM(D16:D18)</f>
        <v>2371598</v>
      </c>
      <c r="E19" s="31">
        <f t="shared" si="5"/>
        <v>2371598</v>
      </c>
      <c r="F19" s="123">
        <f t="shared" si="0"/>
        <v>100</v>
      </c>
      <c r="G19" s="31" t="s">
        <v>17</v>
      </c>
      <c r="H19" s="31"/>
      <c r="I19" s="31">
        <f>SUM(I16:I18)</f>
        <v>6296000</v>
      </c>
      <c r="J19" s="31">
        <f t="shared" ref="J19:K19" si="6">SUM(J16:J18)</f>
        <v>3675000</v>
      </c>
      <c r="K19" s="31">
        <f t="shared" si="6"/>
        <v>3472880</v>
      </c>
      <c r="L19" s="123">
        <f t="shared" si="4"/>
        <v>94.500136054421773</v>
      </c>
      <c r="N19" s="6"/>
    </row>
    <row r="20" spans="1:15" ht="20.100000000000001" customHeight="1" x14ac:dyDescent="0.2">
      <c r="A20" s="547" t="s">
        <v>16</v>
      </c>
      <c r="B20" s="547"/>
      <c r="C20" s="547"/>
      <c r="D20" s="547"/>
      <c r="E20" s="547"/>
      <c r="F20" s="547"/>
      <c r="G20" s="547"/>
      <c r="H20" s="547"/>
      <c r="I20" s="547"/>
      <c r="J20" s="547"/>
      <c r="K20" s="547"/>
      <c r="L20" s="104"/>
    </row>
    <row r="21" spans="1:15" ht="20.100000000000001" customHeight="1" x14ac:dyDescent="0.2">
      <c r="A21" s="5" t="s">
        <v>3</v>
      </c>
      <c r="B21" s="17" t="s">
        <v>15</v>
      </c>
      <c r="C21" s="28">
        <f>+'4a. bevételek'!AG33</f>
        <v>12163067</v>
      </c>
      <c r="D21" s="28">
        <f>+'4a. bevételek'!AH33</f>
        <v>10725708</v>
      </c>
      <c r="E21" s="28">
        <f>+'4a. bevételek'!AI33</f>
        <v>10725708</v>
      </c>
      <c r="F21" s="122">
        <f t="shared" si="0"/>
        <v>100</v>
      </c>
      <c r="G21" s="5" t="s">
        <v>14</v>
      </c>
      <c r="H21" s="17" t="s">
        <v>13</v>
      </c>
      <c r="I21" s="4"/>
      <c r="J21" s="4">
        <f>+'4b.kiadások'!AH71</f>
        <v>1129792</v>
      </c>
      <c r="K21" s="4">
        <f>+'4b.kiadások'!AI71</f>
        <v>1129792</v>
      </c>
      <c r="L21" s="122">
        <f t="shared" ref="L21" si="7">K21/J21*100</f>
        <v>100</v>
      </c>
    </row>
    <row r="22" spans="1:15" ht="20.100000000000001" customHeight="1" x14ac:dyDescent="0.2">
      <c r="A22" s="5" t="str">
        <f>+'4a. bevételek'!A34</f>
        <v>Államháztartáson belüli megelőlegezések</v>
      </c>
      <c r="B22" s="17" t="s">
        <v>211</v>
      </c>
      <c r="C22" s="28">
        <f>+'4a. bevételek'!AG34</f>
        <v>0</v>
      </c>
      <c r="D22" s="28">
        <f>+'4a. bevételek'!AH34</f>
        <v>0</v>
      </c>
      <c r="E22" s="28">
        <f>+'4a. bevételek'!AI34</f>
        <v>1184836</v>
      </c>
      <c r="F22" s="122"/>
      <c r="G22" s="5"/>
      <c r="H22" s="5"/>
      <c r="I22" s="4"/>
      <c r="J22" s="4"/>
      <c r="K22" s="4"/>
      <c r="L22" s="4"/>
      <c r="M22" s="6"/>
    </row>
    <row r="23" spans="1:15" ht="20.100000000000001" customHeight="1" x14ac:dyDescent="0.2">
      <c r="A23" s="33" t="s">
        <v>12</v>
      </c>
      <c r="B23" s="33"/>
      <c r="C23" s="3">
        <f>SUM(C21:C22)</f>
        <v>12163067</v>
      </c>
      <c r="D23" s="3">
        <f t="shared" ref="D23:E23" si="8">SUM(D21:D22)</f>
        <v>10725708</v>
      </c>
      <c r="E23" s="3">
        <f t="shared" si="8"/>
        <v>11910544</v>
      </c>
      <c r="F23" s="123">
        <f t="shared" si="0"/>
        <v>111.04669267520615</v>
      </c>
      <c r="G23" s="33" t="s">
        <v>11</v>
      </c>
      <c r="H23" s="5"/>
      <c r="I23" s="3">
        <f>SUM(I21:I22)</f>
        <v>0</v>
      </c>
      <c r="J23" s="3">
        <f t="shared" ref="J23:K23" si="9">SUM(J21:J22)</f>
        <v>1129792</v>
      </c>
      <c r="K23" s="3">
        <f t="shared" si="9"/>
        <v>1129792</v>
      </c>
      <c r="L23" s="123">
        <f t="shared" ref="L23:L24" si="10">K23/J23*100</f>
        <v>100</v>
      </c>
      <c r="O23" s="6"/>
    </row>
    <row r="24" spans="1:15" ht="12.75" x14ac:dyDescent="0.2">
      <c r="A24" s="124" t="s">
        <v>10</v>
      </c>
      <c r="B24" s="124"/>
      <c r="C24" s="125">
        <f>+C14+C23+C19</f>
        <v>63074836</v>
      </c>
      <c r="D24" s="125">
        <f t="shared" ref="D24:E24" si="11">+D14+D23+D19</f>
        <v>69208925</v>
      </c>
      <c r="E24" s="128">
        <f t="shared" si="11"/>
        <v>70323904</v>
      </c>
      <c r="F24" s="129">
        <f t="shared" si="0"/>
        <v>101.61103354805756</v>
      </c>
      <c r="G24" s="124" t="s">
        <v>9</v>
      </c>
      <c r="H24" s="124"/>
      <c r="I24" s="125">
        <f>I14+I19+I23</f>
        <v>63074836</v>
      </c>
      <c r="J24" s="125">
        <f t="shared" ref="J24:K24" si="12">J14+J19+J23</f>
        <v>69208925</v>
      </c>
      <c r="K24" s="125">
        <f t="shared" si="12"/>
        <v>59085144</v>
      </c>
      <c r="L24" s="129">
        <f t="shared" si="10"/>
        <v>85.372145283285363</v>
      </c>
    </row>
    <row r="25" spans="1:15" x14ac:dyDescent="0.2">
      <c r="A25" s="43"/>
      <c r="B25" s="43"/>
      <c r="C25" s="42"/>
      <c r="D25" s="42"/>
      <c r="E25" s="42"/>
      <c r="F25" s="42"/>
      <c r="G25" s="43" t="s">
        <v>220</v>
      </c>
      <c r="H25" s="43"/>
      <c r="I25" s="42"/>
      <c r="J25" s="42"/>
      <c r="K25" s="42">
        <f>+E24-K24</f>
        <v>11238760</v>
      </c>
      <c r="L25" s="42"/>
    </row>
    <row r="26" spans="1:15" x14ac:dyDescent="0.2">
      <c r="A26" s="43"/>
      <c r="B26" s="43"/>
      <c r="C26" s="43"/>
      <c r="D26" s="43"/>
      <c r="E26" s="43"/>
      <c r="F26" s="43"/>
      <c r="G26" s="43"/>
      <c r="H26" s="43"/>
      <c r="I26" s="42"/>
      <c r="J26" s="42"/>
      <c r="K26" s="42"/>
      <c r="L26" s="42"/>
    </row>
    <row r="27" spans="1:15" x14ac:dyDescent="0.2">
      <c r="A27" s="43"/>
      <c r="B27" s="43"/>
      <c r="C27" s="43"/>
      <c r="D27" s="43"/>
      <c r="E27" s="43"/>
      <c r="F27" s="43"/>
      <c r="G27" s="43"/>
      <c r="H27" s="43"/>
      <c r="I27" s="42"/>
      <c r="J27" s="42"/>
      <c r="K27" s="42"/>
      <c r="L27" s="42"/>
    </row>
    <row r="28" spans="1:15" x14ac:dyDescent="0.2">
      <c r="I28" s="9"/>
      <c r="J28" s="9"/>
      <c r="K28" s="9"/>
      <c r="L28" s="9"/>
    </row>
    <row r="30" spans="1:15" x14ac:dyDescent="0.2">
      <c r="N30" s="6"/>
    </row>
  </sheetData>
  <mergeCells count="8">
    <mergeCell ref="A15:K15"/>
    <mergeCell ref="A20:K20"/>
    <mergeCell ref="A4:K4"/>
    <mergeCell ref="A3:K3"/>
    <mergeCell ref="A2:K2"/>
    <mergeCell ref="A8:K8"/>
    <mergeCell ref="A6:F6"/>
    <mergeCell ref="G6:L6"/>
  </mergeCells>
  <phoneticPr fontId="0" type="noConversion"/>
  <printOptions horizontalCentered="1" verticalCentered="1"/>
  <pageMargins left="0.74803149606299213" right="0.74803149606299213" top="0.98425196850393704" bottom="0.59055118110236227" header="0.51181102362204722" footer="0.51181102362204722"/>
  <pageSetup paperSize="8" scale="85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>
      <selection activeCell="A2" sqref="A2:F2"/>
    </sheetView>
  </sheetViews>
  <sheetFormatPr defaultRowHeight="15" x14ac:dyDescent="0.25"/>
  <cols>
    <col min="1" max="1" width="10.42578125" customWidth="1"/>
    <col min="2" max="2" width="50.7109375" customWidth="1"/>
    <col min="3" max="3" width="13.5703125" customWidth="1"/>
    <col min="4" max="4" width="13.42578125" customWidth="1"/>
    <col min="5" max="5" width="12.28515625" customWidth="1"/>
    <col min="6" max="6" width="10.28515625" customWidth="1"/>
  </cols>
  <sheetData>
    <row r="1" spans="1:6" x14ac:dyDescent="0.25">
      <c r="A1" s="553" t="s">
        <v>265</v>
      </c>
      <c r="B1" s="553"/>
      <c r="C1" s="553"/>
      <c r="D1" s="553"/>
      <c r="E1" s="553"/>
      <c r="F1" s="553"/>
    </row>
    <row r="2" spans="1:6" x14ac:dyDescent="0.25">
      <c r="A2" s="554" t="str">
        <f>+'2. mérleg'!A3:K3</f>
        <v xml:space="preserve">4/2020. (VI.18.)zárszámadási rendelet </v>
      </c>
      <c r="B2" s="554"/>
      <c r="C2" s="554"/>
      <c r="D2" s="554"/>
      <c r="E2" s="554"/>
      <c r="F2" s="554"/>
    </row>
    <row r="3" spans="1:6" x14ac:dyDescent="0.25">
      <c r="A3" s="555" t="s">
        <v>359</v>
      </c>
      <c r="B3" s="555"/>
      <c r="C3" s="555"/>
      <c r="D3" s="555"/>
      <c r="E3" s="555"/>
      <c r="F3" s="555"/>
    </row>
    <row r="4" spans="1:6" x14ac:dyDescent="0.25">
      <c r="A4" s="556" t="s">
        <v>357</v>
      </c>
      <c r="B4" s="556"/>
      <c r="C4" s="556"/>
      <c r="D4" s="556"/>
      <c r="E4" s="556"/>
      <c r="F4" s="556"/>
    </row>
    <row r="5" spans="1:6" ht="15.75" x14ac:dyDescent="0.25">
      <c r="A5" s="557"/>
      <c r="B5" s="557"/>
      <c r="C5" s="557"/>
      <c r="D5" s="557"/>
      <c r="E5" s="557"/>
      <c r="F5" s="557"/>
    </row>
    <row r="6" spans="1:6" ht="16.5" thickBot="1" x14ac:dyDescent="0.3">
      <c r="A6" s="131"/>
      <c r="B6" s="132"/>
      <c r="C6" s="133"/>
      <c r="D6" s="130"/>
      <c r="E6" s="558" t="s">
        <v>266</v>
      </c>
      <c r="F6" s="558"/>
    </row>
    <row r="7" spans="1:6" ht="60.75" thickBot="1" x14ac:dyDescent="0.3">
      <c r="A7" s="134" t="s">
        <v>267</v>
      </c>
      <c r="B7" s="135" t="s">
        <v>69</v>
      </c>
      <c r="C7" s="136" t="s">
        <v>268</v>
      </c>
      <c r="D7" s="135" t="s">
        <v>269</v>
      </c>
      <c r="E7" s="137" t="s">
        <v>270</v>
      </c>
      <c r="F7" s="138" t="s">
        <v>271</v>
      </c>
    </row>
    <row r="8" spans="1:6" ht="15.75" thickBot="1" x14ac:dyDescent="0.3">
      <c r="A8" s="139"/>
      <c r="B8" s="140"/>
      <c r="C8" s="141"/>
      <c r="D8" s="142"/>
      <c r="E8" s="143"/>
      <c r="F8" s="144"/>
    </row>
    <row r="9" spans="1:6" ht="15.75" thickBot="1" x14ac:dyDescent="0.3">
      <c r="A9" s="145" t="s">
        <v>272</v>
      </c>
      <c r="B9" s="146" t="s">
        <v>273</v>
      </c>
      <c r="C9" s="147"/>
      <c r="D9" s="148"/>
      <c r="E9" s="149"/>
      <c r="F9" s="150"/>
    </row>
    <row r="10" spans="1:6" ht="15.75" thickBot="1" x14ac:dyDescent="0.3">
      <c r="A10" s="151"/>
      <c r="B10" s="152" t="s">
        <v>274</v>
      </c>
      <c r="C10" s="153">
        <f>+'2. mérleg'!C11</f>
        <v>0</v>
      </c>
      <c r="D10" s="153">
        <f>+'2. mérleg'!D11</f>
        <v>163000</v>
      </c>
      <c r="E10" s="153">
        <f>+'2. mérleg'!E11</f>
        <v>162626</v>
      </c>
      <c r="F10" s="154">
        <f>E10/D10*100</f>
        <v>99.770552147239272</v>
      </c>
    </row>
    <row r="11" spans="1:6" ht="15.75" thickBot="1" x14ac:dyDescent="0.3">
      <c r="A11" s="151"/>
      <c r="B11" s="152" t="s">
        <v>275</v>
      </c>
      <c r="C11" s="155"/>
      <c r="D11" s="155"/>
      <c r="E11" s="155"/>
      <c r="F11" s="154"/>
    </row>
    <row r="12" spans="1:6" x14ac:dyDescent="0.25">
      <c r="A12" s="156"/>
      <c r="B12" s="157" t="s">
        <v>276</v>
      </c>
      <c r="C12" s="158">
        <f>+'4a. bevételek'!C20+'4a. bevételek'!C21+'4a. bevételek'!C23</f>
        <v>2300000</v>
      </c>
      <c r="D12" s="158">
        <f>+'4a. bevételek'!D20+'4a. bevételek'!D21+'4a. bevételek'!D23</f>
        <v>905000</v>
      </c>
      <c r="E12" s="158">
        <f>+'4a. bevételek'!E20+'4a. bevételek'!E21+'4a. bevételek'!E23</f>
        <v>905132</v>
      </c>
      <c r="F12" s="175">
        <f t="shared" ref="F12:F14" si="0">E12/D12*100</f>
        <v>100.01458563535913</v>
      </c>
    </row>
    <row r="13" spans="1:6" x14ac:dyDescent="0.25">
      <c r="A13" s="156"/>
      <c r="B13" s="157" t="s">
        <v>277</v>
      </c>
      <c r="C13" s="158">
        <f>+'4a. bevételek'!C24</f>
        <v>280000</v>
      </c>
      <c r="D13" s="158">
        <f>+'4a. bevételek'!D24</f>
        <v>302000</v>
      </c>
      <c r="E13" s="158">
        <f>+'4a. bevételek'!E24</f>
        <v>301945</v>
      </c>
      <c r="F13" s="175">
        <f t="shared" si="0"/>
        <v>99.981788079470206</v>
      </c>
    </row>
    <row r="14" spans="1:6" x14ac:dyDescent="0.25">
      <c r="A14" s="156"/>
      <c r="B14" s="157" t="s">
        <v>278</v>
      </c>
      <c r="C14" s="158"/>
      <c r="D14" s="158">
        <f>+'4a. bevételek'!D22</f>
        <v>2000</v>
      </c>
      <c r="E14" s="158">
        <f>+'4a. bevételek'!E22</f>
        <v>1834</v>
      </c>
      <c r="F14" s="175">
        <f t="shared" si="0"/>
        <v>91.7</v>
      </c>
    </row>
    <row r="15" spans="1:6" ht="15.75" thickBot="1" x14ac:dyDescent="0.3">
      <c r="A15" s="160"/>
      <c r="B15" s="161" t="s">
        <v>279</v>
      </c>
      <c r="C15" s="162"/>
      <c r="D15" s="162"/>
      <c r="E15" s="162"/>
      <c r="F15" s="159"/>
    </row>
    <row r="16" spans="1:6" ht="15.75" thickBot="1" x14ac:dyDescent="0.3">
      <c r="A16" s="163"/>
      <c r="B16" s="164" t="s">
        <v>7</v>
      </c>
      <c r="C16" s="162">
        <f>SUM(C12:C15)</f>
        <v>2580000</v>
      </c>
      <c r="D16" s="162">
        <f>SUM(D12:D15)</f>
        <v>1209000</v>
      </c>
      <c r="E16" s="162">
        <f>SUM(E12:E15)</f>
        <v>1208911</v>
      </c>
      <c r="F16" s="165">
        <f>E16/D16*100</f>
        <v>99.992638544251449</v>
      </c>
    </row>
    <row r="17" spans="1:6" ht="15.75" thickBot="1" x14ac:dyDescent="0.3">
      <c r="A17" s="163"/>
      <c r="B17" s="166" t="s">
        <v>280</v>
      </c>
      <c r="C17" s="167">
        <f>C10+C16</f>
        <v>2580000</v>
      </c>
      <c r="D17" s="167">
        <f>D10+D16</f>
        <v>1372000</v>
      </c>
      <c r="E17" s="167">
        <f>E10+E16</f>
        <v>1371537</v>
      </c>
      <c r="F17" s="154">
        <f>E17/D17*100</f>
        <v>99.966253644314875</v>
      </c>
    </row>
    <row r="18" spans="1:6" x14ac:dyDescent="0.25">
      <c r="A18" s="168" t="s">
        <v>281</v>
      </c>
      <c r="B18" s="169" t="s">
        <v>282</v>
      </c>
      <c r="C18" s="170"/>
      <c r="D18" s="170"/>
      <c r="E18" s="170"/>
      <c r="F18" s="171"/>
    </row>
    <row r="19" spans="1:6" x14ac:dyDescent="0.25">
      <c r="A19" s="172"/>
      <c r="B19" s="173" t="s">
        <v>283</v>
      </c>
      <c r="C19" s="174"/>
      <c r="D19" s="174"/>
      <c r="E19" s="174"/>
      <c r="F19" s="175"/>
    </row>
    <row r="20" spans="1:6" x14ac:dyDescent="0.25">
      <c r="A20" s="156"/>
      <c r="B20" s="176" t="s">
        <v>284</v>
      </c>
      <c r="C20" s="158">
        <f>+'4a. bevételek'!AG14</f>
        <v>28244807</v>
      </c>
      <c r="D20" s="158">
        <f>+'4a. bevételek'!AH14</f>
        <v>31750503</v>
      </c>
      <c r="E20" s="158">
        <f>+'4a. bevételek'!AI14</f>
        <v>31750503</v>
      </c>
      <c r="F20" s="175">
        <f>E20/D20*100</f>
        <v>100</v>
      </c>
    </row>
    <row r="21" spans="1:6" ht="26.25" thickBot="1" x14ac:dyDescent="0.3">
      <c r="A21" s="177"/>
      <c r="B21" s="178" t="s">
        <v>285</v>
      </c>
      <c r="C21" s="167">
        <f>SUM(C20:C20)</f>
        <v>28244807</v>
      </c>
      <c r="D21" s="167">
        <f>SUM(D20:D20)</f>
        <v>31750503</v>
      </c>
      <c r="E21" s="167">
        <f>SUM(E20:E20)</f>
        <v>31750503</v>
      </c>
      <c r="F21" s="179">
        <f>E21/D21*100</f>
        <v>100</v>
      </c>
    </row>
    <row r="22" spans="1:6" ht="15.75" thickBot="1" x14ac:dyDescent="0.3">
      <c r="A22" s="151" t="s">
        <v>286</v>
      </c>
      <c r="B22" s="152" t="s">
        <v>287</v>
      </c>
      <c r="C22" s="155"/>
      <c r="D22" s="155"/>
      <c r="E22" s="155"/>
      <c r="F22" s="165"/>
    </row>
    <row r="23" spans="1:6" x14ac:dyDescent="0.25">
      <c r="A23" s="180"/>
      <c r="B23" s="176" t="s">
        <v>288</v>
      </c>
      <c r="C23" s="181">
        <v>0</v>
      </c>
      <c r="D23" s="181">
        <v>0</v>
      </c>
      <c r="E23" s="181">
        <v>0</v>
      </c>
      <c r="F23" s="209"/>
    </row>
    <row r="24" spans="1:6" ht="25.5" x14ac:dyDescent="0.25">
      <c r="A24" s="156"/>
      <c r="B24" s="157" t="s">
        <v>289</v>
      </c>
      <c r="C24" s="183"/>
      <c r="D24" s="183"/>
      <c r="E24" s="183"/>
      <c r="F24" s="175"/>
    </row>
    <row r="25" spans="1:6" ht="15.75" thickBot="1" x14ac:dyDescent="0.3">
      <c r="A25" s="184"/>
      <c r="B25" s="185" t="s">
        <v>290</v>
      </c>
      <c r="C25" s="186"/>
      <c r="D25" s="186"/>
      <c r="E25" s="186"/>
      <c r="F25" s="159"/>
    </row>
    <row r="26" spans="1:6" ht="15.75" thickBot="1" x14ac:dyDescent="0.3">
      <c r="A26" s="187"/>
      <c r="B26" s="188" t="s">
        <v>291</v>
      </c>
      <c r="C26" s="153">
        <f>SUM(C23:C25)</f>
        <v>0</v>
      </c>
      <c r="D26" s="153">
        <f>SUM(D23:D25)</f>
        <v>0</v>
      </c>
      <c r="E26" s="153">
        <f>SUM(E23:E25)</f>
        <v>0</v>
      </c>
      <c r="F26" s="182"/>
    </row>
    <row r="27" spans="1:6" x14ac:dyDescent="0.25">
      <c r="A27" s="189" t="s">
        <v>292</v>
      </c>
      <c r="B27" s="190" t="s">
        <v>293</v>
      </c>
      <c r="C27" s="181"/>
      <c r="D27" s="181"/>
      <c r="E27" s="181"/>
      <c r="F27" s="182"/>
    </row>
    <row r="28" spans="1:6" x14ac:dyDescent="0.25">
      <c r="A28" s="191"/>
      <c r="B28" s="190" t="s">
        <v>294</v>
      </c>
      <c r="C28" s="181">
        <f>+'4a. bevételek'!AG15</f>
        <v>20086962</v>
      </c>
      <c r="D28" s="181">
        <f>+'4a. bevételek'!AH15</f>
        <v>22689116</v>
      </c>
      <c r="E28" s="181">
        <f>+'4a. bevételek'!AI15</f>
        <v>22619722</v>
      </c>
      <c r="F28" s="175">
        <f>E28/D28*100</f>
        <v>99.694152914551623</v>
      </c>
    </row>
    <row r="29" spans="1:6" x14ac:dyDescent="0.25">
      <c r="A29" s="191"/>
      <c r="B29" s="190" t="s">
        <v>295</v>
      </c>
      <c r="C29" s="192"/>
      <c r="D29" s="192"/>
      <c r="E29" s="192"/>
      <c r="F29" s="175"/>
    </row>
    <row r="30" spans="1:6" ht="15.75" thickBot="1" x14ac:dyDescent="0.3">
      <c r="A30" s="184"/>
      <c r="B30" s="193" t="s">
        <v>296</v>
      </c>
      <c r="C30" s="186">
        <f>+'4a. bevételek'!AG17</f>
        <v>0</v>
      </c>
      <c r="D30" s="186">
        <f>+'4a. bevételek'!AH17</f>
        <v>2371598</v>
      </c>
      <c r="E30" s="186">
        <f>+'4a. bevételek'!AI17</f>
        <v>2371598</v>
      </c>
      <c r="F30" s="258">
        <f>E30/D30*100</f>
        <v>100</v>
      </c>
    </row>
    <row r="31" spans="1:6" ht="15.75" thickBot="1" x14ac:dyDescent="0.3">
      <c r="A31" s="194"/>
      <c r="B31" s="195" t="s">
        <v>297</v>
      </c>
      <c r="C31" s="174">
        <f>SUM(C28:C30)</f>
        <v>20086962</v>
      </c>
      <c r="D31" s="174">
        <f>SUM(D28:D30)</f>
        <v>25060714</v>
      </c>
      <c r="E31" s="174">
        <f>SUM(E28:E30)</f>
        <v>24991320</v>
      </c>
      <c r="F31" s="235">
        <f>E31/D31*100</f>
        <v>99.723096476820245</v>
      </c>
    </row>
    <row r="32" spans="1:6" ht="15.75" thickBot="1" x14ac:dyDescent="0.3">
      <c r="A32" s="151" t="s">
        <v>298</v>
      </c>
      <c r="B32" s="152" t="s">
        <v>299</v>
      </c>
      <c r="C32" s="155"/>
      <c r="D32" s="155"/>
      <c r="E32" s="155"/>
      <c r="F32" s="165"/>
    </row>
    <row r="33" spans="1:6" ht="25.5" x14ac:dyDescent="0.25">
      <c r="A33" s="196"/>
      <c r="B33" s="197" t="s">
        <v>300</v>
      </c>
      <c r="C33" s="181">
        <f>+'4a. bevételek'!C30</f>
        <v>0</v>
      </c>
      <c r="D33" s="181">
        <f>+'4a. bevételek'!D30</f>
        <v>300000</v>
      </c>
      <c r="E33" s="181">
        <f>+'4a. bevételek'!E30</f>
        <v>300000</v>
      </c>
      <c r="F33" s="175">
        <f>E33/D33*100</f>
        <v>100</v>
      </c>
    </row>
    <row r="34" spans="1:6" ht="26.25" thickBot="1" x14ac:dyDescent="0.3">
      <c r="A34" s="198"/>
      <c r="B34" s="199" t="s">
        <v>301</v>
      </c>
      <c r="C34" s="186"/>
      <c r="D34" s="186"/>
      <c r="E34" s="186"/>
      <c r="F34" s="200"/>
    </row>
    <row r="35" spans="1:6" ht="15.75" thickBot="1" x14ac:dyDescent="0.3">
      <c r="A35" s="201"/>
      <c r="B35" s="152" t="s">
        <v>302</v>
      </c>
      <c r="C35" s="153">
        <f>+C33+C34</f>
        <v>0</v>
      </c>
      <c r="D35" s="153">
        <f t="shared" ref="D35:E35" si="1">+D33+D34</f>
        <v>300000</v>
      </c>
      <c r="E35" s="153">
        <f t="shared" si="1"/>
        <v>300000</v>
      </c>
      <c r="F35" s="235">
        <f>E35/D35*100</f>
        <v>100</v>
      </c>
    </row>
    <row r="36" spans="1:6" ht="26.25" thickBot="1" x14ac:dyDescent="0.3">
      <c r="A36" s="172" t="s">
        <v>303</v>
      </c>
      <c r="B36" s="202" t="s">
        <v>304</v>
      </c>
      <c r="C36" s="174"/>
      <c r="D36" s="174"/>
      <c r="E36" s="174"/>
      <c r="F36" s="154"/>
    </row>
    <row r="37" spans="1:6" ht="15.75" thickBot="1" x14ac:dyDescent="0.3">
      <c r="A37" s="151" t="s">
        <v>305</v>
      </c>
      <c r="B37" s="152" t="s">
        <v>306</v>
      </c>
      <c r="C37" s="155"/>
      <c r="D37" s="155"/>
      <c r="E37" s="155"/>
      <c r="F37" s="165"/>
    </row>
    <row r="38" spans="1:6" x14ac:dyDescent="0.25">
      <c r="A38" s="168"/>
      <c r="B38" s="169" t="s">
        <v>307</v>
      </c>
      <c r="C38" s="203"/>
      <c r="D38" s="203"/>
      <c r="E38" s="203"/>
      <c r="F38" s="182"/>
    </row>
    <row r="39" spans="1:6" ht="15.75" thickBot="1" x14ac:dyDescent="0.3">
      <c r="A39" s="204"/>
      <c r="B39" s="205" t="s">
        <v>308</v>
      </c>
      <c r="C39" s="206"/>
      <c r="D39" s="206"/>
      <c r="E39" s="206"/>
      <c r="F39" s="159"/>
    </row>
    <row r="40" spans="1:6" ht="15.75" thickBot="1" x14ac:dyDescent="0.3">
      <c r="A40" s="201"/>
      <c r="B40" s="207" t="s">
        <v>309</v>
      </c>
      <c r="C40" s="153"/>
      <c r="D40" s="153"/>
      <c r="E40" s="153"/>
      <c r="F40" s="208"/>
    </row>
    <row r="41" spans="1:6" ht="15.75" thickBot="1" x14ac:dyDescent="0.3">
      <c r="A41" s="151" t="s">
        <v>310</v>
      </c>
      <c r="B41" s="207" t="s">
        <v>311</v>
      </c>
      <c r="C41" s="153"/>
      <c r="D41" s="153"/>
      <c r="E41" s="153"/>
      <c r="F41" s="209"/>
    </row>
    <row r="42" spans="1:6" ht="15.75" thickBot="1" x14ac:dyDescent="0.3">
      <c r="A42" s="151" t="s">
        <v>312</v>
      </c>
      <c r="B42" s="207" t="s">
        <v>313</v>
      </c>
      <c r="C42" s="153"/>
      <c r="D42" s="153"/>
      <c r="E42" s="153"/>
      <c r="F42" s="165"/>
    </row>
    <row r="43" spans="1:6" ht="15.75" thickBot="1" x14ac:dyDescent="0.3">
      <c r="A43" s="210"/>
      <c r="B43" s="211" t="s">
        <v>314</v>
      </c>
      <c r="C43" s="212">
        <f>C10+C16+C21+C31+C35+C36+C37+C41+C42</f>
        <v>50911769</v>
      </c>
      <c r="D43" s="212">
        <f>D10+D16+D21+D31+D35+D36+D37+D41+D42</f>
        <v>58483217</v>
      </c>
      <c r="E43" s="212">
        <f>E10+E16+E21+E31+E35+E36+E37+E41+E42</f>
        <v>58413360</v>
      </c>
      <c r="F43" s="213">
        <f>E43/D43*100</f>
        <v>99.88055205649853</v>
      </c>
    </row>
    <row r="44" spans="1:6" ht="15.75" thickBot="1" x14ac:dyDescent="0.3">
      <c r="A44" s="151" t="s">
        <v>315</v>
      </c>
      <c r="B44" s="152" t="s">
        <v>316</v>
      </c>
      <c r="C44" s="155"/>
      <c r="D44" s="155"/>
      <c r="E44" s="155"/>
      <c r="F44" s="213"/>
    </row>
    <row r="45" spans="1:6" ht="15.75" thickBot="1" x14ac:dyDescent="0.3">
      <c r="A45" s="214"/>
      <c r="B45" s="164" t="s">
        <v>317</v>
      </c>
      <c r="C45" s="215">
        <f>+'4a. bevételek'!C33</f>
        <v>12163067</v>
      </c>
      <c r="D45" s="215">
        <f>+'4a. bevételek'!D33</f>
        <v>10725708</v>
      </c>
      <c r="E45" s="215">
        <f>+'4a. bevételek'!E33</f>
        <v>10725708</v>
      </c>
      <c r="F45" s="175">
        <f>E45/D45*100</f>
        <v>100</v>
      </c>
    </row>
    <row r="46" spans="1:6" ht="15.75" thickBot="1" x14ac:dyDescent="0.3">
      <c r="A46" s="216"/>
      <c r="B46" s="178" t="s">
        <v>318</v>
      </c>
      <c r="C46" s="215">
        <f>SUM(C45)</f>
        <v>12163067</v>
      </c>
      <c r="D46" s="215">
        <f>SUM(D45)</f>
        <v>10725708</v>
      </c>
      <c r="E46" s="215">
        <f>SUM(E45)</f>
        <v>10725708</v>
      </c>
      <c r="F46" s="175">
        <f>E46/D46*100</f>
        <v>100</v>
      </c>
    </row>
    <row r="47" spans="1:6" ht="15.75" thickBot="1" x14ac:dyDescent="0.3">
      <c r="A47" s="217"/>
      <c r="B47" s="146" t="s">
        <v>319</v>
      </c>
      <c r="C47" s="147">
        <f>C43+C46</f>
        <v>63074836</v>
      </c>
      <c r="D47" s="147">
        <f>D43+D46</f>
        <v>69208925</v>
      </c>
      <c r="E47" s="147">
        <f>E43+E46</f>
        <v>69139068</v>
      </c>
      <c r="F47" s="213">
        <f>E47/D47*100</f>
        <v>99.899063596205266</v>
      </c>
    </row>
    <row r="48" spans="1:6" ht="16.5" thickBot="1" x14ac:dyDescent="0.3">
      <c r="A48" s="218" t="s">
        <v>320</v>
      </c>
      <c r="B48" s="219" t="s">
        <v>321</v>
      </c>
      <c r="C48" s="220"/>
      <c r="D48" s="220"/>
      <c r="E48" s="220">
        <f>+'2. mérleg'!E22</f>
        <v>1184836</v>
      </c>
      <c r="F48" s="213"/>
    </row>
    <row r="49" spans="1:6" ht="15.75" thickBot="1" x14ac:dyDescent="0.3">
      <c r="A49" s="218"/>
      <c r="B49" s="152" t="s">
        <v>322</v>
      </c>
      <c r="C49" s="220">
        <f>C48+C47</f>
        <v>63074836</v>
      </c>
      <c r="D49" s="220">
        <f>D48+D47</f>
        <v>69208925</v>
      </c>
      <c r="E49" s="220">
        <f>E48+E47</f>
        <v>70323904</v>
      </c>
      <c r="F49" s="213">
        <f>E49/D49*100</f>
        <v>101.61103354805756</v>
      </c>
    </row>
    <row r="50" spans="1:6" ht="15.75" x14ac:dyDescent="0.25">
      <c r="A50" s="221"/>
      <c r="B50" s="222"/>
      <c r="C50" s="223"/>
      <c r="D50" s="130"/>
      <c r="E50" s="224"/>
      <c r="F50" s="225"/>
    </row>
    <row r="51" spans="1:6" x14ac:dyDescent="0.25">
      <c r="A51" s="553" t="s">
        <v>323</v>
      </c>
      <c r="B51" s="553"/>
      <c r="C51" s="553"/>
      <c r="D51" s="553"/>
      <c r="E51" s="553"/>
      <c r="F51" s="553"/>
    </row>
    <row r="52" spans="1:6" x14ac:dyDescent="0.25">
      <c r="A52" s="554" t="str">
        <f>+A2</f>
        <v xml:space="preserve">4/2020. (VI.18.)zárszámadási rendelet </v>
      </c>
      <c r="B52" s="554"/>
      <c r="C52" s="554"/>
      <c r="D52" s="554"/>
      <c r="E52" s="554"/>
      <c r="F52" s="554"/>
    </row>
    <row r="53" spans="1:6" x14ac:dyDescent="0.25">
      <c r="A53" s="554" t="str">
        <f>+A3</f>
        <v>Gordisa Község Önkormányzat</v>
      </c>
      <c r="B53" s="554"/>
      <c r="C53" s="554"/>
      <c r="D53" s="554"/>
      <c r="E53" s="554"/>
      <c r="F53" s="554"/>
    </row>
    <row r="54" spans="1:6" x14ac:dyDescent="0.25">
      <c r="A54" s="556" t="s">
        <v>358</v>
      </c>
      <c r="B54" s="556"/>
      <c r="C54" s="556"/>
      <c r="D54" s="556"/>
      <c r="E54" s="556"/>
      <c r="F54" s="556"/>
    </row>
    <row r="55" spans="1:6" ht="15.75" x14ac:dyDescent="0.25">
      <c r="A55" s="557"/>
      <c r="B55" s="557"/>
      <c r="C55" s="557"/>
      <c r="D55" s="557"/>
      <c r="E55" s="557"/>
      <c r="F55" s="557"/>
    </row>
    <row r="56" spans="1:6" ht="16.5" thickBot="1" x14ac:dyDescent="0.3">
      <c r="A56" s="131"/>
      <c r="B56" s="132"/>
      <c r="C56" s="133"/>
      <c r="D56" s="130"/>
      <c r="E56" s="558" t="s">
        <v>324</v>
      </c>
      <c r="F56" s="558"/>
    </row>
    <row r="57" spans="1:6" ht="51.75" thickBot="1" x14ac:dyDescent="0.3">
      <c r="A57" s="151" t="s">
        <v>325</v>
      </c>
      <c r="B57" s="135" t="s">
        <v>326</v>
      </c>
      <c r="C57" s="136" t="s">
        <v>268</v>
      </c>
      <c r="D57" s="135" t="s">
        <v>269</v>
      </c>
      <c r="E57" s="137" t="s">
        <v>270</v>
      </c>
      <c r="F57" s="138" t="s">
        <v>271</v>
      </c>
    </row>
    <row r="58" spans="1:6" ht="15.75" thickBot="1" x14ac:dyDescent="0.3">
      <c r="A58" s="139"/>
      <c r="B58" s="140"/>
      <c r="C58" s="141"/>
      <c r="D58" s="142"/>
      <c r="E58" s="143"/>
      <c r="F58" s="144"/>
    </row>
    <row r="59" spans="1:6" ht="15.75" thickBot="1" x14ac:dyDescent="0.3">
      <c r="A59" s="145" t="s">
        <v>272</v>
      </c>
      <c r="B59" s="146" t="s">
        <v>327</v>
      </c>
      <c r="C59" s="147"/>
      <c r="D59" s="148"/>
      <c r="E59" s="149"/>
      <c r="F59" s="150"/>
    </row>
    <row r="60" spans="1:6" x14ac:dyDescent="0.25">
      <c r="A60" s="226"/>
      <c r="B60" s="227" t="s">
        <v>328</v>
      </c>
      <c r="C60" s="228">
        <f>+'2. mérleg'!I9</f>
        <v>24053990</v>
      </c>
      <c r="D60" s="228">
        <f>+'2. mérleg'!J9</f>
        <v>24805990</v>
      </c>
      <c r="E60" s="228">
        <f>+'2. mérleg'!K9</f>
        <v>23950858</v>
      </c>
      <c r="F60" s="159">
        <f t="shared" ref="F60:F66" si="2">E60/D60*100</f>
        <v>96.55271972616292</v>
      </c>
    </row>
    <row r="61" spans="1:6" x14ac:dyDescent="0.25">
      <c r="A61" s="156"/>
      <c r="B61" s="157" t="s">
        <v>329</v>
      </c>
      <c r="C61" s="158">
        <f>+'2. mérleg'!I10</f>
        <v>3065610</v>
      </c>
      <c r="D61" s="158">
        <f>+'2. mérleg'!J10</f>
        <v>3111610</v>
      </c>
      <c r="E61" s="158">
        <f>+'2. mérleg'!K10</f>
        <v>3110880</v>
      </c>
      <c r="F61" s="159">
        <f t="shared" si="2"/>
        <v>99.976539476348265</v>
      </c>
    </row>
    <row r="62" spans="1:6" x14ac:dyDescent="0.25">
      <c r="A62" s="156"/>
      <c r="B62" s="157" t="s">
        <v>330</v>
      </c>
      <c r="C62" s="206">
        <f>+'2. mérleg'!I11</f>
        <v>14141216</v>
      </c>
      <c r="D62" s="206">
        <f>+'2. mérleg'!J11</f>
        <v>19857430</v>
      </c>
      <c r="E62" s="206">
        <f>+'2. mérleg'!K11</f>
        <v>17831754</v>
      </c>
      <c r="F62" s="159">
        <f t="shared" si="2"/>
        <v>89.79890146912264</v>
      </c>
    </row>
    <row r="63" spans="1:6" x14ac:dyDescent="0.25">
      <c r="A63" s="156"/>
      <c r="B63" s="157" t="s">
        <v>331</v>
      </c>
      <c r="C63" s="206">
        <f>+'4b.kiadások'!AG56+'4b.kiadások'!AG55</f>
        <v>2858520</v>
      </c>
      <c r="D63" s="206">
        <f>+'4b.kiadások'!AH56+'4b.kiadások'!AH55</f>
        <v>2234087</v>
      </c>
      <c r="E63" s="206">
        <f>+'4b.kiadások'!AI56+'4b.kiadások'!AI55</f>
        <v>2189884</v>
      </c>
      <c r="F63" s="159">
        <f t="shared" si="2"/>
        <v>98.021428887952894</v>
      </c>
    </row>
    <row r="64" spans="1:6" x14ac:dyDescent="0.25">
      <c r="A64" s="229"/>
      <c r="B64" s="230" t="s">
        <v>332</v>
      </c>
      <c r="C64" s="206">
        <f>+'4b.kiadások'!AG61</f>
        <v>47000</v>
      </c>
      <c r="D64" s="206">
        <f>+'4b.kiadások'!AH61</f>
        <v>47000</v>
      </c>
      <c r="E64" s="206">
        <f>+'4b.kiadások'!AI61</f>
        <v>0</v>
      </c>
      <c r="F64" s="159">
        <f t="shared" si="2"/>
        <v>0</v>
      </c>
    </row>
    <row r="65" spans="1:6" x14ac:dyDescent="0.25">
      <c r="A65" s="156"/>
      <c r="B65" s="157" t="s">
        <v>333</v>
      </c>
      <c r="C65" s="231">
        <f>+'4b.kiadások'!AG54</f>
        <v>12612500</v>
      </c>
      <c r="D65" s="231">
        <f>+'4b.kiadások'!AH54</f>
        <v>10529860</v>
      </c>
      <c r="E65" s="231">
        <f>+'4b.kiadások'!AI54</f>
        <v>7399096</v>
      </c>
      <c r="F65" s="175">
        <f t="shared" si="2"/>
        <v>70.267752847616208</v>
      </c>
    </row>
    <row r="66" spans="1:6" ht="15.75" thickBot="1" x14ac:dyDescent="0.3">
      <c r="A66" s="177"/>
      <c r="B66" s="178" t="s">
        <v>334</v>
      </c>
      <c r="C66" s="174">
        <f>SUM(C60:C65)</f>
        <v>56778836</v>
      </c>
      <c r="D66" s="174">
        <f>SUM(D60:D65)</f>
        <v>60585977</v>
      </c>
      <c r="E66" s="174">
        <f>SUM(E60:E65)</f>
        <v>54482472</v>
      </c>
      <c r="F66" s="179">
        <f t="shared" si="2"/>
        <v>89.925878392618813</v>
      </c>
    </row>
    <row r="67" spans="1:6" ht="15.75" thickBot="1" x14ac:dyDescent="0.3">
      <c r="A67" s="151" t="s">
        <v>281</v>
      </c>
      <c r="B67" s="152" t="s">
        <v>335</v>
      </c>
      <c r="C67" s="155"/>
      <c r="D67" s="155"/>
      <c r="E67" s="155"/>
      <c r="F67" s="165"/>
    </row>
    <row r="68" spans="1:6" x14ac:dyDescent="0.25">
      <c r="A68" s="180"/>
      <c r="B68" s="176" t="s">
        <v>336</v>
      </c>
      <c r="C68" s="181">
        <f>+'4b.kiadások'!AG69</f>
        <v>5661000</v>
      </c>
      <c r="D68" s="181">
        <f>+'4b.kiadások'!AH69</f>
        <v>0</v>
      </c>
      <c r="E68" s="181">
        <f>+'4b.kiadások'!AI69</f>
        <v>0</v>
      </c>
      <c r="F68" s="159"/>
    </row>
    <row r="69" spans="1:6" x14ac:dyDescent="0.25">
      <c r="A69" s="156"/>
      <c r="B69" s="157" t="s">
        <v>337</v>
      </c>
      <c r="C69" s="158">
        <f>+'4b.kiadások'!AG66</f>
        <v>635000</v>
      </c>
      <c r="D69" s="158">
        <f>+'4b.kiadások'!AH66</f>
        <v>3675000</v>
      </c>
      <c r="E69" s="158">
        <f>+'4b.kiadások'!AI66</f>
        <v>3472880</v>
      </c>
      <c r="F69" s="159">
        <f>E69/D69*100</f>
        <v>94.500136054421773</v>
      </c>
    </row>
    <row r="70" spans="1:6" x14ac:dyDescent="0.25">
      <c r="A70" s="156"/>
      <c r="B70" s="157" t="s">
        <v>338</v>
      </c>
      <c r="C70" s="158"/>
      <c r="D70" s="158"/>
      <c r="E70" s="158"/>
      <c r="F70" s="159"/>
    </row>
    <row r="71" spans="1:6" x14ac:dyDescent="0.25">
      <c r="A71" s="156"/>
      <c r="B71" s="157" t="s">
        <v>339</v>
      </c>
      <c r="C71" s="158"/>
      <c r="D71" s="158"/>
      <c r="E71" s="158"/>
      <c r="F71" s="159"/>
    </row>
    <row r="72" spans="1:6" ht="15.75" thickBot="1" x14ac:dyDescent="0.3">
      <c r="A72" s="232"/>
      <c r="B72" s="233" t="s">
        <v>340</v>
      </c>
      <c r="C72" s="186"/>
      <c r="D72" s="186"/>
      <c r="E72" s="186"/>
      <c r="F72" s="234"/>
    </row>
    <row r="73" spans="1:6" ht="15.75" thickBot="1" x14ac:dyDescent="0.3">
      <c r="A73" s="163"/>
      <c r="B73" s="152" t="s">
        <v>341</v>
      </c>
      <c r="C73" s="153">
        <f>SUM(C68:C72)</f>
        <v>6296000</v>
      </c>
      <c r="D73" s="153">
        <f>SUM(D68:D72)</f>
        <v>3675000</v>
      </c>
      <c r="E73" s="153">
        <f>SUM(E68:E72)</f>
        <v>3472880</v>
      </c>
      <c r="F73" s="235">
        <f>E73/D73*100</f>
        <v>94.500136054421773</v>
      </c>
    </row>
    <row r="74" spans="1:6" x14ac:dyDescent="0.25">
      <c r="A74" s="236" t="s">
        <v>286</v>
      </c>
      <c r="B74" s="237" t="s">
        <v>342</v>
      </c>
      <c r="C74" s="181"/>
      <c r="D74" s="238"/>
      <c r="E74" s="239"/>
      <c r="F74" s="159"/>
    </row>
    <row r="75" spans="1:6" x14ac:dyDescent="0.25">
      <c r="A75" s="180"/>
      <c r="B75" s="237" t="s">
        <v>343</v>
      </c>
      <c r="C75" s="181"/>
      <c r="D75" s="238"/>
      <c r="E75" s="240"/>
      <c r="F75" s="159"/>
    </row>
    <row r="76" spans="1:6" ht="15.75" thickBot="1" x14ac:dyDescent="0.3">
      <c r="A76" s="232"/>
      <c r="B76" s="241" t="s">
        <v>344</v>
      </c>
      <c r="C76" s="186"/>
      <c r="D76" s="242"/>
      <c r="E76" s="243"/>
      <c r="F76" s="234"/>
    </row>
    <row r="77" spans="1:6" ht="15.75" thickBot="1" x14ac:dyDescent="0.3">
      <c r="A77" s="177"/>
      <c r="B77" s="211" t="s">
        <v>345</v>
      </c>
      <c r="C77" s="174">
        <f>SUM(C75:C76)</f>
        <v>0</v>
      </c>
      <c r="D77" s="174">
        <f>SUM(D75:D76)</f>
        <v>0</v>
      </c>
      <c r="E77" s="174">
        <f>SUM(E75:E76)</f>
        <v>0</v>
      </c>
      <c r="F77" s="165"/>
    </row>
    <row r="78" spans="1:6" ht="15.75" thickBot="1" x14ac:dyDescent="0.3">
      <c r="A78" s="151" t="s">
        <v>292</v>
      </c>
      <c r="B78" s="152" t="s">
        <v>346</v>
      </c>
      <c r="C78" s="155"/>
      <c r="D78" s="220"/>
      <c r="E78" s="149"/>
      <c r="F78" s="165"/>
    </row>
    <row r="79" spans="1:6" x14ac:dyDescent="0.25">
      <c r="A79" s="180"/>
      <c r="B79" s="176" t="s">
        <v>347</v>
      </c>
      <c r="C79" s="181">
        <f>+'4b.kiadások'!C62</f>
        <v>0</v>
      </c>
      <c r="D79" s="181">
        <f>+'4b.kiadások'!D62</f>
        <v>3818156</v>
      </c>
      <c r="E79" s="239"/>
      <c r="F79" s="159"/>
    </row>
    <row r="80" spans="1:6" ht="15.75" thickBot="1" x14ac:dyDescent="0.3">
      <c r="A80" s="229"/>
      <c r="B80" s="157" t="s">
        <v>348</v>
      </c>
      <c r="C80" s="244"/>
      <c r="D80" s="245"/>
      <c r="E80" s="246"/>
      <c r="F80" s="159"/>
    </row>
    <row r="81" spans="1:6" ht="15.75" thickBot="1" x14ac:dyDescent="0.3">
      <c r="A81" s="177"/>
      <c r="B81" s="152" t="s">
        <v>349</v>
      </c>
      <c r="C81" s="174">
        <f>SUM(C79:C80)</f>
        <v>0</v>
      </c>
      <c r="D81" s="174">
        <f>SUM(D79:D80)</f>
        <v>3818156</v>
      </c>
      <c r="E81" s="174">
        <f>SUM(E79:E80)</f>
        <v>0</v>
      </c>
      <c r="F81" s="165"/>
    </row>
    <row r="82" spans="1:6" ht="15.75" thickBot="1" x14ac:dyDescent="0.3">
      <c r="A82" s="151" t="s">
        <v>298</v>
      </c>
      <c r="B82" s="152" t="s">
        <v>350</v>
      </c>
      <c r="C82" s="153"/>
      <c r="D82" s="247"/>
      <c r="E82" s="149"/>
      <c r="F82" s="165"/>
    </row>
    <row r="83" spans="1:6" x14ac:dyDescent="0.25">
      <c r="A83" s="168"/>
      <c r="B83" s="248" t="s">
        <v>351</v>
      </c>
      <c r="C83" s="203"/>
      <c r="D83" s="249">
        <f>+'4b.kiadások'!D71</f>
        <v>1129792</v>
      </c>
      <c r="E83" s="249">
        <f>+'4b.kiadások'!E71</f>
        <v>1129792</v>
      </c>
      <c r="F83" s="159">
        <f>E83/D83*100</f>
        <v>100</v>
      </c>
    </row>
    <row r="84" spans="1:6" ht="15.75" thickBot="1" x14ac:dyDescent="0.3">
      <c r="A84" s="160"/>
      <c r="B84" s="161" t="s">
        <v>352</v>
      </c>
      <c r="C84" s="162"/>
      <c r="D84" s="250"/>
      <c r="E84" s="243"/>
      <c r="F84" s="234"/>
    </row>
    <row r="85" spans="1:6" ht="15.75" thickBot="1" x14ac:dyDescent="0.3">
      <c r="A85" s="177"/>
      <c r="B85" s="152" t="s">
        <v>353</v>
      </c>
      <c r="C85" s="174">
        <f>C83</f>
        <v>0</v>
      </c>
      <c r="D85" s="174">
        <f>D83</f>
        <v>1129792</v>
      </c>
      <c r="E85" s="174">
        <f>E83</f>
        <v>1129792</v>
      </c>
      <c r="F85" s="235">
        <f>E85/D85*100</f>
        <v>100</v>
      </c>
    </row>
    <row r="86" spans="1:6" ht="15.75" thickBot="1" x14ac:dyDescent="0.3">
      <c r="A86" s="151"/>
      <c r="B86" s="152" t="s">
        <v>354</v>
      </c>
      <c r="C86" s="155">
        <f>C85+C81+C77+C73+C66</f>
        <v>63074836</v>
      </c>
      <c r="D86" s="155">
        <f>D85+D81+D77+D73+D66</f>
        <v>69208925</v>
      </c>
      <c r="E86" s="155">
        <f>E85+E81+E77+E73+E66</f>
        <v>59085144</v>
      </c>
      <c r="F86" s="154">
        <f>E86/D86*100</f>
        <v>85.372145283285363</v>
      </c>
    </row>
    <row r="87" spans="1:6" ht="16.5" thickBot="1" x14ac:dyDescent="0.3">
      <c r="A87" s="251" t="s">
        <v>303</v>
      </c>
      <c r="B87" s="252" t="s">
        <v>355</v>
      </c>
      <c r="C87" s="253"/>
      <c r="D87" s="148"/>
      <c r="E87" s="254"/>
      <c r="F87" s="200"/>
    </row>
    <row r="88" spans="1:6" ht="15.75" thickBot="1" x14ac:dyDescent="0.3">
      <c r="A88" s="255"/>
      <c r="B88" s="256" t="s">
        <v>356</v>
      </c>
      <c r="C88" s="257">
        <f>C86+C87</f>
        <v>63074836</v>
      </c>
      <c r="D88" s="257">
        <f>D86+D87</f>
        <v>69208925</v>
      </c>
      <c r="E88" s="257">
        <f>E86+E87</f>
        <v>59085144</v>
      </c>
      <c r="F88" s="154">
        <f>E88/D88*100</f>
        <v>85.372145283285363</v>
      </c>
    </row>
  </sheetData>
  <mergeCells count="12">
    <mergeCell ref="A52:F52"/>
    <mergeCell ref="A53:F53"/>
    <mergeCell ref="A54:F54"/>
    <mergeCell ref="A55:F55"/>
    <mergeCell ref="E56:F56"/>
    <mergeCell ref="A1:F1"/>
    <mergeCell ref="A51:F51"/>
    <mergeCell ref="A2:F2"/>
    <mergeCell ref="A3:F3"/>
    <mergeCell ref="A4:F4"/>
    <mergeCell ref="A5:F5"/>
    <mergeCell ref="E6:F6"/>
  </mergeCells>
  <pageMargins left="0.7" right="0.7" top="0.75" bottom="0.75" header="0.3" footer="0.3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35"/>
  <sheetViews>
    <sheetView topLeftCell="A25" zoomScaleNormal="100" workbookViewId="0">
      <selection activeCell="F8" sqref="F8"/>
    </sheetView>
  </sheetViews>
  <sheetFormatPr defaultColWidth="9.140625" defaultRowHeight="12.75" x14ac:dyDescent="0.2"/>
  <cols>
    <col min="1" max="1" width="26.28515625" style="18" customWidth="1"/>
    <col min="2" max="2" width="9.140625" style="18" customWidth="1"/>
    <col min="3" max="35" width="11.42578125" style="18" customWidth="1"/>
    <col min="36" max="16384" width="9.140625" style="18"/>
  </cols>
  <sheetData>
    <row r="1" spans="1:63" x14ac:dyDescent="0.2">
      <c r="A1" s="559" t="s">
        <v>629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</row>
    <row r="2" spans="1:63" x14ac:dyDescent="0.2">
      <c r="A2" s="559" t="s">
        <v>361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</row>
    <row r="3" spans="1:63" x14ac:dyDescent="0.2">
      <c r="A3" s="559" t="s">
        <v>193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59"/>
      <c r="AG3" s="559"/>
      <c r="AH3" s="559"/>
      <c r="AI3" s="559"/>
    </row>
    <row r="4" spans="1:63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63" s="20" customFormat="1" ht="36.75" customHeight="1" x14ac:dyDescent="0.2">
      <c r="A5" s="579" t="s">
        <v>145</v>
      </c>
      <c r="B5" s="39"/>
      <c r="C5" s="560" t="s">
        <v>125</v>
      </c>
      <c r="D5" s="561"/>
      <c r="E5" s="562"/>
      <c r="F5" s="560" t="s">
        <v>195</v>
      </c>
      <c r="G5" s="561"/>
      <c r="H5" s="562"/>
      <c r="I5" s="560" t="s">
        <v>124</v>
      </c>
      <c r="J5" s="561"/>
      <c r="K5" s="562"/>
      <c r="L5" s="560" t="s">
        <v>123</v>
      </c>
      <c r="M5" s="561"/>
      <c r="N5" s="562"/>
      <c r="O5" s="560" t="s">
        <v>120</v>
      </c>
      <c r="P5" s="561"/>
      <c r="Q5" s="562"/>
      <c r="R5" s="560" t="s">
        <v>122</v>
      </c>
      <c r="S5" s="561"/>
      <c r="T5" s="562"/>
      <c r="U5" s="560" t="s">
        <v>121</v>
      </c>
      <c r="V5" s="561"/>
      <c r="W5" s="562"/>
      <c r="X5" s="560" t="s">
        <v>119</v>
      </c>
      <c r="Y5" s="561"/>
      <c r="Z5" s="562"/>
      <c r="AA5" s="560" t="s">
        <v>118</v>
      </c>
      <c r="AB5" s="561"/>
      <c r="AC5" s="562"/>
      <c r="AD5" s="563" t="s">
        <v>146</v>
      </c>
      <c r="AE5" s="564"/>
      <c r="AF5" s="565"/>
      <c r="AG5" s="578" t="s">
        <v>71</v>
      </c>
      <c r="AH5" s="578"/>
      <c r="AI5" s="578"/>
    </row>
    <row r="6" spans="1:63" s="20" customFormat="1" ht="14.45" customHeight="1" x14ac:dyDescent="0.2">
      <c r="A6" s="580"/>
      <c r="B6" s="50" t="s">
        <v>117</v>
      </c>
      <c r="C6" s="566" t="s">
        <v>147</v>
      </c>
      <c r="D6" s="567"/>
      <c r="E6" s="568"/>
      <c r="F6" s="566" t="s">
        <v>147</v>
      </c>
      <c r="G6" s="567"/>
      <c r="H6" s="568"/>
      <c r="I6" s="566" t="s">
        <v>147</v>
      </c>
      <c r="J6" s="567"/>
      <c r="K6" s="568"/>
      <c r="L6" s="566" t="s">
        <v>147</v>
      </c>
      <c r="M6" s="567"/>
      <c r="N6" s="568"/>
      <c r="O6" s="566" t="s">
        <v>147</v>
      </c>
      <c r="P6" s="567"/>
      <c r="Q6" s="568"/>
      <c r="R6" s="566" t="s">
        <v>147</v>
      </c>
      <c r="S6" s="567"/>
      <c r="T6" s="568"/>
      <c r="U6" s="566" t="s">
        <v>147</v>
      </c>
      <c r="V6" s="567"/>
      <c r="W6" s="568"/>
      <c r="X6" s="566" t="s">
        <v>112</v>
      </c>
      <c r="Y6" s="567"/>
      <c r="Z6" s="568"/>
      <c r="AA6" s="566" t="s">
        <v>147</v>
      </c>
      <c r="AB6" s="567"/>
      <c r="AC6" s="568"/>
      <c r="AD6" s="572" t="s">
        <v>147</v>
      </c>
      <c r="AE6" s="573"/>
      <c r="AF6" s="574"/>
      <c r="AG6" s="578"/>
      <c r="AH6" s="578"/>
      <c r="AI6" s="578"/>
    </row>
    <row r="7" spans="1:63" s="20" customFormat="1" ht="14.45" customHeight="1" x14ac:dyDescent="0.2">
      <c r="A7" s="580"/>
      <c r="B7" s="50" t="s">
        <v>110</v>
      </c>
      <c r="C7" s="569">
        <v>8411261</v>
      </c>
      <c r="D7" s="570"/>
      <c r="E7" s="571"/>
      <c r="F7" s="569">
        <v>8414031</v>
      </c>
      <c r="G7" s="570"/>
      <c r="H7" s="571"/>
      <c r="I7" s="569">
        <v>8414021</v>
      </c>
      <c r="J7" s="570"/>
      <c r="K7" s="571"/>
      <c r="L7" s="569">
        <v>8690421</v>
      </c>
      <c r="M7" s="570"/>
      <c r="N7" s="571"/>
      <c r="O7" s="569">
        <v>8899281</v>
      </c>
      <c r="P7" s="570"/>
      <c r="Q7" s="571"/>
      <c r="R7" s="569">
        <v>88</v>
      </c>
      <c r="S7" s="570"/>
      <c r="T7" s="571"/>
      <c r="U7" s="569">
        <v>9603021</v>
      </c>
      <c r="V7" s="570"/>
      <c r="W7" s="571"/>
      <c r="X7" s="569">
        <v>8904421</v>
      </c>
      <c r="Y7" s="570"/>
      <c r="Z7" s="571"/>
      <c r="AA7" s="569">
        <v>9101231</v>
      </c>
      <c r="AB7" s="570"/>
      <c r="AC7" s="571"/>
      <c r="AD7" s="575">
        <v>9105011</v>
      </c>
      <c r="AE7" s="576"/>
      <c r="AF7" s="577"/>
      <c r="AG7" s="578"/>
      <c r="AH7" s="578"/>
      <c r="AI7" s="578"/>
    </row>
    <row r="8" spans="1:63" s="24" customFormat="1" ht="26.45" customHeight="1" x14ac:dyDescent="0.2">
      <c r="A8" s="581"/>
      <c r="B8" s="51" t="s">
        <v>144</v>
      </c>
      <c r="C8" s="61" t="s">
        <v>204</v>
      </c>
      <c r="D8" s="61" t="s">
        <v>205</v>
      </c>
      <c r="E8" s="61" t="s">
        <v>206</v>
      </c>
      <c r="F8" s="61" t="s">
        <v>204</v>
      </c>
      <c r="G8" s="61" t="s">
        <v>205</v>
      </c>
      <c r="H8" s="61" t="s">
        <v>206</v>
      </c>
      <c r="I8" s="61" t="s">
        <v>204</v>
      </c>
      <c r="J8" s="61" t="s">
        <v>205</v>
      </c>
      <c r="K8" s="61" t="s">
        <v>206</v>
      </c>
      <c r="L8" s="61" t="s">
        <v>204</v>
      </c>
      <c r="M8" s="61" t="s">
        <v>205</v>
      </c>
      <c r="N8" s="61" t="s">
        <v>206</v>
      </c>
      <c r="O8" s="61" t="s">
        <v>204</v>
      </c>
      <c r="P8" s="61" t="s">
        <v>205</v>
      </c>
      <c r="Q8" s="61" t="s">
        <v>206</v>
      </c>
      <c r="R8" s="61" t="s">
        <v>204</v>
      </c>
      <c r="S8" s="61" t="s">
        <v>205</v>
      </c>
      <c r="T8" s="61" t="s">
        <v>206</v>
      </c>
      <c r="U8" s="61" t="s">
        <v>204</v>
      </c>
      <c r="V8" s="61" t="s">
        <v>205</v>
      </c>
      <c r="W8" s="61" t="s">
        <v>206</v>
      </c>
      <c r="X8" s="61" t="s">
        <v>204</v>
      </c>
      <c r="Y8" s="61" t="s">
        <v>205</v>
      </c>
      <c r="Z8" s="61" t="s">
        <v>206</v>
      </c>
      <c r="AA8" s="61" t="s">
        <v>204</v>
      </c>
      <c r="AB8" s="61" t="s">
        <v>205</v>
      </c>
      <c r="AC8" s="61" t="s">
        <v>206</v>
      </c>
      <c r="AD8" s="61" t="s">
        <v>204</v>
      </c>
      <c r="AE8" s="61" t="s">
        <v>205</v>
      </c>
      <c r="AF8" s="61" t="s">
        <v>206</v>
      </c>
      <c r="AG8" s="61" t="s">
        <v>204</v>
      </c>
      <c r="AH8" s="61" t="s">
        <v>205</v>
      </c>
      <c r="AI8" s="61" t="s">
        <v>206</v>
      </c>
    </row>
    <row r="9" spans="1:63" ht="42.6" customHeight="1" x14ac:dyDescent="0.2">
      <c r="A9" s="52" t="s">
        <v>143</v>
      </c>
      <c r="B9" s="51">
        <v>111</v>
      </c>
      <c r="C9" s="62">
        <v>10582687</v>
      </c>
      <c r="D9" s="62">
        <f>13153807-G9-J9-V9</f>
        <v>10582687</v>
      </c>
      <c r="E9" s="62">
        <f>13153807-H9-K9-W9</f>
        <v>10582687</v>
      </c>
      <c r="F9" s="62">
        <v>1607120</v>
      </c>
      <c r="G9" s="62">
        <v>1607120</v>
      </c>
      <c r="H9" s="62">
        <v>1607120</v>
      </c>
      <c r="I9" s="62">
        <v>864000</v>
      </c>
      <c r="J9" s="62">
        <v>864000</v>
      </c>
      <c r="K9" s="62">
        <v>864000</v>
      </c>
      <c r="L9" s="62"/>
      <c r="M9" s="62"/>
      <c r="N9" s="62"/>
      <c r="O9" s="62"/>
      <c r="P9" s="62"/>
      <c r="Q9" s="62"/>
      <c r="R9" s="62"/>
      <c r="S9" s="62"/>
      <c r="T9" s="62"/>
      <c r="U9" s="62">
        <v>100000</v>
      </c>
      <c r="V9" s="62">
        <v>100000</v>
      </c>
      <c r="W9" s="62">
        <v>100000</v>
      </c>
      <c r="X9" s="62"/>
      <c r="Y9" s="62"/>
      <c r="Z9" s="62"/>
      <c r="AA9" s="62"/>
      <c r="AB9" s="62"/>
      <c r="AC9" s="62"/>
      <c r="AD9" s="62"/>
      <c r="AE9" s="62"/>
      <c r="AF9" s="62"/>
      <c r="AG9" s="62">
        <f>+C9+F9+I9+L9+O9+R9+U9+X9+AA9+AD9</f>
        <v>13153807</v>
      </c>
      <c r="AH9" s="62">
        <f>+D9+G9+J9+M9+P9+S9+V9+Y9+AB9+AE9</f>
        <v>13153807</v>
      </c>
      <c r="AI9" s="62">
        <f>+E9+H9+K9+N9+Q9+T9+W9+Z9+AC9+AF9</f>
        <v>13153807</v>
      </c>
    </row>
    <row r="10" spans="1:63" ht="37.9" customHeight="1" x14ac:dyDescent="0.2">
      <c r="A10" s="52" t="s">
        <v>142</v>
      </c>
      <c r="B10" s="51">
        <v>113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>
        <v>3100000</v>
      </c>
      <c r="P10" s="62">
        <f>3100000+14533556-13291000</f>
        <v>4342556</v>
      </c>
      <c r="Q10" s="62">
        <f>3100000+14533556-13291000</f>
        <v>4342556</v>
      </c>
      <c r="R10" s="62">
        <v>10191000</v>
      </c>
      <c r="S10" s="62">
        <v>10191000</v>
      </c>
      <c r="T10" s="62">
        <v>10191000</v>
      </c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>
        <f t="shared" ref="AG10:AI13" si="0">+C10+F10+I10+L10+O10+R10+U10+X10+AA10+AD10</f>
        <v>13291000</v>
      </c>
      <c r="AH10" s="62">
        <f t="shared" si="0"/>
        <v>14533556</v>
      </c>
      <c r="AI10" s="62">
        <f t="shared" si="0"/>
        <v>14533556</v>
      </c>
    </row>
    <row r="11" spans="1:63" ht="27" customHeight="1" x14ac:dyDescent="0.2">
      <c r="A11" s="52" t="s">
        <v>141</v>
      </c>
      <c r="B11" s="51">
        <v>114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3"/>
      <c r="Z11" s="66"/>
      <c r="AA11" s="62">
        <v>600000</v>
      </c>
      <c r="AB11" s="62">
        <v>600000</v>
      </c>
      <c r="AC11" s="62">
        <v>600000</v>
      </c>
      <c r="AD11" s="99">
        <v>1200000</v>
      </c>
      <c r="AE11" s="100">
        <v>1200000</v>
      </c>
      <c r="AF11" s="100">
        <v>1200000</v>
      </c>
      <c r="AG11" s="62">
        <f t="shared" si="0"/>
        <v>1800000</v>
      </c>
      <c r="AH11" s="62">
        <f t="shared" si="0"/>
        <v>1800000</v>
      </c>
      <c r="AI11" s="62">
        <f t="shared" si="0"/>
        <v>1800000</v>
      </c>
    </row>
    <row r="12" spans="1:63" ht="28.9" hidden="1" customHeight="1" x14ac:dyDescent="0.2">
      <c r="A12" s="53" t="s">
        <v>140</v>
      </c>
      <c r="B12" s="51">
        <v>115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>
        <f t="shared" si="0"/>
        <v>0</v>
      </c>
      <c r="AH12" s="62">
        <f t="shared" si="0"/>
        <v>0</v>
      </c>
      <c r="AI12" s="62">
        <f t="shared" si="0"/>
        <v>0</v>
      </c>
    </row>
    <row r="13" spans="1:63" s="25" customFormat="1" ht="28.9" customHeight="1" x14ac:dyDescent="0.2">
      <c r="A13" s="53" t="s">
        <v>139</v>
      </c>
      <c r="B13" s="51">
        <v>116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>
        <v>2263140</v>
      </c>
      <c r="T13" s="62">
        <v>2263140</v>
      </c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>
        <f t="shared" si="0"/>
        <v>0</v>
      </c>
      <c r="AH13" s="62">
        <f t="shared" si="0"/>
        <v>2263140</v>
      </c>
      <c r="AI13" s="62">
        <f t="shared" si="0"/>
        <v>2263140</v>
      </c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</row>
    <row r="14" spans="1:63" s="22" customFormat="1" ht="25.5" x14ac:dyDescent="0.2">
      <c r="A14" s="54" t="s">
        <v>138</v>
      </c>
      <c r="B14" s="55">
        <v>11</v>
      </c>
      <c r="C14" s="64">
        <f>+C9+C10+C11+C13</f>
        <v>10582687</v>
      </c>
      <c r="D14" s="64">
        <f t="shared" ref="D14:AI14" si="1">+D9+D10+D11+D13</f>
        <v>10582687</v>
      </c>
      <c r="E14" s="64">
        <f t="shared" si="1"/>
        <v>10582687</v>
      </c>
      <c r="F14" s="64">
        <f t="shared" si="1"/>
        <v>1607120</v>
      </c>
      <c r="G14" s="64">
        <f t="shared" si="1"/>
        <v>1607120</v>
      </c>
      <c r="H14" s="64">
        <f t="shared" si="1"/>
        <v>1607120</v>
      </c>
      <c r="I14" s="64">
        <f t="shared" si="1"/>
        <v>864000</v>
      </c>
      <c r="J14" s="64">
        <f t="shared" si="1"/>
        <v>864000</v>
      </c>
      <c r="K14" s="64">
        <f t="shared" si="1"/>
        <v>864000</v>
      </c>
      <c r="L14" s="64">
        <f t="shared" si="1"/>
        <v>0</v>
      </c>
      <c r="M14" s="64">
        <f t="shared" si="1"/>
        <v>0</v>
      </c>
      <c r="N14" s="64">
        <f t="shared" si="1"/>
        <v>0</v>
      </c>
      <c r="O14" s="64">
        <f t="shared" si="1"/>
        <v>3100000</v>
      </c>
      <c r="P14" s="64">
        <f t="shared" si="1"/>
        <v>4342556</v>
      </c>
      <c r="Q14" s="64">
        <f t="shared" si="1"/>
        <v>4342556</v>
      </c>
      <c r="R14" s="64">
        <f t="shared" si="1"/>
        <v>10191000</v>
      </c>
      <c r="S14" s="64">
        <f t="shared" si="1"/>
        <v>12454140</v>
      </c>
      <c r="T14" s="64">
        <f t="shared" si="1"/>
        <v>12454140</v>
      </c>
      <c r="U14" s="64">
        <f t="shared" si="1"/>
        <v>100000</v>
      </c>
      <c r="V14" s="64">
        <f t="shared" si="1"/>
        <v>100000</v>
      </c>
      <c r="W14" s="64">
        <f t="shared" si="1"/>
        <v>100000</v>
      </c>
      <c r="X14" s="64">
        <f t="shared" si="1"/>
        <v>0</v>
      </c>
      <c r="Y14" s="64">
        <f t="shared" si="1"/>
        <v>0</v>
      </c>
      <c r="Z14" s="64">
        <f t="shared" si="1"/>
        <v>0</v>
      </c>
      <c r="AA14" s="64">
        <f t="shared" si="1"/>
        <v>600000</v>
      </c>
      <c r="AB14" s="64">
        <f t="shared" si="1"/>
        <v>600000</v>
      </c>
      <c r="AC14" s="64">
        <f t="shared" si="1"/>
        <v>600000</v>
      </c>
      <c r="AD14" s="64">
        <f t="shared" si="1"/>
        <v>1200000</v>
      </c>
      <c r="AE14" s="64">
        <f t="shared" si="1"/>
        <v>1200000</v>
      </c>
      <c r="AF14" s="64">
        <f t="shared" si="1"/>
        <v>1200000</v>
      </c>
      <c r="AG14" s="64">
        <f t="shared" si="1"/>
        <v>28244807</v>
      </c>
      <c r="AH14" s="64">
        <f t="shared" si="1"/>
        <v>31750503</v>
      </c>
      <c r="AI14" s="64">
        <f t="shared" si="1"/>
        <v>31750503</v>
      </c>
    </row>
    <row r="15" spans="1:63" ht="38.25" x14ac:dyDescent="0.2">
      <c r="A15" s="52" t="s">
        <v>137</v>
      </c>
      <c r="B15" s="51">
        <v>16</v>
      </c>
      <c r="C15" s="62"/>
      <c r="D15" s="62">
        <f>4680500+62528-680500</f>
        <v>4062528</v>
      </c>
      <c r="E15" s="62">
        <f>4680500+62528-680500</f>
        <v>4062528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>
        <v>680500</v>
      </c>
      <c r="T15" s="62">
        <v>680500</v>
      </c>
      <c r="U15" s="62"/>
      <c r="V15" s="62"/>
      <c r="W15" s="62"/>
      <c r="X15" s="62">
        <v>20086962</v>
      </c>
      <c r="Y15" s="62">
        <f>22689116-680500-4000000-62528</f>
        <v>17946088</v>
      </c>
      <c r="Z15" s="62">
        <f>17939222-62528</f>
        <v>17876694</v>
      </c>
      <c r="AA15" s="62"/>
      <c r="AB15" s="62"/>
      <c r="AC15" s="62"/>
      <c r="AD15" s="62"/>
      <c r="AE15" s="62"/>
      <c r="AF15" s="62"/>
      <c r="AG15" s="62">
        <f t="shared" ref="AG15" si="2">+C15+F15+I15+L15+O15+R15+U15+X15+AA15+AD15</f>
        <v>20086962</v>
      </c>
      <c r="AH15" s="62">
        <f t="shared" ref="AH15" si="3">+D15+G15+J15+M15+P15+S15+V15+Y15+AB15+AE15</f>
        <v>22689116</v>
      </c>
      <c r="AI15" s="62">
        <f t="shared" ref="AI15" si="4">+E15+H15+K15+N15+Q15+T15+W15+Z15+AC15+AF15</f>
        <v>22619722</v>
      </c>
    </row>
    <row r="16" spans="1:63" s="22" customFormat="1" ht="25.5" x14ac:dyDescent="0.2">
      <c r="A16" s="54" t="s">
        <v>136</v>
      </c>
      <c r="B16" s="55">
        <v>1</v>
      </c>
      <c r="C16" s="64">
        <f>+C14+C15</f>
        <v>10582687</v>
      </c>
      <c r="D16" s="64">
        <f t="shared" ref="D16:AI16" si="5">+D14+D15</f>
        <v>14645215</v>
      </c>
      <c r="E16" s="64">
        <f t="shared" si="5"/>
        <v>14645215</v>
      </c>
      <c r="F16" s="64">
        <f t="shared" si="5"/>
        <v>1607120</v>
      </c>
      <c r="G16" s="64">
        <f t="shared" si="5"/>
        <v>1607120</v>
      </c>
      <c r="H16" s="64">
        <f t="shared" si="5"/>
        <v>1607120</v>
      </c>
      <c r="I16" s="64">
        <f t="shared" si="5"/>
        <v>864000</v>
      </c>
      <c r="J16" s="64">
        <f t="shared" si="5"/>
        <v>864000</v>
      </c>
      <c r="K16" s="64">
        <f t="shared" si="5"/>
        <v>864000</v>
      </c>
      <c r="L16" s="64">
        <f t="shared" si="5"/>
        <v>0</v>
      </c>
      <c r="M16" s="64">
        <f t="shared" si="5"/>
        <v>0</v>
      </c>
      <c r="N16" s="64">
        <f t="shared" si="5"/>
        <v>0</v>
      </c>
      <c r="O16" s="64">
        <f t="shared" si="5"/>
        <v>3100000</v>
      </c>
      <c r="P16" s="64">
        <f t="shared" si="5"/>
        <v>4342556</v>
      </c>
      <c r="Q16" s="64">
        <f t="shared" si="5"/>
        <v>4342556</v>
      </c>
      <c r="R16" s="64">
        <f t="shared" si="5"/>
        <v>10191000</v>
      </c>
      <c r="S16" s="64">
        <f t="shared" si="5"/>
        <v>13134640</v>
      </c>
      <c r="T16" s="64">
        <f t="shared" si="5"/>
        <v>13134640</v>
      </c>
      <c r="U16" s="64">
        <f t="shared" si="5"/>
        <v>100000</v>
      </c>
      <c r="V16" s="64">
        <f t="shared" si="5"/>
        <v>100000</v>
      </c>
      <c r="W16" s="64">
        <f t="shared" si="5"/>
        <v>100000</v>
      </c>
      <c r="X16" s="64">
        <f t="shared" si="5"/>
        <v>20086962</v>
      </c>
      <c r="Y16" s="64">
        <f t="shared" si="5"/>
        <v>17946088</v>
      </c>
      <c r="Z16" s="64">
        <f t="shared" si="5"/>
        <v>17876694</v>
      </c>
      <c r="AA16" s="64">
        <f t="shared" si="5"/>
        <v>600000</v>
      </c>
      <c r="AB16" s="64">
        <f t="shared" si="5"/>
        <v>600000</v>
      </c>
      <c r="AC16" s="64">
        <f t="shared" si="5"/>
        <v>600000</v>
      </c>
      <c r="AD16" s="64">
        <f t="shared" si="5"/>
        <v>1200000</v>
      </c>
      <c r="AE16" s="64">
        <f t="shared" si="5"/>
        <v>1200000</v>
      </c>
      <c r="AF16" s="64">
        <f t="shared" si="5"/>
        <v>1200000</v>
      </c>
      <c r="AG16" s="64">
        <f t="shared" si="5"/>
        <v>48331769</v>
      </c>
      <c r="AH16" s="64">
        <f t="shared" si="5"/>
        <v>54439619</v>
      </c>
      <c r="AI16" s="64">
        <f t="shared" si="5"/>
        <v>54370225</v>
      </c>
    </row>
    <row r="17" spans="1:35" ht="38.25" x14ac:dyDescent="0.2">
      <c r="A17" s="52" t="s">
        <v>208</v>
      </c>
      <c r="B17" s="51">
        <v>25</v>
      </c>
      <c r="C17" s="62"/>
      <c r="D17" s="62">
        <v>2171700</v>
      </c>
      <c r="E17" s="62">
        <v>2171700</v>
      </c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>
        <v>199898</v>
      </c>
      <c r="Z17" s="62">
        <v>199898</v>
      </c>
      <c r="AA17" s="62"/>
      <c r="AB17" s="62"/>
      <c r="AC17" s="62"/>
      <c r="AD17" s="62"/>
      <c r="AE17" s="62"/>
      <c r="AF17" s="62"/>
      <c r="AG17" s="62">
        <f t="shared" ref="AG17" si="6">+C17+F17+I17+L17+O17+R17+U17+X17+AA17+AD17</f>
        <v>0</v>
      </c>
      <c r="AH17" s="62">
        <f t="shared" ref="AH17" si="7">+D17+G17+J17+M17+P17+S17+V17+Y17+AB17+AE17</f>
        <v>2371598</v>
      </c>
      <c r="AI17" s="62">
        <f t="shared" ref="AI17" si="8">+E17+H17+K17+N17+Q17+T17+W17+Z17+AC17+AF17</f>
        <v>2371598</v>
      </c>
    </row>
    <row r="18" spans="1:35" s="22" customFormat="1" ht="25.5" x14ac:dyDescent="0.2">
      <c r="A18" s="54" t="s">
        <v>207</v>
      </c>
      <c r="B18" s="55">
        <v>2</v>
      </c>
      <c r="C18" s="64">
        <f>+C17</f>
        <v>0</v>
      </c>
      <c r="D18" s="64">
        <f t="shared" ref="D18:AI18" si="9">+D17</f>
        <v>2171700</v>
      </c>
      <c r="E18" s="64">
        <f t="shared" si="9"/>
        <v>2171700</v>
      </c>
      <c r="F18" s="64">
        <f t="shared" si="9"/>
        <v>0</v>
      </c>
      <c r="G18" s="64">
        <f t="shared" si="9"/>
        <v>0</v>
      </c>
      <c r="H18" s="64">
        <f t="shared" si="9"/>
        <v>0</v>
      </c>
      <c r="I18" s="64">
        <f t="shared" si="9"/>
        <v>0</v>
      </c>
      <c r="J18" s="64">
        <f t="shared" si="9"/>
        <v>0</v>
      </c>
      <c r="K18" s="64">
        <f t="shared" si="9"/>
        <v>0</v>
      </c>
      <c r="L18" s="64">
        <f t="shared" si="9"/>
        <v>0</v>
      </c>
      <c r="M18" s="64">
        <f t="shared" si="9"/>
        <v>0</v>
      </c>
      <c r="N18" s="64">
        <f t="shared" si="9"/>
        <v>0</v>
      </c>
      <c r="O18" s="64">
        <f t="shared" si="9"/>
        <v>0</v>
      </c>
      <c r="P18" s="64">
        <f t="shared" si="9"/>
        <v>0</v>
      </c>
      <c r="Q18" s="64">
        <f t="shared" si="9"/>
        <v>0</v>
      </c>
      <c r="R18" s="64">
        <f t="shared" si="9"/>
        <v>0</v>
      </c>
      <c r="S18" s="64">
        <f t="shared" si="9"/>
        <v>0</v>
      </c>
      <c r="T18" s="64">
        <f t="shared" si="9"/>
        <v>0</v>
      </c>
      <c r="U18" s="64">
        <f t="shared" si="9"/>
        <v>0</v>
      </c>
      <c r="V18" s="64">
        <f t="shared" si="9"/>
        <v>0</v>
      </c>
      <c r="W18" s="64">
        <f t="shared" si="9"/>
        <v>0</v>
      </c>
      <c r="X18" s="64">
        <f t="shared" si="9"/>
        <v>0</v>
      </c>
      <c r="Y18" s="64">
        <f t="shared" si="9"/>
        <v>199898</v>
      </c>
      <c r="Z18" s="64">
        <f t="shared" si="9"/>
        <v>199898</v>
      </c>
      <c r="AA18" s="64">
        <f t="shared" si="9"/>
        <v>0</v>
      </c>
      <c r="AB18" s="64">
        <f t="shared" si="9"/>
        <v>0</v>
      </c>
      <c r="AC18" s="64">
        <f t="shared" si="9"/>
        <v>0</v>
      </c>
      <c r="AD18" s="64">
        <f t="shared" si="9"/>
        <v>0</v>
      </c>
      <c r="AE18" s="64">
        <f t="shared" si="9"/>
        <v>0</v>
      </c>
      <c r="AF18" s="64">
        <f t="shared" si="9"/>
        <v>0</v>
      </c>
      <c r="AG18" s="64">
        <f t="shared" si="9"/>
        <v>0</v>
      </c>
      <c r="AH18" s="64">
        <f t="shared" si="9"/>
        <v>2371598</v>
      </c>
      <c r="AI18" s="64">
        <f t="shared" si="9"/>
        <v>2371598</v>
      </c>
    </row>
    <row r="19" spans="1:35" s="22" customFormat="1" x14ac:dyDescent="0.2">
      <c r="A19" s="54" t="s">
        <v>135</v>
      </c>
      <c r="B19" s="55">
        <v>34</v>
      </c>
      <c r="C19" s="64">
        <f>+C20+C21</f>
        <v>300000</v>
      </c>
      <c r="D19" s="64">
        <f t="shared" ref="D19:AI19" si="10">+D20+D21</f>
        <v>485000</v>
      </c>
      <c r="E19" s="64">
        <f t="shared" si="10"/>
        <v>487471</v>
      </c>
      <c r="F19" s="64">
        <f t="shared" si="10"/>
        <v>0</v>
      </c>
      <c r="G19" s="64">
        <f t="shared" si="10"/>
        <v>0</v>
      </c>
      <c r="H19" s="64">
        <f t="shared" si="10"/>
        <v>0</v>
      </c>
      <c r="I19" s="64">
        <f t="shared" si="10"/>
        <v>0</v>
      </c>
      <c r="J19" s="64">
        <f t="shared" si="10"/>
        <v>0</v>
      </c>
      <c r="K19" s="64">
        <f t="shared" si="10"/>
        <v>0</v>
      </c>
      <c r="L19" s="64">
        <f t="shared" si="10"/>
        <v>0</v>
      </c>
      <c r="M19" s="64">
        <f t="shared" si="10"/>
        <v>0</v>
      </c>
      <c r="N19" s="64">
        <f t="shared" si="10"/>
        <v>0</v>
      </c>
      <c r="O19" s="64">
        <f t="shared" si="10"/>
        <v>0</v>
      </c>
      <c r="P19" s="64">
        <f t="shared" si="10"/>
        <v>0</v>
      </c>
      <c r="Q19" s="64">
        <f t="shared" si="10"/>
        <v>0</v>
      </c>
      <c r="R19" s="64">
        <f t="shared" si="10"/>
        <v>0</v>
      </c>
      <c r="S19" s="64">
        <f t="shared" si="10"/>
        <v>0</v>
      </c>
      <c r="T19" s="64">
        <f t="shared" si="10"/>
        <v>0</v>
      </c>
      <c r="U19" s="64">
        <f t="shared" si="10"/>
        <v>0</v>
      </c>
      <c r="V19" s="64">
        <f t="shared" si="10"/>
        <v>0</v>
      </c>
      <c r="W19" s="64">
        <f t="shared" si="10"/>
        <v>0</v>
      </c>
      <c r="X19" s="64">
        <f t="shared" si="10"/>
        <v>0</v>
      </c>
      <c r="Y19" s="64">
        <f t="shared" si="10"/>
        <v>0</v>
      </c>
      <c r="Z19" s="64">
        <f t="shared" si="10"/>
        <v>0</v>
      </c>
      <c r="AA19" s="64">
        <f t="shared" si="10"/>
        <v>0</v>
      </c>
      <c r="AB19" s="64">
        <f t="shared" si="10"/>
        <v>0</v>
      </c>
      <c r="AC19" s="64">
        <f t="shared" si="10"/>
        <v>0</v>
      </c>
      <c r="AD19" s="64">
        <f t="shared" si="10"/>
        <v>0</v>
      </c>
      <c r="AE19" s="64">
        <f t="shared" si="10"/>
        <v>0</v>
      </c>
      <c r="AF19" s="64">
        <f t="shared" si="10"/>
        <v>0</v>
      </c>
      <c r="AG19" s="64">
        <f t="shared" si="10"/>
        <v>300000</v>
      </c>
      <c r="AH19" s="64">
        <f t="shared" si="10"/>
        <v>485000</v>
      </c>
      <c r="AI19" s="64">
        <f t="shared" si="10"/>
        <v>487471</v>
      </c>
    </row>
    <row r="20" spans="1:35" s="23" customFormat="1" x14ac:dyDescent="0.2">
      <c r="A20" s="56" t="s">
        <v>148</v>
      </c>
      <c r="B20" s="51"/>
      <c r="C20" s="62"/>
      <c r="D20" s="62"/>
      <c r="E20" s="62">
        <v>31971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>
        <f t="shared" ref="AG20:AG24" si="11">+C20+F20+I20+L20+O20+R20+U20+X20+AA20+AD20</f>
        <v>0</v>
      </c>
      <c r="AH20" s="62">
        <f t="shared" ref="AH20:AH24" si="12">+D20+G20+J20+M20+P20+S20+V20+Y20+AB20+AE20</f>
        <v>0</v>
      </c>
      <c r="AI20" s="62">
        <f t="shared" ref="AI20:AI24" si="13">+E20+H20+K20+N20+Q20+T20+W20+Z20+AC20+AF20</f>
        <v>31971</v>
      </c>
    </row>
    <row r="21" spans="1:35" s="23" customFormat="1" x14ac:dyDescent="0.2">
      <c r="A21" s="56" t="s">
        <v>149</v>
      </c>
      <c r="B21" s="51"/>
      <c r="C21" s="62">
        <v>300000</v>
      </c>
      <c r="D21" s="62">
        <v>485000</v>
      </c>
      <c r="E21" s="62">
        <v>455500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>
        <f t="shared" si="11"/>
        <v>300000</v>
      </c>
      <c r="AH21" s="62">
        <f t="shared" si="12"/>
        <v>485000</v>
      </c>
      <c r="AI21" s="62">
        <f t="shared" si="13"/>
        <v>455500</v>
      </c>
    </row>
    <row r="22" spans="1:35" x14ac:dyDescent="0.2">
      <c r="A22" s="56" t="s">
        <v>150</v>
      </c>
      <c r="B22" s="57"/>
      <c r="C22" s="62"/>
      <c r="D22" s="62">
        <v>2000</v>
      </c>
      <c r="E22" s="62">
        <v>1834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>
        <f t="shared" si="11"/>
        <v>0</v>
      </c>
      <c r="AH22" s="62">
        <f t="shared" si="12"/>
        <v>2000</v>
      </c>
      <c r="AI22" s="62">
        <f t="shared" si="13"/>
        <v>1834</v>
      </c>
    </row>
    <row r="23" spans="1:35" x14ac:dyDescent="0.2">
      <c r="A23" s="52" t="s">
        <v>134</v>
      </c>
      <c r="B23" s="51">
        <v>351</v>
      </c>
      <c r="C23" s="62">
        <v>2000000</v>
      </c>
      <c r="D23" s="62">
        <v>420000</v>
      </c>
      <c r="E23" s="62">
        <v>417661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>
        <f t="shared" si="11"/>
        <v>2000000</v>
      </c>
      <c r="AH23" s="62">
        <f t="shared" si="12"/>
        <v>420000</v>
      </c>
      <c r="AI23" s="62">
        <f t="shared" si="13"/>
        <v>417661</v>
      </c>
    </row>
    <row r="24" spans="1:35" s="22" customFormat="1" x14ac:dyDescent="0.2">
      <c r="A24" s="52" t="s">
        <v>133</v>
      </c>
      <c r="B24" s="51">
        <v>354</v>
      </c>
      <c r="C24" s="62">
        <v>280000</v>
      </c>
      <c r="D24" s="62">
        <v>302000</v>
      </c>
      <c r="E24" s="62">
        <v>301945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>
        <f t="shared" si="11"/>
        <v>280000</v>
      </c>
      <c r="AH24" s="62">
        <f t="shared" si="12"/>
        <v>302000</v>
      </c>
      <c r="AI24" s="62">
        <f t="shared" si="13"/>
        <v>301945</v>
      </c>
    </row>
    <row r="25" spans="1:35" s="22" customFormat="1" ht="25.5" x14ac:dyDescent="0.2">
      <c r="A25" s="54" t="s">
        <v>132</v>
      </c>
      <c r="B25" s="55">
        <v>35</v>
      </c>
      <c r="C25" s="64">
        <f>+C23+C24</f>
        <v>2280000</v>
      </c>
      <c r="D25" s="64">
        <f t="shared" ref="D25:AI25" si="14">+D23+D24</f>
        <v>722000</v>
      </c>
      <c r="E25" s="64">
        <f t="shared" si="14"/>
        <v>719606</v>
      </c>
      <c r="F25" s="64"/>
      <c r="G25" s="64">
        <f t="shared" si="14"/>
        <v>0</v>
      </c>
      <c r="H25" s="64">
        <f t="shared" si="14"/>
        <v>0</v>
      </c>
      <c r="I25" s="64">
        <f t="shared" si="14"/>
        <v>0</v>
      </c>
      <c r="J25" s="64">
        <f t="shared" si="14"/>
        <v>0</v>
      </c>
      <c r="K25" s="64">
        <f t="shared" si="14"/>
        <v>0</v>
      </c>
      <c r="L25" s="64">
        <f t="shared" si="14"/>
        <v>0</v>
      </c>
      <c r="M25" s="64">
        <f t="shared" si="14"/>
        <v>0</v>
      </c>
      <c r="N25" s="64">
        <f t="shared" si="14"/>
        <v>0</v>
      </c>
      <c r="O25" s="64">
        <f t="shared" si="14"/>
        <v>0</v>
      </c>
      <c r="P25" s="64">
        <f t="shared" si="14"/>
        <v>0</v>
      </c>
      <c r="Q25" s="64">
        <f t="shared" si="14"/>
        <v>0</v>
      </c>
      <c r="R25" s="64">
        <f t="shared" si="14"/>
        <v>0</v>
      </c>
      <c r="S25" s="64">
        <f t="shared" si="14"/>
        <v>0</v>
      </c>
      <c r="T25" s="64">
        <f t="shared" si="14"/>
        <v>0</v>
      </c>
      <c r="U25" s="64">
        <f t="shared" si="14"/>
        <v>0</v>
      </c>
      <c r="V25" s="64">
        <f t="shared" si="14"/>
        <v>0</v>
      </c>
      <c r="W25" s="64">
        <f t="shared" si="14"/>
        <v>0</v>
      </c>
      <c r="X25" s="64">
        <f t="shared" si="14"/>
        <v>0</v>
      </c>
      <c r="Y25" s="64">
        <f t="shared" si="14"/>
        <v>0</v>
      </c>
      <c r="Z25" s="64">
        <f t="shared" si="14"/>
        <v>0</v>
      </c>
      <c r="AA25" s="64">
        <f t="shared" si="14"/>
        <v>0</v>
      </c>
      <c r="AB25" s="64">
        <f t="shared" si="14"/>
        <v>0</v>
      </c>
      <c r="AC25" s="64">
        <f t="shared" si="14"/>
        <v>0</v>
      </c>
      <c r="AD25" s="64">
        <f t="shared" si="14"/>
        <v>0</v>
      </c>
      <c r="AE25" s="64">
        <f t="shared" si="14"/>
        <v>0</v>
      </c>
      <c r="AF25" s="64">
        <f t="shared" si="14"/>
        <v>0</v>
      </c>
      <c r="AG25" s="64">
        <f t="shared" si="14"/>
        <v>2280000</v>
      </c>
      <c r="AH25" s="64">
        <f t="shared" si="14"/>
        <v>722000</v>
      </c>
      <c r="AI25" s="64">
        <f t="shared" si="14"/>
        <v>719606</v>
      </c>
    </row>
    <row r="26" spans="1:35" x14ac:dyDescent="0.2">
      <c r="A26" s="54" t="s">
        <v>131</v>
      </c>
      <c r="B26" s="55">
        <v>3</v>
      </c>
      <c r="C26" s="64">
        <f>+C25+C19</f>
        <v>2580000</v>
      </c>
      <c r="D26" s="64">
        <f>+D25+D19+D22</f>
        <v>1209000</v>
      </c>
      <c r="E26" s="64">
        <f>+E25+E19+E22</f>
        <v>1208911</v>
      </c>
      <c r="F26" s="64">
        <f t="shared" ref="F26:AI26" si="15">+F25+F19+F22</f>
        <v>0</v>
      </c>
      <c r="G26" s="64">
        <f t="shared" si="15"/>
        <v>0</v>
      </c>
      <c r="H26" s="64">
        <f t="shared" si="15"/>
        <v>0</v>
      </c>
      <c r="I26" s="64">
        <f t="shared" si="15"/>
        <v>0</v>
      </c>
      <c r="J26" s="64">
        <f t="shared" si="15"/>
        <v>0</v>
      </c>
      <c r="K26" s="64">
        <f t="shared" si="15"/>
        <v>0</v>
      </c>
      <c r="L26" s="64">
        <f t="shared" si="15"/>
        <v>0</v>
      </c>
      <c r="M26" s="64">
        <f t="shared" si="15"/>
        <v>0</v>
      </c>
      <c r="N26" s="64">
        <f t="shared" si="15"/>
        <v>0</v>
      </c>
      <c r="O26" s="64">
        <f t="shared" si="15"/>
        <v>0</v>
      </c>
      <c r="P26" s="64">
        <f t="shared" si="15"/>
        <v>0</v>
      </c>
      <c r="Q26" s="64">
        <f t="shared" si="15"/>
        <v>0</v>
      </c>
      <c r="R26" s="64">
        <f t="shared" si="15"/>
        <v>0</v>
      </c>
      <c r="S26" s="64">
        <f t="shared" si="15"/>
        <v>0</v>
      </c>
      <c r="T26" s="64">
        <f t="shared" si="15"/>
        <v>0</v>
      </c>
      <c r="U26" s="64">
        <f t="shared" si="15"/>
        <v>0</v>
      </c>
      <c r="V26" s="64">
        <f t="shared" si="15"/>
        <v>0</v>
      </c>
      <c r="W26" s="64">
        <f t="shared" si="15"/>
        <v>0</v>
      </c>
      <c r="X26" s="64">
        <f t="shared" si="15"/>
        <v>0</v>
      </c>
      <c r="Y26" s="64">
        <f t="shared" si="15"/>
        <v>0</v>
      </c>
      <c r="Z26" s="64">
        <f t="shared" si="15"/>
        <v>0</v>
      </c>
      <c r="AA26" s="64">
        <f t="shared" si="15"/>
        <v>0</v>
      </c>
      <c r="AB26" s="64">
        <f t="shared" si="15"/>
        <v>0</v>
      </c>
      <c r="AC26" s="64">
        <f t="shared" si="15"/>
        <v>0</v>
      </c>
      <c r="AD26" s="64">
        <f t="shared" si="15"/>
        <v>0</v>
      </c>
      <c r="AE26" s="64">
        <f t="shared" si="15"/>
        <v>0</v>
      </c>
      <c r="AF26" s="64">
        <f t="shared" si="15"/>
        <v>0</v>
      </c>
      <c r="AG26" s="64">
        <f t="shared" si="15"/>
        <v>2580000</v>
      </c>
      <c r="AH26" s="64">
        <f t="shared" si="15"/>
        <v>1209000</v>
      </c>
      <c r="AI26" s="64">
        <f t="shared" si="15"/>
        <v>1208911</v>
      </c>
    </row>
    <row r="27" spans="1:35" s="22" customFormat="1" x14ac:dyDescent="0.2">
      <c r="A27" s="52" t="s">
        <v>130</v>
      </c>
      <c r="B27" s="51">
        <v>408</v>
      </c>
      <c r="C27" s="62"/>
      <c r="D27" s="62"/>
      <c r="E27" s="62">
        <v>11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>
        <f t="shared" ref="AG27:AG28" si="16">+C27+F27+I27+L27+O27+R27+U27+X27+AA27+AD27</f>
        <v>0</v>
      </c>
      <c r="AH27" s="62">
        <f t="shared" ref="AH27:AH28" si="17">+D27+G27+J27+M27+P27+S27+V27+Y27+AB27+AE27</f>
        <v>0</v>
      </c>
      <c r="AI27" s="62">
        <f t="shared" ref="AI27:AI28" si="18">+E27+H27+K27+N27+Q27+T27+W27+Z27+AC27+AF27</f>
        <v>11</v>
      </c>
    </row>
    <row r="28" spans="1:35" s="22" customFormat="1" x14ac:dyDescent="0.2">
      <c r="A28" s="52" t="s">
        <v>151</v>
      </c>
      <c r="B28" s="51">
        <v>411</v>
      </c>
      <c r="C28" s="62"/>
      <c r="D28" s="62">
        <v>163000</v>
      </c>
      <c r="E28" s="62">
        <f>162626-11</f>
        <v>162615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>
        <f t="shared" si="16"/>
        <v>0</v>
      </c>
      <c r="AH28" s="62">
        <f t="shared" si="17"/>
        <v>163000</v>
      </c>
      <c r="AI28" s="62">
        <f t="shared" si="18"/>
        <v>162615</v>
      </c>
    </row>
    <row r="29" spans="1:35" s="22" customFormat="1" x14ac:dyDescent="0.2">
      <c r="A29" s="54" t="s">
        <v>129</v>
      </c>
      <c r="B29" s="55">
        <v>4</v>
      </c>
      <c r="C29" s="64">
        <f>+C27+C28</f>
        <v>0</v>
      </c>
      <c r="D29" s="64">
        <f t="shared" ref="D29:AI29" si="19">+D27+D28</f>
        <v>163000</v>
      </c>
      <c r="E29" s="64">
        <f t="shared" si="19"/>
        <v>162626</v>
      </c>
      <c r="F29" s="64">
        <f t="shared" si="19"/>
        <v>0</v>
      </c>
      <c r="G29" s="64">
        <f t="shared" si="19"/>
        <v>0</v>
      </c>
      <c r="H29" s="64">
        <f t="shared" si="19"/>
        <v>0</v>
      </c>
      <c r="I29" s="64">
        <f t="shared" si="19"/>
        <v>0</v>
      </c>
      <c r="J29" s="64">
        <f t="shared" si="19"/>
        <v>0</v>
      </c>
      <c r="K29" s="64">
        <f t="shared" si="19"/>
        <v>0</v>
      </c>
      <c r="L29" s="64">
        <f t="shared" si="19"/>
        <v>0</v>
      </c>
      <c r="M29" s="64">
        <f t="shared" si="19"/>
        <v>0</v>
      </c>
      <c r="N29" s="64">
        <f t="shared" si="19"/>
        <v>0</v>
      </c>
      <c r="O29" s="64">
        <f t="shared" si="19"/>
        <v>0</v>
      </c>
      <c r="P29" s="64">
        <f t="shared" si="19"/>
        <v>0</v>
      </c>
      <c r="Q29" s="64">
        <f t="shared" si="19"/>
        <v>0</v>
      </c>
      <c r="R29" s="64">
        <f t="shared" si="19"/>
        <v>0</v>
      </c>
      <c r="S29" s="64">
        <f t="shared" si="19"/>
        <v>0</v>
      </c>
      <c r="T29" s="64">
        <f t="shared" si="19"/>
        <v>0</v>
      </c>
      <c r="U29" s="64">
        <f t="shared" si="19"/>
        <v>0</v>
      </c>
      <c r="V29" s="64">
        <f t="shared" si="19"/>
        <v>0</v>
      </c>
      <c r="W29" s="64">
        <f t="shared" si="19"/>
        <v>0</v>
      </c>
      <c r="X29" s="64">
        <f t="shared" si="19"/>
        <v>0</v>
      </c>
      <c r="Y29" s="64">
        <f t="shared" si="19"/>
        <v>0</v>
      </c>
      <c r="Z29" s="64">
        <f t="shared" si="19"/>
        <v>0</v>
      </c>
      <c r="AA29" s="64">
        <f t="shared" si="19"/>
        <v>0</v>
      </c>
      <c r="AB29" s="64">
        <f t="shared" si="19"/>
        <v>0</v>
      </c>
      <c r="AC29" s="64">
        <f t="shared" si="19"/>
        <v>0</v>
      </c>
      <c r="AD29" s="64">
        <f t="shared" si="19"/>
        <v>0</v>
      </c>
      <c r="AE29" s="64">
        <f t="shared" si="19"/>
        <v>0</v>
      </c>
      <c r="AF29" s="64">
        <f t="shared" si="19"/>
        <v>0</v>
      </c>
      <c r="AG29" s="64">
        <f t="shared" si="19"/>
        <v>0</v>
      </c>
      <c r="AH29" s="64">
        <f t="shared" si="19"/>
        <v>163000</v>
      </c>
      <c r="AI29" s="64">
        <f t="shared" si="19"/>
        <v>162626</v>
      </c>
    </row>
    <row r="30" spans="1:35" s="22" customFormat="1" ht="25.5" x14ac:dyDescent="0.2">
      <c r="A30" s="52" t="s">
        <v>209</v>
      </c>
      <c r="B30" s="51">
        <v>65</v>
      </c>
      <c r="C30" s="62"/>
      <c r="D30" s="62">
        <v>300000</v>
      </c>
      <c r="E30" s="62">
        <v>300000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>
        <f t="shared" ref="AG30" si="20">+C30+F30+I30+L30+O30+R30+U30+X30+AA30+AD30</f>
        <v>0</v>
      </c>
      <c r="AH30" s="62">
        <f t="shared" ref="AH30" si="21">+D30+G30+J30+M30+P30+S30+V30+Y30+AB30+AE30</f>
        <v>300000</v>
      </c>
      <c r="AI30" s="62">
        <f t="shared" ref="AI30" si="22">+E30+H30+K30+N30+Q30+T30+W30+Z30+AC30+AF30</f>
        <v>300000</v>
      </c>
    </row>
    <row r="31" spans="1:35" s="22" customFormat="1" x14ac:dyDescent="0.2">
      <c r="A31" s="54"/>
      <c r="B31" s="55">
        <v>6</v>
      </c>
      <c r="C31" s="64">
        <f>+C30</f>
        <v>0</v>
      </c>
      <c r="D31" s="64">
        <f>+D30</f>
        <v>300000</v>
      </c>
      <c r="E31" s="64">
        <f>+E30</f>
        <v>300000</v>
      </c>
      <c r="F31" s="64">
        <f t="shared" ref="F31:AI31" si="23">+F30</f>
        <v>0</v>
      </c>
      <c r="G31" s="64">
        <f t="shared" si="23"/>
        <v>0</v>
      </c>
      <c r="H31" s="64">
        <f t="shared" si="23"/>
        <v>0</v>
      </c>
      <c r="I31" s="64">
        <f t="shared" si="23"/>
        <v>0</v>
      </c>
      <c r="J31" s="64">
        <f t="shared" si="23"/>
        <v>0</v>
      </c>
      <c r="K31" s="64">
        <f t="shared" si="23"/>
        <v>0</v>
      </c>
      <c r="L31" s="64">
        <f t="shared" si="23"/>
        <v>0</v>
      </c>
      <c r="M31" s="64">
        <f t="shared" si="23"/>
        <v>0</v>
      </c>
      <c r="N31" s="64">
        <f t="shared" si="23"/>
        <v>0</v>
      </c>
      <c r="O31" s="64">
        <f t="shared" si="23"/>
        <v>0</v>
      </c>
      <c r="P31" s="64">
        <f t="shared" si="23"/>
        <v>0</v>
      </c>
      <c r="Q31" s="64">
        <f t="shared" si="23"/>
        <v>0</v>
      </c>
      <c r="R31" s="64">
        <f t="shared" si="23"/>
        <v>0</v>
      </c>
      <c r="S31" s="64">
        <f t="shared" si="23"/>
        <v>0</v>
      </c>
      <c r="T31" s="64">
        <f t="shared" si="23"/>
        <v>0</v>
      </c>
      <c r="U31" s="64">
        <f t="shared" si="23"/>
        <v>0</v>
      </c>
      <c r="V31" s="64">
        <f t="shared" si="23"/>
        <v>0</v>
      </c>
      <c r="W31" s="64">
        <f t="shared" si="23"/>
        <v>0</v>
      </c>
      <c r="X31" s="64">
        <f t="shared" si="23"/>
        <v>0</v>
      </c>
      <c r="Y31" s="64">
        <f t="shared" si="23"/>
        <v>0</v>
      </c>
      <c r="Z31" s="64">
        <f t="shared" si="23"/>
        <v>0</v>
      </c>
      <c r="AA31" s="64">
        <f t="shared" si="23"/>
        <v>0</v>
      </c>
      <c r="AB31" s="64">
        <f t="shared" si="23"/>
        <v>0</v>
      </c>
      <c r="AC31" s="64">
        <f t="shared" si="23"/>
        <v>0</v>
      </c>
      <c r="AD31" s="64">
        <f t="shared" si="23"/>
        <v>0</v>
      </c>
      <c r="AE31" s="64">
        <f t="shared" si="23"/>
        <v>0</v>
      </c>
      <c r="AF31" s="64">
        <f t="shared" si="23"/>
        <v>0</v>
      </c>
      <c r="AG31" s="64">
        <f t="shared" si="23"/>
        <v>0</v>
      </c>
      <c r="AH31" s="64">
        <f t="shared" si="23"/>
        <v>300000</v>
      </c>
      <c r="AI31" s="64">
        <f t="shared" si="23"/>
        <v>300000</v>
      </c>
    </row>
    <row r="32" spans="1:35" s="22" customFormat="1" ht="21.6" customHeight="1" x14ac:dyDescent="0.2">
      <c r="A32" s="54" t="s">
        <v>128</v>
      </c>
      <c r="B32" s="58" t="s">
        <v>127</v>
      </c>
      <c r="C32" s="64">
        <f>+C16+C26+C29+C31+C18</f>
        <v>13162687</v>
      </c>
      <c r="D32" s="64">
        <f t="shared" ref="D32:AI32" si="24">+D16+D26+D29+D31+D18</f>
        <v>18488915</v>
      </c>
      <c r="E32" s="64">
        <f t="shared" si="24"/>
        <v>18488452</v>
      </c>
      <c r="F32" s="64">
        <f t="shared" si="24"/>
        <v>1607120</v>
      </c>
      <c r="G32" s="64">
        <f t="shared" si="24"/>
        <v>1607120</v>
      </c>
      <c r="H32" s="64">
        <f t="shared" si="24"/>
        <v>1607120</v>
      </c>
      <c r="I32" s="64">
        <f t="shared" si="24"/>
        <v>864000</v>
      </c>
      <c r="J32" s="64">
        <f t="shared" si="24"/>
        <v>864000</v>
      </c>
      <c r="K32" s="64">
        <f t="shared" si="24"/>
        <v>864000</v>
      </c>
      <c r="L32" s="64">
        <f t="shared" si="24"/>
        <v>0</v>
      </c>
      <c r="M32" s="64">
        <f t="shared" si="24"/>
        <v>0</v>
      </c>
      <c r="N32" s="64">
        <f t="shared" si="24"/>
        <v>0</v>
      </c>
      <c r="O32" s="64">
        <f t="shared" si="24"/>
        <v>3100000</v>
      </c>
      <c r="P32" s="64">
        <f t="shared" si="24"/>
        <v>4342556</v>
      </c>
      <c r="Q32" s="64">
        <f t="shared" si="24"/>
        <v>4342556</v>
      </c>
      <c r="R32" s="64">
        <f t="shared" si="24"/>
        <v>10191000</v>
      </c>
      <c r="S32" s="64">
        <f t="shared" si="24"/>
        <v>13134640</v>
      </c>
      <c r="T32" s="64">
        <f t="shared" si="24"/>
        <v>13134640</v>
      </c>
      <c r="U32" s="64">
        <f t="shared" si="24"/>
        <v>100000</v>
      </c>
      <c r="V32" s="64">
        <f t="shared" si="24"/>
        <v>100000</v>
      </c>
      <c r="W32" s="64">
        <f t="shared" si="24"/>
        <v>100000</v>
      </c>
      <c r="X32" s="64">
        <f t="shared" si="24"/>
        <v>20086962</v>
      </c>
      <c r="Y32" s="64">
        <f t="shared" si="24"/>
        <v>18145986</v>
      </c>
      <c r="Z32" s="64">
        <f t="shared" si="24"/>
        <v>18076592</v>
      </c>
      <c r="AA32" s="64">
        <f t="shared" si="24"/>
        <v>600000</v>
      </c>
      <c r="AB32" s="64">
        <f t="shared" si="24"/>
        <v>600000</v>
      </c>
      <c r="AC32" s="64">
        <f t="shared" si="24"/>
        <v>600000</v>
      </c>
      <c r="AD32" s="64">
        <f t="shared" si="24"/>
        <v>1200000</v>
      </c>
      <c r="AE32" s="64">
        <f t="shared" si="24"/>
        <v>1200000</v>
      </c>
      <c r="AF32" s="64">
        <f t="shared" si="24"/>
        <v>1200000</v>
      </c>
      <c r="AG32" s="64">
        <f t="shared" si="24"/>
        <v>50911769</v>
      </c>
      <c r="AH32" s="64">
        <f t="shared" si="24"/>
        <v>58483217</v>
      </c>
      <c r="AI32" s="64">
        <f t="shared" si="24"/>
        <v>58413360</v>
      </c>
    </row>
    <row r="33" spans="1:35" ht="25.5" x14ac:dyDescent="0.2">
      <c r="A33" s="54" t="s">
        <v>126</v>
      </c>
      <c r="B33" s="55">
        <v>8131</v>
      </c>
      <c r="C33" s="64">
        <v>12163067</v>
      </c>
      <c r="D33" s="64">
        <v>10725708</v>
      </c>
      <c r="E33" s="64">
        <v>10725708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>
        <f>+C33+F33+I33+L33+O33+R33+U33+X33+AA33+AD33</f>
        <v>12163067</v>
      </c>
      <c r="AH33" s="64">
        <f t="shared" ref="AH33:AI34" si="25">+D33+G33+J33+M33+P33+S33+V33+Y33+AB33+AE33</f>
        <v>10725708</v>
      </c>
      <c r="AI33" s="64">
        <f t="shared" si="25"/>
        <v>10725708</v>
      </c>
    </row>
    <row r="34" spans="1:35" ht="25.5" x14ac:dyDescent="0.2">
      <c r="A34" s="54" t="s">
        <v>210</v>
      </c>
      <c r="B34" s="55">
        <v>814</v>
      </c>
      <c r="C34" s="64"/>
      <c r="D34" s="64"/>
      <c r="E34" s="64">
        <v>1184836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>
        <f t="shared" ref="AG34" si="26">+C34+F34+I34+L34+O34+R34+U34+X34+AA34+AD34</f>
        <v>0</v>
      </c>
      <c r="AH34" s="64">
        <f t="shared" si="25"/>
        <v>0</v>
      </c>
      <c r="AI34" s="64">
        <f t="shared" si="25"/>
        <v>1184836</v>
      </c>
    </row>
    <row r="35" spans="1:35" ht="25.5" x14ac:dyDescent="0.2">
      <c r="A35" s="59" t="s">
        <v>152</v>
      </c>
      <c r="B35" s="60" t="s">
        <v>83</v>
      </c>
      <c r="C35" s="65">
        <f t="shared" ref="C35:D35" si="27">+C32+C33+C34</f>
        <v>25325754</v>
      </c>
      <c r="D35" s="65">
        <f t="shared" si="27"/>
        <v>29214623</v>
      </c>
      <c r="E35" s="65">
        <f>+E32+E33+E34</f>
        <v>30398996</v>
      </c>
      <c r="F35" s="65">
        <f t="shared" ref="F35:AI35" si="28">+F32+F33+F34</f>
        <v>1607120</v>
      </c>
      <c r="G35" s="65">
        <f t="shared" si="28"/>
        <v>1607120</v>
      </c>
      <c r="H35" s="65">
        <f t="shared" si="28"/>
        <v>1607120</v>
      </c>
      <c r="I35" s="65">
        <f t="shared" si="28"/>
        <v>864000</v>
      </c>
      <c r="J35" s="65">
        <f t="shared" si="28"/>
        <v>864000</v>
      </c>
      <c r="K35" s="65">
        <f t="shared" si="28"/>
        <v>864000</v>
      </c>
      <c r="L35" s="65">
        <f t="shared" si="28"/>
        <v>0</v>
      </c>
      <c r="M35" s="65">
        <f t="shared" si="28"/>
        <v>0</v>
      </c>
      <c r="N35" s="65">
        <f t="shared" si="28"/>
        <v>0</v>
      </c>
      <c r="O35" s="65">
        <f t="shared" si="28"/>
        <v>3100000</v>
      </c>
      <c r="P35" s="65">
        <f t="shared" si="28"/>
        <v>4342556</v>
      </c>
      <c r="Q35" s="65">
        <f t="shared" si="28"/>
        <v>4342556</v>
      </c>
      <c r="R35" s="65">
        <f t="shared" si="28"/>
        <v>10191000</v>
      </c>
      <c r="S35" s="65">
        <f t="shared" si="28"/>
        <v>13134640</v>
      </c>
      <c r="T35" s="65">
        <f t="shared" si="28"/>
        <v>13134640</v>
      </c>
      <c r="U35" s="65">
        <f t="shared" si="28"/>
        <v>100000</v>
      </c>
      <c r="V35" s="65">
        <f t="shared" si="28"/>
        <v>100000</v>
      </c>
      <c r="W35" s="65">
        <f t="shared" si="28"/>
        <v>100000</v>
      </c>
      <c r="X35" s="65">
        <f t="shared" si="28"/>
        <v>20086962</v>
      </c>
      <c r="Y35" s="65">
        <f t="shared" si="28"/>
        <v>18145986</v>
      </c>
      <c r="Z35" s="65">
        <f t="shared" si="28"/>
        <v>18076592</v>
      </c>
      <c r="AA35" s="65">
        <f t="shared" si="28"/>
        <v>600000</v>
      </c>
      <c r="AB35" s="65">
        <f t="shared" si="28"/>
        <v>600000</v>
      </c>
      <c r="AC35" s="65">
        <f t="shared" si="28"/>
        <v>600000</v>
      </c>
      <c r="AD35" s="65">
        <f t="shared" si="28"/>
        <v>1200000</v>
      </c>
      <c r="AE35" s="65">
        <f t="shared" si="28"/>
        <v>1200000</v>
      </c>
      <c r="AF35" s="65">
        <f t="shared" si="28"/>
        <v>1200000</v>
      </c>
      <c r="AG35" s="65">
        <f t="shared" si="28"/>
        <v>63074836</v>
      </c>
      <c r="AH35" s="65">
        <f t="shared" si="28"/>
        <v>69208925</v>
      </c>
      <c r="AI35" s="65">
        <f t="shared" si="28"/>
        <v>70323904</v>
      </c>
    </row>
  </sheetData>
  <mergeCells count="35">
    <mergeCell ref="AD6:AF6"/>
    <mergeCell ref="AD7:AF7"/>
    <mergeCell ref="AG5:AI7"/>
    <mergeCell ref="A5:A8"/>
    <mergeCell ref="U6:W6"/>
    <mergeCell ref="U7:W7"/>
    <mergeCell ref="X6:Z6"/>
    <mergeCell ref="X7:Z7"/>
    <mergeCell ref="AA6:AC6"/>
    <mergeCell ref="AA7:AC7"/>
    <mergeCell ref="L6:N6"/>
    <mergeCell ref="L7:N7"/>
    <mergeCell ref="O6:Q6"/>
    <mergeCell ref="O7:Q7"/>
    <mergeCell ref="R6:T6"/>
    <mergeCell ref="R7:T7"/>
    <mergeCell ref="C6:E6"/>
    <mergeCell ref="C7:E7"/>
    <mergeCell ref="F6:H6"/>
    <mergeCell ref="F7:H7"/>
    <mergeCell ref="I6:K6"/>
    <mergeCell ref="I7:K7"/>
    <mergeCell ref="A3:AI3"/>
    <mergeCell ref="A1:AI1"/>
    <mergeCell ref="A2:AI2"/>
    <mergeCell ref="R5:T5"/>
    <mergeCell ref="U5:W5"/>
    <mergeCell ref="X5:Z5"/>
    <mergeCell ref="AA5:AC5"/>
    <mergeCell ref="AD5:AF5"/>
    <mergeCell ref="C5:E5"/>
    <mergeCell ref="F5:H5"/>
    <mergeCell ref="I5:K5"/>
    <mergeCell ref="L5:N5"/>
    <mergeCell ref="O5:Q5"/>
  </mergeCells>
  <pageMargins left="0.15748031496062992" right="0.78740157480314965" top="0.39370078740157483" bottom="0.98425196850393704" header="0.51181102362204722" footer="0.51181102362204722"/>
  <pageSetup paperSize="8" scale="48" orientation="landscape" blackAndWhite="1" r:id="rId1"/>
  <headerFooter alignWithMargins="0"/>
  <colBreaks count="1" manualBreakCount="1">
    <brk id="3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8"/>
  <sheetViews>
    <sheetView tabSelected="1" zoomScale="106" zoomScaleNormal="106" zoomScaleSheetLayoutView="100" workbookViewId="0">
      <selection activeCell="F6" sqref="F6:H6"/>
    </sheetView>
  </sheetViews>
  <sheetFormatPr defaultColWidth="11.5703125" defaultRowHeight="12.75" x14ac:dyDescent="0.2"/>
  <cols>
    <col min="1" max="1" width="26" style="19" customWidth="1"/>
    <col min="2" max="2" width="5.42578125" style="18" customWidth="1"/>
    <col min="3" max="3" width="12.140625" style="20" bestFit="1" customWidth="1"/>
    <col min="4" max="4" width="17.7109375" style="20" bestFit="1" customWidth="1"/>
    <col min="5" max="5" width="13" style="20" bestFit="1" customWidth="1"/>
    <col min="6" max="6" width="12.140625" style="19" bestFit="1" customWidth="1"/>
    <col min="7" max="7" width="10.7109375" style="19" customWidth="1"/>
    <col min="8" max="8" width="11.42578125" style="19" customWidth="1"/>
    <col min="9" max="9" width="9.7109375" style="19" customWidth="1"/>
    <col min="10" max="10" width="17.7109375" style="19" bestFit="1" customWidth="1"/>
    <col min="11" max="11" width="10" style="19" customWidth="1"/>
    <col min="12" max="12" width="12.140625" style="19" bestFit="1" customWidth="1"/>
    <col min="13" max="13" width="17.7109375" style="19" bestFit="1" customWidth="1"/>
    <col min="14" max="14" width="9.7109375" style="19" customWidth="1"/>
    <col min="15" max="15" width="12.140625" style="19" bestFit="1" customWidth="1"/>
    <col min="16" max="16" width="17.7109375" style="19" bestFit="1" customWidth="1"/>
    <col min="17" max="17" width="11.140625" style="19" bestFit="1" customWidth="1"/>
    <col min="18" max="18" width="11.85546875" style="19" bestFit="1" customWidth="1"/>
    <col min="19" max="19" width="11.140625" style="19" customWidth="1"/>
    <col min="20" max="20" width="11.28515625" style="19" bestFit="1" customWidth="1"/>
    <col min="21" max="21" width="9.5703125" style="19" customWidth="1"/>
    <col min="22" max="22" width="9.7109375" style="19" customWidth="1"/>
    <col min="23" max="23" width="9.28515625" style="19" customWidth="1"/>
    <col min="24" max="24" width="11.140625" style="19" customWidth="1"/>
    <col min="25" max="25" width="14.42578125" style="19" bestFit="1" customWidth="1"/>
    <col min="26" max="26" width="11.140625" style="19" customWidth="1"/>
    <col min="27" max="27" width="10" style="19" customWidth="1"/>
    <col min="28" max="28" width="10.140625" style="19" customWidth="1"/>
    <col min="29" max="29" width="10.28515625" style="19" customWidth="1"/>
    <col min="30" max="31" width="10.5703125" style="19" customWidth="1"/>
    <col min="32" max="32" width="11.42578125" style="19" customWidth="1"/>
    <col min="33" max="33" width="12.42578125" style="19" customWidth="1"/>
    <col min="34" max="34" width="14.42578125" style="18" bestFit="1" customWidth="1"/>
    <col min="35" max="35" width="12" style="18" customWidth="1"/>
    <col min="36" max="56" width="11.5703125" style="18" customWidth="1"/>
    <col min="57" max="16384" width="11.5703125" style="18"/>
  </cols>
  <sheetData>
    <row r="1" spans="1:63" x14ac:dyDescent="0.2">
      <c r="A1" s="559" t="s">
        <v>630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</row>
    <row r="2" spans="1:63" ht="13.15" customHeight="1" x14ac:dyDescent="0.2">
      <c r="A2" s="559" t="str">
        <f>+'4a. bevételek'!A2:AI2</f>
        <v xml:space="preserve">4/2020. (VI.18.)zárszámadási rendelet 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</row>
    <row r="3" spans="1:63" ht="11.45" customHeight="1" x14ac:dyDescent="0.2">
      <c r="A3" s="584" t="s">
        <v>194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</row>
    <row r="4" spans="1:63" ht="11.45" customHeight="1" x14ac:dyDescent="0.2">
      <c r="A4" s="27"/>
      <c r="B4" s="27"/>
      <c r="C4" s="27"/>
      <c r="D4" s="40"/>
      <c r="E4" s="40"/>
      <c r="F4" s="27"/>
      <c r="G4" s="40"/>
      <c r="H4" s="40"/>
      <c r="I4" s="27"/>
      <c r="J4" s="40"/>
      <c r="K4" s="40"/>
      <c r="L4" s="27"/>
      <c r="M4" s="40"/>
      <c r="N4" s="40"/>
      <c r="O4" s="27"/>
      <c r="P4" s="40"/>
      <c r="Q4" s="40"/>
      <c r="R4" s="27"/>
      <c r="S4" s="40"/>
      <c r="T4" s="40"/>
      <c r="U4" s="27"/>
      <c r="V4" s="40"/>
      <c r="W4" s="40"/>
      <c r="X4" s="27"/>
      <c r="Y4" s="40"/>
      <c r="Z4" s="40"/>
      <c r="AA4" s="27"/>
      <c r="AB4" s="40"/>
      <c r="AC4" s="40"/>
      <c r="AD4" s="27"/>
      <c r="AE4" s="40"/>
      <c r="AF4" s="40"/>
      <c r="AG4" s="27"/>
      <c r="AH4" s="27"/>
    </row>
    <row r="5" spans="1:63" ht="27" customHeight="1" x14ac:dyDescent="0.2">
      <c r="A5" s="582" t="s">
        <v>156</v>
      </c>
      <c r="B5" s="583" t="s">
        <v>157</v>
      </c>
      <c r="C5" s="560" t="s">
        <v>125</v>
      </c>
      <c r="D5" s="561"/>
      <c r="E5" s="562"/>
      <c r="F5" s="560" t="s">
        <v>153</v>
      </c>
      <c r="G5" s="561"/>
      <c r="H5" s="562"/>
      <c r="I5" s="560" t="s">
        <v>124</v>
      </c>
      <c r="J5" s="561"/>
      <c r="K5" s="562"/>
      <c r="L5" s="560" t="s">
        <v>123</v>
      </c>
      <c r="M5" s="561"/>
      <c r="N5" s="562"/>
      <c r="O5" s="560" t="s">
        <v>120</v>
      </c>
      <c r="P5" s="561"/>
      <c r="Q5" s="562"/>
      <c r="R5" s="560" t="s">
        <v>122</v>
      </c>
      <c r="S5" s="561"/>
      <c r="T5" s="562"/>
      <c r="U5" s="560" t="s">
        <v>121</v>
      </c>
      <c r="V5" s="561"/>
      <c r="W5" s="562"/>
      <c r="X5" s="560" t="s">
        <v>119</v>
      </c>
      <c r="Y5" s="561"/>
      <c r="Z5" s="562"/>
      <c r="AA5" s="560" t="s">
        <v>118</v>
      </c>
      <c r="AB5" s="561"/>
      <c r="AC5" s="562"/>
      <c r="AD5" s="563" t="s">
        <v>146</v>
      </c>
      <c r="AE5" s="564"/>
      <c r="AF5" s="565"/>
      <c r="AG5" s="578" t="s">
        <v>71</v>
      </c>
      <c r="AH5" s="578"/>
      <c r="AI5" s="578"/>
    </row>
    <row r="6" spans="1:63" s="21" customFormat="1" ht="14.45" customHeight="1" x14ac:dyDescent="0.2">
      <c r="A6" s="582"/>
      <c r="B6" s="583"/>
      <c r="C6" s="566" t="s">
        <v>154</v>
      </c>
      <c r="D6" s="567"/>
      <c r="E6" s="568"/>
      <c r="F6" s="566" t="s">
        <v>631</v>
      </c>
      <c r="G6" s="567"/>
      <c r="H6" s="568"/>
      <c r="I6" s="566" t="s">
        <v>116</v>
      </c>
      <c r="J6" s="567"/>
      <c r="K6" s="568"/>
      <c r="L6" s="566" t="s">
        <v>181</v>
      </c>
      <c r="M6" s="567"/>
      <c r="N6" s="568"/>
      <c r="O6" s="566" t="s">
        <v>113</v>
      </c>
      <c r="P6" s="567"/>
      <c r="Q6" s="568"/>
      <c r="R6" s="566"/>
      <c r="S6" s="567"/>
      <c r="T6" s="568"/>
      <c r="U6" s="566" t="s">
        <v>114</v>
      </c>
      <c r="V6" s="567"/>
      <c r="W6" s="568"/>
      <c r="X6" s="566" t="s">
        <v>112</v>
      </c>
      <c r="Y6" s="567"/>
      <c r="Z6" s="568"/>
      <c r="AA6" s="566" t="s">
        <v>111</v>
      </c>
      <c r="AB6" s="567"/>
      <c r="AC6" s="568"/>
      <c r="AD6" s="575" t="s">
        <v>155</v>
      </c>
      <c r="AE6" s="576"/>
      <c r="AF6" s="577"/>
      <c r="AG6" s="578"/>
      <c r="AH6" s="578"/>
      <c r="AI6" s="578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</row>
    <row r="7" spans="1:63" ht="14.45" customHeight="1" x14ac:dyDescent="0.2">
      <c r="A7" s="582"/>
      <c r="B7" s="583"/>
      <c r="C7" s="569">
        <v>84111121</v>
      </c>
      <c r="D7" s="570"/>
      <c r="E7" s="571"/>
      <c r="F7" s="569">
        <v>8414031</v>
      </c>
      <c r="G7" s="570"/>
      <c r="H7" s="571"/>
      <c r="I7" s="569">
        <v>8414021</v>
      </c>
      <c r="J7" s="570"/>
      <c r="K7" s="571"/>
      <c r="L7" s="569">
        <v>8690421</v>
      </c>
      <c r="M7" s="570"/>
      <c r="N7" s="571"/>
      <c r="O7" s="569">
        <v>8899281</v>
      </c>
      <c r="P7" s="570"/>
      <c r="Q7" s="571"/>
      <c r="R7" s="569">
        <v>88</v>
      </c>
      <c r="S7" s="570"/>
      <c r="T7" s="571"/>
      <c r="U7" s="569">
        <v>9603021</v>
      </c>
      <c r="V7" s="570"/>
      <c r="W7" s="571"/>
      <c r="X7" s="569">
        <v>8904421</v>
      </c>
      <c r="Y7" s="570"/>
      <c r="Z7" s="571"/>
      <c r="AA7" s="569">
        <v>9101231</v>
      </c>
      <c r="AB7" s="570"/>
      <c r="AC7" s="571"/>
      <c r="AD7" s="575">
        <v>9105011</v>
      </c>
      <c r="AE7" s="576"/>
      <c r="AF7" s="577"/>
      <c r="AG7" s="578"/>
      <c r="AH7" s="578"/>
      <c r="AI7" s="578"/>
    </row>
    <row r="8" spans="1:63" ht="22.9" customHeight="1" x14ac:dyDescent="0.2">
      <c r="A8" s="582"/>
      <c r="B8" s="583"/>
      <c r="C8" s="61" t="s">
        <v>204</v>
      </c>
      <c r="D8" s="61" t="s">
        <v>205</v>
      </c>
      <c r="E8" s="61" t="s">
        <v>206</v>
      </c>
      <c r="F8" s="61" t="s">
        <v>204</v>
      </c>
      <c r="G8" s="61" t="s">
        <v>205</v>
      </c>
      <c r="H8" s="61" t="s">
        <v>206</v>
      </c>
      <c r="I8" s="61" t="s">
        <v>204</v>
      </c>
      <c r="J8" s="61" t="s">
        <v>205</v>
      </c>
      <c r="K8" s="61" t="s">
        <v>206</v>
      </c>
      <c r="L8" s="61" t="s">
        <v>204</v>
      </c>
      <c r="M8" s="61" t="s">
        <v>205</v>
      </c>
      <c r="N8" s="61" t="s">
        <v>206</v>
      </c>
      <c r="O8" s="61" t="s">
        <v>204</v>
      </c>
      <c r="P8" s="61" t="s">
        <v>205</v>
      </c>
      <c r="Q8" s="61" t="s">
        <v>206</v>
      </c>
      <c r="R8" s="61" t="s">
        <v>204</v>
      </c>
      <c r="S8" s="61" t="s">
        <v>205</v>
      </c>
      <c r="T8" s="61" t="s">
        <v>206</v>
      </c>
      <c r="U8" s="61" t="s">
        <v>204</v>
      </c>
      <c r="V8" s="61" t="s">
        <v>205</v>
      </c>
      <c r="W8" s="61" t="s">
        <v>206</v>
      </c>
      <c r="X8" s="61" t="s">
        <v>204</v>
      </c>
      <c r="Y8" s="61" t="s">
        <v>205</v>
      </c>
      <c r="Z8" s="61" t="s">
        <v>206</v>
      </c>
      <c r="AA8" s="61" t="s">
        <v>204</v>
      </c>
      <c r="AB8" s="61" t="s">
        <v>205</v>
      </c>
      <c r="AC8" s="61" t="s">
        <v>206</v>
      </c>
      <c r="AD8" s="61" t="s">
        <v>204</v>
      </c>
      <c r="AE8" s="61" t="s">
        <v>205</v>
      </c>
      <c r="AF8" s="61" t="s">
        <v>206</v>
      </c>
      <c r="AG8" s="61" t="s">
        <v>204</v>
      </c>
      <c r="AH8" s="61" t="s">
        <v>205</v>
      </c>
      <c r="AI8" s="61" t="s">
        <v>206</v>
      </c>
    </row>
    <row r="9" spans="1:63" s="74" customFormat="1" ht="12" x14ac:dyDescent="0.2">
      <c r="A9" s="68" t="s">
        <v>109</v>
      </c>
      <c r="B9" s="69">
        <v>1101</v>
      </c>
      <c r="C9" s="70"/>
      <c r="D9" s="70"/>
      <c r="E9" s="70"/>
      <c r="F9" s="70"/>
      <c r="G9" s="70">
        <v>54000</v>
      </c>
      <c r="H9" s="70">
        <v>53215</v>
      </c>
      <c r="I9" s="70"/>
      <c r="J9" s="70"/>
      <c r="K9" s="70"/>
      <c r="L9" s="70"/>
      <c r="M9" s="70"/>
      <c r="N9" s="70"/>
      <c r="O9" s="70">
        <v>1968000</v>
      </c>
      <c r="P9" s="70">
        <v>2020000</v>
      </c>
      <c r="Q9" s="70">
        <v>2020000</v>
      </c>
      <c r="R9" s="70"/>
      <c r="S9" s="70"/>
      <c r="T9" s="70"/>
      <c r="U9" s="70"/>
      <c r="V9" s="70"/>
      <c r="W9" s="70"/>
      <c r="X9" s="70">
        <v>15954030</v>
      </c>
      <c r="Y9" s="70">
        <f>15954030-54000-52000-17922030+17602030</f>
        <v>15528030</v>
      </c>
      <c r="Z9" s="70">
        <v>14816135</v>
      </c>
      <c r="AA9" s="70"/>
      <c r="AB9" s="70"/>
      <c r="AC9" s="71"/>
      <c r="AD9" s="71"/>
      <c r="AE9" s="71"/>
      <c r="AF9" s="71"/>
      <c r="AG9" s="72">
        <f>+C9+F9+I9+L9+O9+R9+U9+X9+AA9+AD9</f>
        <v>17922030</v>
      </c>
      <c r="AH9" s="72">
        <f t="shared" ref="AH9:AH12" si="0">+D9+G9+J9+M9+P9+S9+V9+Y9+AB9+AE9</f>
        <v>17602030</v>
      </c>
      <c r="AI9" s="72">
        <f t="shared" ref="AI9:AI13" si="1">+E9+H9+K9+N9+Q9+T9+W9+Z9+AC9+AF9</f>
        <v>16889350</v>
      </c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</row>
    <row r="10" spans="1:63" s="74" customFormat="1" ht="12" x14ac:dyDescent="0.2">
      <c r="A10" s="68" t="s">
        <v>108</v>
      </c>
      <c r="B10" s="69">
        <v>1107</v>
      </c>
      <c r="C10" s="70">
        <v>96000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1"/>
      <c r="AG10" s="72">
        <f t="shared" ref="AG10:AG12" si="2">+C10+F10+I10+L10+O10+R10+U10+X10+AA10+AD10</f>
        <v>96000</v>
      </c>
      <c r="AH10" s="72">
        <f t="shared" si="0"/>
        <v>0</v>
      </c>
      <c r="AI10" s="72">
        <f t="shared" si="1"/>
        <v>0</v>
      </c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</row>
    <row r="11" spans="1:63" s="74" customFormat="1" ht="21" customHeight="1" x14ac:dyDescent="0.2">
      <c r="A11" s="68" t="s">
        <v>179</v>
      </c>
      <c r="B11" s="69">
        <v>1109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1"/>
      <c r="AG11" s="72">
        <f t="shared" si="2"/>
        <v>0</v>
      </c>
      <c r="AH11" s="72">
        <f t="shared" si="0"/>
        <v>0</v>
      </c>
      <c r="AI11" s="72">
        <f t="shared" si="1"/>
        <v>0</v>
      </c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</row>
    <row r="12" spans="1:63" s="75" customFormat="1" ht="12" x14ac:dyDescent="0.2">
      <c r="A12" s="68" t="s">
        <v>107</v>
      </c>
      <c r="B12" s="69">
        <v>1113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>
        <v>140000</v>
      </c>
      <c r="Z12" s="70">
        <v>86530</v>
      </c>
      <c r="AA12" s="70"/>
      <c r="AB12" s="70">
        <v>154000</v>
      </c>
      <c r="AC12" s="70">
        <v>154000</v>
      </c>
      <c r="AD12" s="70"/>
      <c r="AE12" s="70"/>
      <c r="AF12" s="71"/>
      <c r="AG12" s="72">
        <f t="shared" si="2"/>
        <v>0</v>
      </c>
      <c r="AH12" s="72">
        <f t="shared" si="0"/>
        <v>294000</v>
      </c>
      <c r="AI12" s="72">
        <f t="shared" si="1"/>
        <v>240530</v>
      </c>
    </row>
    <row r="13" spans="1:63" s="75" customFormat="1" ht="12" x14ac:dyDescent="0.2">
      <c r="A13" s="76" t="s">
        <v>158</v>
      </c>
      <c r="B13" s="77">
        <v>11</v>
      </c>
      <c r="C13" s="78">
        <f>+C9+C10+C11+C12</f>
        <v>96000</v>
      </c>
      <c r="D13" s="78">
        <f>+D9+D10+D11+D12</f>
        <v>0</v>
      </c>
      <c r="E13" s="78"/>
      <c r="F13" s="78">
        <v>0</v>
      </c>
      <c r="G13" s="78">
        <f>+G9</f>
        <v>54000</v>
      </c>
      <c r="H13" s="78">
        <f>+H9</f>
        <v>53215</v>
      </c>
      <c r="I13" s="78">
        <v>0</v>
      </c>
      <c r="J13" s="78">
        <v>0</v>
      </c>
      <c r="K13" s="78"/>
      <c r="L13" s="78">
        <v>0</v>
      </c>
      <c r="M13" s="78">
        <v>0</v>
      </c>
      <c r="N13" s="78"/>
      <c r="O13" s="78">
        <v>1968000</v>
      </c>
      <c r="P13" s="78">
        <f>+P9</f>
        <v>2020000</v>
      </c>
      <c r="Q13" s="78">
        <f>+Q9</f>
        <v>2020000</v>
      </c>
      <c r="R13" s="78">
        <v>0</v>
      </c>
      <c r="S13" s="78">
        <v>0</v>
      </c>
      <c r="T13" s="78"/>
      <c r="U13" s="78">
        <v>0</v>
      </c>
      <c r="V13" s="78">
        <v>0</v>
      </c>
      <c r="W13" s="78"/>
      <c r="X13" s="78">
        <v>15954030</v>
      </c>
      <c r="Y13" s="78">
        <f>+Y9+Y12</f>
        <v>15668030</v>
      </c>
      <c r="Z13" s="78">
        <f>+Z9+Z12</f>
        <v>14902665</v>
      </c>
      <c r="AA13" s="78">
        <v>0</v>
      </c>
      <c r="AB13" s="78">
        <f>+AB12</f>
        <v>154000</v>
      </c>
      <c r="AC13" s="78">
        <f>+AC12</f>
        <v>154000</v>
      </c>
      <c r="AD13" s="78">
        <v>0</v>
      </c>
      <c r="AE13" s="78">
        <v>0</v>
      </c>
      <c r="AF13" s="78"/>
      <c r="AG13" s="79">
        <f>+C13+F13+I13+L13+O13+R13+U13+X13+AA13+AD13</f>
        <v>18018030</v>
      </c>
      <c r="AH13" s="79">
        <f>+D13+G13+J13+M13+P13+S13+V13+Y13+AB13+AE13</f>
        <v>17896030</v>
      </c>
      <c r="AI13" s="79">
        <f t="shared" si="1"/>
        <v>17129880</v>
      </c>
    </row>
    <row r="14" spans="1:63" s="75" customFormat="1" ht="12" x14ac:dyDescent="0.2">
      <c r="A14" s="68" t="s">
        <v>159</v>
      </c>
      <c r="B14" s="69">
        <v>121</v>
      </c>
      <c r="C14" s="70">
        <v>5771960</v>
      </c>
      <c r="D14" s="70">
        <v>6711960</v>
      </c>
      <c r="E14" s="70">
        <v>6710978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2">
        <f t="shared" ref="AG14:AH18" si="3">+C14+F14+I14+L14+O14+R14+U14+X14+AA14+AD14</f>
        <v>5771960</v>
      </c>
      <c r="AH14" s="72">
        <f t="shared" ref="AH14:AH18" si="4">+D14+G14+J14+M14+P14+S14+V14+Y14+AB14+AE14</f>
        <v>6711960</v>
      </c>
      <c r="AI14" s="72">
        <f t="shared" ref="AI14:AI18" si="5">+E14+H14+K14+N14+Q14+T14+W14+Z14+AC14+AF14</f>
        <v>6710978</v>
      </c>
    </row>
    <row r="15" spans="1:63" s="75" customFormat="1" ht="24" x14ac:dyDescent="0.2">
      <c r="A15" s="68" t="s">
        <v>160</v>
      </c>
      <c r="B15" s="69">
        <v>122</v>
      </c>
      <c r="C15" s="70"/>
      <c r="D15" s="70">
        <v>88000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>
        <v>264000</v>
      </c>
      <c r="AB15" s="70">
        <v>110000</v>
      </c>
      <c r="AC15" s="70">
        <v>110000</v>
      </c>
      <c r="AD15" s="70"/>
      <c r="AE15" s="70"/>
      <c r="AF15" s="70"/>
      <c r="AG15" s="72">
        <f t="shared" si="3"/>
        <v>264000</v>
      </c>
      <c r="AH15" s="72">
        <f t="shared" si="4"/>
        <v>198000</v>
      </c>
      <c r="AI15" s="72">
        <f t="shared" si="5"/>
        <v>110000</v>
      </c>
    </row>
    <row r="16" spans="1:63" s="75" customFormat="1" ht="12" x14ac:dyDescent="0.2">
      <c r="A16" s="76" t="s">
        <v>161</v>
      </c>
      <c r="B16" s="77">
        <v>12</v>
      </c>
      <c r="C16" s="78">
        <f>+C14+C15</f>
        <v>5771960</v>
      </c>
      <c r="D16" s="78">
        <f>+D14+D15</f>
        <v>6799960</v>
      </c>
      <c r="E16" s="78">
        <f>+E14</f>
        <v>6710978</v>
      </c>
      <c r="F16" s="78">
        <v>0</v>
      </c>
      <c r="G16" s="78">
        <v>0</v>
      </c>
      <c r="H16" s="78"/>
      <c r="I16" s="78">
        <v>0</v>
      </c>
      <c r="J16" s="78">
        <v>0</v>
      </c>
      <c r="K16" s="78"/>
      <c r="L16" s="78">
        <v>0</v>
      </c>
      <c r="M16" s="78">
        <v>0</v>
      </c>
      <c r="N16" s="78"/>
      <c r="O16" s="78">
        <v>0</v>
      </c>
      <c r="P16" s="78">
        <v>0</v>
      </c>
      <c r="Q16" s="78"/>
      <c r="R16" s="78">
        <v>0</v>
      </c>
      <c r="S16" s="78">
        <v>0</v>
      </c>
      <c r="T16" s="78"/>
      <c r="U16" s="78">
        <v>0</v>
      </c>
      <c r="V16" s="78">
        <v>0</v>
      </c>
      <c r="W16" s="78"/>
      <c r="X16" s="78">
        <v>0</v>
      </c>
      <c r="Y16" s="78">
        <v>0</v>
      </c>
      <c r="Z16" s="78"/>
      <c r="AA16" s="78">
        <v>264000</v>
      </c>
      <c r="AB16" s="78">
        <f>+AB15</f>
        <v>110000</v>
      </c>
      <c r="AC16" s="78">
        <f>+AC15</f>
        <v>110000</v>
      </c>
      <c r="AD16" s="78">
        <v>0</v>
      </c>
      <c r="AE16" s="78">
        <v>0</v>
      </c>
      <c r="AF16" s="78"/>
      <c r="AG16" s="79">
        <f t="shared" si="3"/>
        <v>6035960</v>
      </c>
      <c r="AH16" s="79">
        <f t="shared" si="4"/>
        <v>6909960</v>
      </c>
      <c r="AI16" s="79">
        <f t="shared" si="5"/>
        <v>6820978</v>
      </c>
    </row>
    <row r="17" spans="1:36" s="75" customFormat="1" ht="12" x14ac:dyDescent="0.2">
      <c r="A17" s="76" t="s">
        <v>106</v>
      </c>
      <c r="B17" s="77">
        <v>1</v>
      </c>
      <c r="C17" s="78">
        <f>+C16+C13</f>
        <v>5867960</v>
      </c>
      <c r="D17" s="78">
        <f>+D16+D13</f>
        <v>6799960</v>
      </c>
      <c r="E17" s="78">
        <f>+E16</f>
        <v>6710978</v>
      </c>
      <c r="F17" s="78">
        <v>0</v>
      </c>
      <c r="G17" s="78">
        <f>+G13</f>
        <v>54000</v>
      </c>
      <c r="H17" s="78">
        <f>+H13</f>
        <v>53215</v>
      </c>
      <c r="I17" s="78">
        <v>0</v>
      </c>
      <c r="J17" s="78">
        <v>0</v>
      </c>
      <c r="K17" s="78"/>
      <c r="L17" s="78">
        <v>0</v>
      </c>
      <c r="M17" s="78">
        <v>0</v>
      </c>
      <c r="N17" s="78"/>
      <c r="O17" s="78">
        <v>1968000</v>
      </c>
      <c r="P17" s="78">
        <f>+P13</f>
        <v>2020000</v>
      </c>
      <c r="Q17" s="78">
        <f>+Q13</f>
        <v>2020000</v>
      </c>
      <c r="R17" s="78">
        <v>0</v>
      </c>
      <c r="S17" s="78">
        <v>0</v>
      </c>
      <c r="T17" s="78"/>
      <c r="U17" s="78">
        <v>0</v>
      </c>
      <c r="V17" s="78">
        <v>0</v>
      </c>
      <c r="W17" s="78"/>
      <c r="X17" s="78">
        <v>15954030</v>
      </c>
      <c r="Y17" s="78">
        <f>+Y13</f>
        <v>15668030</v>
      </c>
      <c r="Z17" s="78">
        <f>+Z13</f>
        <v>14902665</v>
      </c>
      <c r="AA17" s="78">
        <v>264000</v>
      </c>
      <c r="AB17" s="78">
        <f>+AB13+AB16</f>
        <v>264000</v>
      </c>
      <c r="AC17" s="78">
        <f>+AC13+AC16</f>
        <v>264000</v>
      </c>
      <c r="AD17" s="78">
        <v>0</v>
      </c>
      <c r="AE17" s="78">
        <v>0</v>
      </c>
      <c r="AF17" s="78"/>
      <c r="AG17" s="79">
        <f t="shared" si="3"/>
        <v>24053990</v>
      </c>
      <c r="AH17" s="79">
        <f t="shared" si="3"/>
        <v>24805990</v>
      </c>
      <c r="AI17" s="79">
        <f t="shared" si="5"/>
        <v>23950858</v>
      </c>
    </row>
    <row r="18" spans="1:36" s="75" customFormat="1" ht="24" x14ac:dyDescent="0.2">
      <c r="A18" s="76" t="s">
        <v>162</v>
      </c>
      <c r="B18" s="77">
        <v>2</v>
      </c>
      <c r="C18" s="78">
        <v>1080000</v>
      </c>
      <c r="D18" s="78">
        <v>1255500</v>
      </c>
      <c r="E18" s="78">
        <v>1255409</v>
      </c>
      <c r="F18" s="78"/>
      <c r="G18" s="78">
        <v>9350</v>
      </c>
      <c r="H18" s="78">
        <v>9313</v>
      </c>
      <c r="I18" s="78"/>
      <c r="J18" s="78"/>
      <c r="K18" s="78"/>
      <c r="L18" s="78"/>
      <c r="M18" s="78"/>
      <c r="N18" s="78"/>
      <c r="O18" s="78">
        <v>383760</v>
      </c>
      <c r="P18" s="78">
        <v>375560</v>
      </c>
      <c r="Q18" s="78">
        <v>375056</v>
      </c>
      <c r="R18" s="78"/>
      <c r="S18" s="78"/>
      <c r="T18" s="78"/>
      <c r="U18" s="78"/>
      <c r="V18" s="78"/>
      <c r="W18" s="78"/>
      <c r="X18" s="78">
        <v>1555518</v>
      </c>
      <c r="Y18" s="78">
        <v>1426800</v>
      </c>
      <c r="Z18" s="78">
        <v>1426750</v>
      </c>
      <c r="AA18" s="78">
        <v>46332</v>
      </c>
      <c r="AB18" s="78">
        <v>44400</v>
      </c>
      <c r="AC18" s="78">
        <v>44352</v>
      </c>
      <c r="AD18" s="78"/>
      <c r="AE18" s="78"/>
      <c r="AF18" s="78"/>
      <c r="AG18" s="79">
        <f t="shared" si="3"/>
        <v>3065610</v>
      </c>
      <c r="AH18" s="79">
        <f t="shared" si="4"/>
        <v>3111610</v>
      </c>
      <c r="AI18" s="79">
        <f t="shared" si="5"/>
        <v>3110880</v>
      </c>
    </row>
    <row r="19" spans="1:36" s="75" customFormat="1" ht="12" x14ac:dyDescent="0.2">
      <c r="A19" s="68" t="s">
        <v>105</v>
      </c>
      <c r="B19" s="69">
        <v>311</v>
      </c>
      <c r="C19" s="70"/>
      <c r="D19" s="70">
        <v>9000</v>
      </c>
      <c r="E19" s="70">
        <v>7427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2">
        <f t="shared" ref="AG19:AG24" si="6">+C19+F19+I19+L19+O19+R19+U19+X19+AA19+AD19</f>
        <v>0</v>
      </c>
      <c r="AH19" s="72">
        <f t="shared" ref="AH19:AH25" si="7">+D19+G19+J19+M19+P19+S19+V19+Y19+AB19+AE19</f>
        <v>9000</v>
      </c>
      <c r="AI19" s="72">
        <f t="shared" ref="AI19:AI25" si="8">+E19+H19+K19+N19+Q19+T19+W19+Z19+AC19+AF19</f>
        <v>7427</v>
      </c>
    </row>
    <row r="20" spans="1:36" s="75" customFormat="1" ht="24" x14ac:dyDescent="0.2">
      <c r="A20" s="68" t="s">
        <v>212</v>
      </c>
      <c r="B20" s="69">
        <v>312</v>
      </c>
      <c r="C20" s="70">
        <f>+C23+C24</f>
        <v>380000</v>
      </c>
      <c r="D20" s="70">
        <v>229765</v>
      </c>
      <c r="E20" s="70">
        <v>228499</v>
      </c>
      <c r="F20" s="70">
        <v>890000</v>
      </c>
      <c r="G20" s="70">
        <v>247000</v>
      </c>
      <c r="H20" s="70">
        <v>246657</v>
      </c>
      <c r="I20" s="70">
        <v>0</v>
      </c>
      <c r="J20" s="70">
        <v>0</v>
      </c>
      <c r="K20" s="70"/>
      <c r="L20" s="70">
        <v>25000</v>
      </c>
      <c r="M20" s="70">
        <f>+M24</f>
        <v>9000</v>
      </c>
      <c r="N20" s="70">
        <f>+N24</f>
        <v>8921</v>
      </c>
      <c r="O20" s="70">
        <v>402000</v>
      </c>
      <c r="P20" s="70">
        <v>632000</v>
      </c>
      <c r="Q20" s="70">
        <v>631417</v>
      </c>
      <c r="R20" s="70">
        <v>0</v>
      </c>
      <c r="S20" s="70">
        <f>+S24</f>
        <v>2325000</v>
      </c>
      <c r="T20" s="70">
        <v>2320583</v>
      </c>
      <c r="U20" s="70">
        <v>60000</v>
      </c>
      <c r="V20" s="70"/>
      <c r="W20" s="70"/>
      <c r="X20" s="70"/>
      <c r="Y20" s="70">
        <v>1530000</v>
      </c>
      <c r="Z20" s="70">
        <v>1521794</v>
      </c>
      <c r="AA20" s="70">
        <v>15000</v>
      </c>
      <c r="AB20" s="70">
        <v>15000</v>
      </c>
      <c r="AC20" s="70">
        <f>+AC23+AC24</f>
        <v>11448</v>
      </c>
      <c r="AD20" s="70">
        <v>150000</v>
      </c>
      <c r="AE20" s="70">
        <f>+AE24</f>
        <v>1500000</v>
      </c>
      <c r="AF20" s="70">
        <f>+AF24</f>
        <v>1491488</v>
      </c>
      <c r="AG20" s="72">
        <f t="shared" si="6"/>
        <v>1922000</v>
      </c>
      <c r="AH20" s="72">
        <f t="shared" si="7"/>
        <v>6487765</v>
      </c>
      <c r="AI20" s="72">
        <f t="shared" si="8"/>
        <v>6460807</v>
      </c>
    </row>
    <row r="21" spans="1:36" s="75" customFormat="1" ht="12" x14ac:dyDescent="0.2">
      <c r="A21" s="80" t="s">
        <v>104</v>
      </c>
      <c r="B21" s="81"/>
      <c r="C21" s="82"/>
      <c r="D21" s="82"/>
      <c r="E21" s="82"/>
      <c r="F21" s="82">
        <v>330000</v>
      </c>
      <c r="G21" s="82">
        <v>37000</v>
      </c>
      <c r="H21" s="82">
        <v>36432</v>
      </c>
      <c r="I21" s="82"/>
      <c r="J21" s="82"/>
      <c r="K21" s="82"/>
      <c r="L21" s="82"/>
      <c r="M21" s="82"/>
      <c r="N21" s="82"/>
      <c r="O21" s="82">
        <v>340000</v>
      </c>
      <c r="P21" s="82">
        <v>361000</v>
      </c>
      <c r="Q21" s="82">
        <f>+Q20-Q22-Q24</f>
        <v>360570</v>
      </c>
      <c r="R21" s="82"/>
      <c r="S21" s="82"/>
      <c r="T21" s="82"/>
      <c r="U21" s="82">
        <v>30000</v>
      </c>
      <c r="V21" s="82"/>
      <c r="W21" s="82"/>
      <c r="X21" s="82"/>
      <c r="Y21" s="82">
        <v>305000</v>
      </c>
      <c r="Z21" s="82">
        <f>304035+21285</f>
        <v>325320</v>
      </c>
      <c r="AA21" s="82"/>
      <c r="AB21" s="82"/>
      <c r="AC21" s="82"/>
      <c r="AD21" s="82"/>
      <c r="AE21" s="82"/>
      <c r="AF21" s="82"/>
      <c r="AG21" s="72">
        <f t="shared" si="6"/>
        <v>700000</v>
      </c>
      <c r="AH21" s="72">
        <f t="shared" si="7"/>
        <v>703000</v>
      </c>
      <c r="AI21" s="72">
        <f t="shared" si="8"/>
        <v>722322</v>
      </c>
    </row>
    <row r="22" spans="1:36" s="75" customFormat="1" ht="12" x14ac:dyDescent="0.2">
      <c r="A22" s="80" t="s">
        <v>103</v>
      </c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>
        <v>30000</v>
      </c>
      <c r="P22" s="82">
        <v>30000</v>
      </c>
      <c r="Q22" s="82">
        <v>30000</v>
      </c>
      <c r="R22" s="82"/>
      <c r="S22" s="82"/>
      <c r="T22" s="82"/>
      <c r="U22" s="82"/>
      <c r="V22" s="82"/>
      <c r="W22" s="82"/>
      <c r="X22" s="82"/>
      <c r="Y22" s="82">
        <v>310000</v>
      </c>
      <c r="Z22" s="82">
        <f>307400+10378</f>
        <v>317778</v>
      </c>
      <c r="AA22" s="82"/>
      <c r="AB22" s="82"/>
      <c r="AC22" s="82"/>
      <c r="AD22" s="82"/>
      <c r="AE22" s="82"/>
      <c r="AF22" s="82"/>
      <c r="AG22" s="72">
        <f t="shared" si="6"/>
        <v>30000</v>
      </c>
      <c r="AH22" s="72">
        <f t="shared" si="7"/>
        <v>340000</v>
      </c>
      <c r="AI22" s="72">
        <f t="shared" si="8"/>
        <v>347778</v>
      </c>
    </row>
    <row r="23" spans="1:36" s="75" customFormat="1" ht="12" x14ac:dyDescent="0.2">
      <c r="A23" s="83" t="s">
        <v>102</v>
      </c>
      <c r="B23" s="81"/>
      <c r="C23" s="82">
        <v>180000</v>
      </c>
      <c r="D23" s="82">
        <v>88000</v>
      </c>
      <c r="E23" s="82">
        <f>87515+2154</f>
        <v>89669</v>
      </c>
      <c r="F23" s="82"/>
      <c r="G23" s="82"/>
      <c r="H23" s="82"/>
      <c r="I23" s="82"/>
      <c r="J23" s="82"/>
      <c r="K23" s="82"/>
      <c r="L23" s="82"/>
      <c r="M23" s="82"/>
      <c r="N23" s="82"/>
      <c r="O23" s="82">
        <v>2000</v>
      </c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>
        <v>15000</v>
      </c>
      <c r="AB23" s="82">
        <v>15000</v>
      </c>
      <c r="AC23" s="82">
        <v>8661</v>
      </c>
      <c r="AD23" s="82"/>
      <c r="AE23" s="82"/>
      <c r="AF23" s="82"/>
      <c r="AG23" s="72">
        <f t="shared" si="6"/>
        <v>197000</v>
      </c>
      <c r="AH23" s="72">
        <f t="shared" si="7"/>
        <v>103000</v>
      </c>
      <c r="AI23" s="72">
        <f t="shared" si="8"/>
        <v>98330</v>
      </c>
    </row>
    <row r="24" spans="1:36" s="75" customFormat="1" ht="12" x14ac:dyDescent="0.2">
      <c r="A24" s="84" t="s">
        <v>182</v>
      </c>
      <c r="B24" s="81"/>
      <c r="C24" s="82">
        <v>200000</v>
      </c>
      <c r="D24" s="82">
        <f>229765-88000</f>
        <v>141765</v>
      </c>
      <c r="E24" s="82">
        <f>+E20-E23</f>
        <v>138830</v>
      </c>
      <c r="F24" s="82">
        <v>560000</v>
      </c>
      <c r="G24" s="82">
        <v>210000</v>
      </c>
      <c r="H24" s="82">
        <f>+H20-H21</f>
        <v>210225</v>
      </c>
      <c r="I24" s="82"/>
      <c r="J24" s="82"/>
      <c r="K24" s="82"/>
      <c r="L24" s="82">
        <v>25000</v>
      </c>
      <c r="M24" s="82">
        <v>9000</v>
      </c>
      <c r="N24" s="82">
        <v>8921</v>
      </c>
      <c r="O24" s="82">
        <v>30000</v>
      </c>
      <c r="P24" s="82">
        <f>+P20-P21-P22</f>
        <v>241000</v>
      </c>
      <c r="Q24" s="82">
        <v>240847</v>
      </c>
      <c r="R24" s="82"/>
      <c r="S24" s="82">
        <v>2325000</v>
      </c>
      <c r="T24" s="82">
        <v>2320583</v>
      </c>
      <c r="U24" s="82">
        <v>30000</v>
      </c>
      <c r="V24" s="82"/>
      <c r="W24" s="82"/>
      <c r="X24" s="82"/>
      <c r="Y24" s="82">
        <f>+Y20-Y21-Y22</f>
        <v>915000</v>
      </c>
      <c r="Z24" s="82">
        <f>+Z20-Z21-Z22</f>
        <v>878696</v>
      </c>
      <c r="AA24" s="82"/>
      <c r="AB24" s="82"/>
      <c r="AC24" s="82">
        <v>2787</v>
      </c>
      <c r="AD24" s="82">
        <v>150000</v>
      </c>
      <c r="AE24" s="82">
        <v>1500000</v>
      </c>
      <c r="AF24" s="82">
        <v>1491488</v>
      </c>
      <c r="AG24" s="72">
        <f t="shared" si="6"/>
        <v>995000</v>
      </c>
      <c r="AH24" s="72">
        <f t="shared" si="7"/>
        <v>5341765</v>
      </c>
      <c r="AI24" s="72">
        <f t="shared" si="8"/>
        <v>5292377</v>
      </c>
    </row>
    <row r="25" spans="1:36" s="75" customFormat="1" ht="12" x14ac:dyDescent="0.2">
      <c r="A25" s="76" t="s">
        <v>163</v>
      </c>
      <c r="B25" s="77">
        <v>31</v>
      </c>
      <c r="C25" s="78">
        <f>+C19+C20</f>
        <v>380000</v>
      </c>
      <c r="D25" s="78">
        <f>+D19+D20</f>
        <v>238765</v>
      </c>
      <c r="E25" s="78">
        <f>+E19+E20</f>
        <v>235926</v>
      </c>
      <c r="F25" s="78">
        <v>890000</v>
      </c>
      <c r="G25" s="78">
        <f>+G20</f>
        <v>247000</v>
      </c>
      <c r="H25" s="78">
        <f>+H20</f>
        <v>246657</v>
      </c>
      <c r="I25" s="78">
        <v>0</v>
      </c>
      <c r="J25" s="78">
        <v>0</v>
      </c>
      <c r="K25" s="78"/>
      <c r="L25" s="78">
        <v>25000</v>
      </c>
      <c r="M25" s="78">
        <f>+M20</f>
        <v>9000</v>
      </c>
      <c r="N25" s="78">
        <f>+N20</f>
        <v>8921</v>
      </c>
      <c r="O25" s="78">
        <v>402000</v>
      </c>
      <c r="P25" s="78">
        <f>+P20</f>
        <v>632000</v>
      </c>
      <c r="Q25" s="78">
        <f>+Q20</f>
        <v>631417</v>
      </c>
      <c r="R25" s="78">
        <v>0</v>
      </c>
      <c r="S25" s="78">
        <f>+S20</f>
        <v>2325000</v>
      </c>
      <c r="T25" s="78">
        <f>+T20</f>
        <v>2320583</v>
      </c>
      <c r="U25" s="78">
        <v>60000</v>
      </c>
      <c r="V25" s="78"/>
      <c r="W25" s="78"/>
      <c r="X25" s="78">
        <v>0</v>
      </c>
      <c r="Y25" s="78">
        <f>+Y20</f>
        <v>1530000</v>
      </c>
      <c r="Z25" s="78">
        <f>+Z20</f>
        <v>1521794</v>
      </c>
      <c r="AA25" s="78">
        <v>15000</v>
      </c>
      <c r="AB25" s="78">
        <v>15000</v>
      </c>
      <c r="AC25" s="78">
        <f>+AC20</f>
        <v>11448</v>
      </c>
      <c r="AD25" s="78">
        <v>150000</v>
      </c>
      <c r="AE25" s="78">
        <f>+AE20</f>
        <v>1500000</v>
      </c>
      <c r="AF25" s="78">
        <f>+AF20</f>
        <v>1491488</v>
      </c>
      <c r="AG25" s="79">
        <f>+C25+F25+I25+L25+O25+R25+U25+X25+AA25+AD25</f>
        <v>1922000</v>
      </c>
      <c r="AH25" s="79">
        <f t="shared" si="7"/>
        <v>6496765</v>
      </c>
      <c r="AI25" s="79">
        <f t="shared" si="8"/>
        <v>6468234</v>
      </c>
    </row>
    <row r="26" spans="1:36" s="75" customFormat="1" ht="12" x14ac:dyDescent="0.2">
      <c r="A26" s="68" t="s">
        <v>213</v>
      </c>
      <c r="B26" s="69">
        <v>321</v>
      </c>
      <c r="C26" s="70">
        <v>100000</v>
      </c>
      <c r="D26" s="70">
        <v>78000</v>
      </c>
      <c r="E26" s="70">
        <v>77865</v>
      </c>
      <c r="F26" s="70"/>
      <c r="G26" s="70">
        <v>52000</v>
      </c>
      <c r="H26" s="70">
        <v>51815</v>
      </c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>
        <v>100000</v>
      </c>
      <c r="AB26" s="70">
        <v>42000</v>
      </c>
      <c r="AC26" s="70">
        <v>41422</v>
      </c>
      <c r="AD26" s="70"/>
      <c r="AE26" s="70"/>
      <c r="AF26" s="70"/>
      <c r="AG26" s="72">
        <f t="shared" ref="AG26:AG27" si="9">+C26+F26+I26+L26+O26+R26+U26+X26+AA26+AD26</f>
        <v>200000</v>
      </c>
      <c r="AH26" s="72">
        <f t="shared" ref="AH26:AH28" si="10">+D26+G26+J26+M26+P26+S26+V26+Y26+AB26+AE26</f>
        <v>172000</v>
      </c>
      <c r="AI26" s="72">
        <f t="shared" ref="AI26:AI28" si="11">+E26+H26+K26+N26+Q26+T26+W26+Z26+AC26+AF26</f>
        <v>171102</v>
      </c>
    </row>
    <row r="27" spans="1:36" s="75" customFormat="1" ht="12" x14ac:dyDescent="0.2">
      <c r="A27" s="68" t="s">
        <v>214</v>
      </c>
      <c r="B27" s="69">
        <v>322</v>
      </c>
      <c r="C27" s="70">
        <v>150000</v>
      </c>
      <c r="D27" s="70">
        <v>163000</v>
      </c>
      <c r="E27" s="70">
        <v>161641</v>
      </c>
      <c r="F27" s="70"/>
      <c r="G27" s="70"/>
      <c r="H27" s="70"/>
      <c r="I27" s="70"/>
      <c r="J27" s="70"/>
      <c r="K27" s="70"/>
      <c r="L27" s="70"/>
      <c r="M27" s="70"/>
      <c r="N27" s="70"/>
      <c r="O27" s="70">
        <v>50000</v>
      </c>
      <c r="P27" s="70">
        <v>40000</v>
      </c>
      <c r="Q27" s="70">
        <v>38615</v>
      </c>
      <c r="R27" s="70"/>
      <c r="S27" s="70"/>
      <c r="T27" s="70"/>
      <c r="U27" s="70"/>
      <c r="V27" s="70"/>
      <c r="W27" s="70"/>
      <c r="X27" s="70"/>
      <c r="Y27" s="70"/>
      <c r="Z27" s="70"/>
      <c r="AA27" s="70">
        <v>15000</v>
      </c>
      <c r="AB27" s="70"/>
      <c r="AC27" s="70"/>
      <c r="AD27" s="70"/>
      <c r="AE27" s="70"/>
      <c r="AF27" s="70"/>
      <c r="AG27" s="72">
        <f t="shared" si="9"/>
        <v>215000</v>
      </c>
      <c r="AH27" s="72">
        <f t="shared" si="10"/>
        <v>203000</v>
      </c>
      <c r="AI27" s="72">
        <f t="shared" si="11"/>
        <v>200256</v>
      </c>
    </row>
    <row r="28" spans="1:36" s="75" customFormat="1" ht="12" x14ac:dyDescent="0.2">
      <c r="A28" s="76" t="s">
        <v>164</v>
      </c>
      <c r="B28" s="77">
        <v>32</v>
      </c>
      <c r="C28" s="78">
        <f>+C26+C27</f>
        <v>250000</v>
      </c>
      <c r="D28" s="78">
        <f>+D27+D26</f>
        <v>241000</v>
      </c>
      <c r="E28" s="78">
        <f>+E26+E27</f>
        <v>239506</v>
      </c>
      <c r="F28" s="78">
        <v>0</v>
      </c>
      <c r="G28" s="78">
        <f>+G26</f>
        <v>52000</v>
      </c>
      <c r="H28" s="78">
        <f>+H26</f>
        <v>51815</v>
      </c>
      <c r="I28" s="78">
        <v>0</v>
      </c>
      <c r="J28" s="78">
        <v>0</v>
      </c>
      <c r="K28" s="78"/>
      <c r="L28" s="78">
        <v>0</v>
      </c>
      <c r="M28" s="78">
        <v>0</v>
      </c>
      <c r="N28" s="78"/>
      <c r="O28" s="78">
        <v>50000</v>
      </c>
      <c r="P28" s="78">
        <f>+P27</f>
        <v>40000</v>
      </c>
      <c r="Q28" s="78">
        <f>+Q27</f>
        <v>38615</v>
      </c>
      <c r="R28" s="78">
        <v>0</v>
      </c>
      <c r="S28" s="78">
        <v>0</v>
      </c>
      <c r="T28" s="78"/>
      <c r="U28" s="78">
        <v>0</v>
      </c>
      <c r="V28" s="78">
        <v>0</v>
      </c>
      <c r="W28" s="78"/>
      <c r="X28" s="78">
        <v>0</v>
      </c>
      <c r="Y28" s="78">
        <v>0</v>
      </c>
      <c r="Z28" s="78"/>
      <c r="AA28" s="78">
        <v>115000</v>
      </c>
      <c r="AB28" s="78">
        <f>+AB26+AB27</f>
        <v>42000</v>
      </c>
      <c r="AC28" s="78">
        <f>+AC26+AC27</f>
        <v>41422</v>
      </c>
      <c r="AD28" s="78">
        <v>0</v>
      </c>
      <c r="AE28" s="78">
        <v>0</v>
      </c>
      <c r="AF28" s="78"/>
      <c r="AG28" s="79">
        <f>+C28+F28+I28+L28+O28+R28+U28+X28+AA28+AD28</f>
        <v>415000</v>
      </c>
      <c r="AH28" s="79">
        <f t="shared" si="10"/>
        <v>375000</v>
      </c>
      <c r="AI28" s="79">
        <f t="shared" si="11"/>
        <v>371358</v>
      </c>
    </row>
    <row r="29" spans="1:36" s="75" customFormat="1" ht="12" x14ac:dyDescent="0.2">
      <c r="A29" s="68" t="s">
        <v>101</v>
      </c>
      <c r="B29" s="69">
        <v>331</v>
      </c>
      <c r="C29" s="70">
        <f>+C30+C31+C32</f>
        <v>140000</v>
      </c>
      <c r="D29" s="70">
        <v>200000</v>
      </c>
      <c r="E29" s="70">
        <v>183657</v>
      </c>
      <c r="F29" s="70">
        <v>10000</v>
      </c>
      <c r="G29" s="70">
        <f>+G30+G32</f>
        <v>15000</v>
      </c>
      <c r="H29" s="70">
        <f>+H30+H32</f>
        <v>11352</v>
      </c>
      <c r="I29" s="70">
        <v>310000</v>
      </c>
      <c r="J29" s="70">
        <f>+J32</f>
        <v>826884</v>
      </c>
      <c r="K29" s="70">
        <f>+K32</f>
        <v>281362</v>
      </c>
      <c r="L29" s="70">
        <v>195000</v>
      </c>
      <c r="M29" s="70">
        <v>195000</v>
      </c>
      <c r="N29" s="70">
        <v>160263</v>
      </c>
      <c r="O29" s="70">
        <v>0</v>
      </c>
      <c r="P29" s="70">
        <v>0</v>
      </c>
      <c r="Q29" s="70"/>
      <c r="R29" s="70">
        <v>0</v>
      </c>
      <c r="S29" s="70">
        <v>0</v>
      </c>
      <c r="T29" s="70"/>
      <c r="U29" s="70">
        <v>2000</v>
      </c>
      <c r="V29" s="70">
        <f>+V30+V32</f>
        <v>3000</v>
      </c>
      <c r="W29" s="70">
        <v>2107</v>
      </c>
      <c r="X29" s="70">
        <v>0</v>
      </c>
      <c r="Y29" s="70">
        <v>0</v>
      </c>
      <c r="Z29" s="70"/>
      <c r="AA29" s="70">
        <v>156000</v>
      </c>
      <c r="AB29" s="70">
        <v>156000</v>
      </c>
      <c r="AC29" s="70">
        <v>56728</v>
      </c>
      <c r="AD29" s="70">
        <v>0</v>
      </c>
      <c r="AE29" s="70">
        <v>0</v>
      </c>
      <c r="AF29" s="70"/>
      <c r="AG29" s="72">
        <f t="shared" ref="AG29:AG41" si="12">+C29+F29+I29+L29+O29+R29+U29+X29+AA29+AD29</f>
        <v>813000</v>
      </c>
      <c r="AH29" s="72">
        <f t="shared" ref="AH29:AI44" si="13">+D29+G29+J29+M29+P29+S29+V29+Y29+AB29+AE29</f>
        <v>1395884</v>
      </c>
      <c r="AI29" s="72">
        <f t="shared" ref="AI29:AI44" si="14">+E29+H29+K29+N29+Q29+T29+W29+Z29+AC29+AF29</f>
        <v>695469</v>
      </c>
      <c r="AJ29" s="87">
        <f>695469-AI29</f>
        <v>0</v>
      </c>
    </row>
    <row r="30" spans="1:36" s="75" customFormat="1" ht="12" x14ac:dyDescent="0.2">
      <c r="A30" s="83" t="s">
        <v>100</v>
      </c>
      <c r="B30" s="81"/>
      <c r="C30" s="82">
        <v>10000</v>
      </c>
      <c r="D30" s="82">
        <v>15000</v>
      </c>
      <c r="E30" s="82">
        <v>14682</v>
      </c>
      <c r="F30" s="82">
        <v>10000</v>
      </c>
      <c r="G30" s="82">
        <v>5000</v>
      </c>
      <c r="H30" s="82">
        <f>11352-7003</f>
        <v>4349</v>
      </c>
      <c r="I30" s="82"/>
      <c r="J30" s="82"/>
      <c r="K30" s="82"/>
      <c r="L30" s="82">
        <v>15000</v>
      </c>
      <c r="M30" s="82">
        <v>15000</v>
      </c>
      <c r="N30" s="82">
        <v>11744</v>
      </c>
      <c r="O30" s="82"/>
      <c r="P30" s="82"/>
      <c r="Q30" s="82"/>
      <c r="R30" s="82"/>
      <c r="S30" s="82"/>
      <c r="T30" s="82"/>
      <c r="U30" s="82"/>
      <c r="V30" s="82">
        <v>500</v>
      </c>
      <c r="W30" s="82">
        <f>177*2</f>
        <v>354</v>
      </c>
      <c r="X30" s="82"/>
      <c r="Y30" s="82"/>
      <c r="Z30" s="82"/>
      <c r="AA30" s="82">
        <v>6000</v>
      </c>
      <c r="AB30" s="82">
        <v>6000</v>
      </c>
      <c r="AC30" s="82">
        <v>2937</v>
      </c>
      <c r="AD30" s="82"/>
      <c r="AE30" s="82"/>
      <c r="AF30" s="82"/>
      <c r="AG30" s="72">
        <f t="shared" si="12"/>
        <v>41000</v>
      </c>
      <c r="AH30" s="72">
        <f t="shared" si="13"/>
        <v>41500</v>
      </c>
      <c r="AI30" s="72">
        <f t="shared" si="14"/>
        <v>34066</v>
      </c>
    </row>
    <row r="31" spans="1:36" s="75" customFormat="1" ht="12" x14ac:dyDescent="0.2">
      <c r="A31" s="84" t="s">
        <v>99</v>
      </c>
      <c r="B31" s="81"/>
      <c r="C31" s="82">
        <v>60000</v>
      </c>
      <c r="D31" s="82">
        <v>100000</v>
      </c>
      <c r="E31" s="82">
        <v>95922</v>
      </c>
      <c r="F31" s="82"/>
      <c r="G31" s="82"/>
      <c r="H31" s="82"/>
      <c r="I31" s="82"/>
      <c r="J31" s="82"/>
      <c r="K31" s="82"/>
      <c r="L31" s="82">
        <v>130000</v>
      </c>
      <c r="M31" s="82">
        <v>110000</v>
      </c>
      <c r="N31" s="82">
        <v>90073</v>
      </c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>
        <v>130000</v>
      </c>
      <c r="AB31" s="82">
        <v>130000</v>
      </c>
      <c r="AC31" s="82">
        <v>39184</v>
      </c>
      <c r="AD31" s="82"/>
      <c r="AE31" s="82"/>
      <c r="AF31" s="82"/>
      <c r="AG31" s="72">
        <f t="shared" si="12"/>
        <v>320000</v>
      </c>
      <c r="AH31" s="72">
        <f t="shared" si="13"/>
        <v>340000</v>
      </c>
      <c r="AI31" s="72">
        <f t="shared" si="13"/>
        <v>225179</v>
      </c>
    </row>
    <row r="32" spans="1:36" s="75" customFormat="1" ht="12" x14ac:dyDescent="0.2">
      <c r="A32" s="83" t="s">
        <v>98</v>
      </c>
      <c r="B32" s="81"/>
      <c r="C32" s="82">
        <v>70000</v>
      </c>
      <c r="D32" s="82">
        <v>85000</v>
      </c>
      <c r="E32" s="82">
        <f>+E29-E30-E31</f>
        <v>73053</v>
      </c>
      <c r="F32" s="82"/>
      <c r="G32" s="82">
        <v>10000</v>
      </c>
      <c r="H32" s="82">
        <v>7003</v>
      </c>
      <c r="I32" s="82">
        <v>310000</v>
      </c>
      <c r="J32" s="82">
        <v>826884</v>
      </c>
      <c r="K32" s="82">
        <v>281362</v>
      </c>
      <c r="L32" s="82">
        <v>50000</v>
      </c>
      <c r="M32" s="82">
        <v>70000</v>
      </c>
      <c r="N32" s="82">
        <f>+N29-N30-N31</f>
        <v>58446</v>
      </c>
      <c r="O32" s="82"/>
      <c r="P32" s="82"/>
      <c r="Q32" s="82"/>
      <c r="R32" s="82"/>
      <c r="S32" s="82"/>
      <c r="T32" s="82"/>
      <c r="U32" s="82">
        <v>2000</v>
      </c>
      <c r="V32" s="82">
        <v>2500</v>
      </c>
      <c r="W32" s="82">
        <v>1753</v>
      </c>
      <c r="X32" s="82"/>
      <c r="Y32" s="82"/>
      <c r="Z32" s="82"/>
      <c r="AA32" s="82">
        <v>20000</v>
      </c>
      <c r="AB32" s="82">
        <v>20000</v>
      </c>
      <c r="AC32" s="82">
        <f>+AC29-AC30-AC31</f>
        <v>14607</v>
      </c>
      <c r="AD32" s="82"/>
      <c r="AE32" s="82"/>
      <c r="AF32" s="82"/>
      <c r="AG32" s="72">
        <f t="shared" si="12"/>
        <v>452000</v>
      </c>
      <c r="AH32" s="72">
        <f t="shared" si="13"/>
        <v>1014384</v>
      </c>
      <c r="AI32" s="72">
        <f t="shared" si="14"/>
        <v>436224</v>
      </c>
    </row>
    <row r="33" spans="1:35" s="75" customFormat="1" ht="12" x14ac:dyDescent="0.2">
      <c r="A33" s="83" t="s">
        <v>219</v>
      </c>
      <c r="B33" s="81">
        <v>332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>
        <v>12000</v>
      </c>
      <c r="AF33" s="82">
        <v>11029</v>
      </c>
      <c r="AG33" s="72">
        <f t="shared" ref="AG33" si="15">+C33+F33+I33+L33+O33+R33+U33+X33+AA33+AD33</f>
        <v>0</v>
      </c>
      <c r="AH33" s="72">
        <f t="shared" ref="AH33" si="16">+D33+G33+J33+M33+P33+S33+V33+Y33+AB33+AE33</f>
        <v>12000</v>
      </c>
      <c r="AI33" s="72">
        <f t="shared" ref="AI33" si="17">+E33+H33+K33+N33+Q33+T33+W33+Z33+AC33+AF33</f>
        <v>11029</v>
      </c>
    </row>
    <row r="34" spans="1:35" s="75" customFormat="1" ht="12" x14ac:dyDescent="0.2">
      <c r="A34" s="85" t="s">
        <v>165</v>
      </c>
      <c r="B34" s="69">
        <v>333</v>
      </c>
      <c r="C34" s="70"/>
      <c r="D34" s="70"/>
      <c r="E34" s="70"/>
      <c r="F34" s="70"/>
      <c r="G34" s="70"/>
      <c r="H34" s="70"/>
      <c r="I34" s="70">
        <v>220000</v>
      </c>
      <c r="J34" s="70">
        <v>1141351</v>
      </c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>
        <v>52000</v>
      </c>
      <c r="AG34" s="72">
        <f t="shared" si="12"/>
        <v>220000</v>
      </c>
      <c r="AH34" s="72">
        <f t="shared" si="13"/>
        <v>1141351</v>
      </c>
      <c r="AI34" s="72">
        <f t="shared" si="14"/>
        <v>52000</v>
      </c>
    </row>
    <row r="35" spans="1:35" s="75" customFormat="1" ht="12" x14ac:dyDescent="0.2">
      <c r="A35" s="68" t="s">
        <v>97</v>
      </c>
      <c r="B35" s="69">
        <v>334</v>
      </c>
      <c r="C35" s="70"/>
      <c r="D35" s="70"/>
      <c r="E35" s="70"/>
      <c r="F35" s="70">
        <v>300000</v>
      </c>
      <c r="G35" s="70">
        <v>5000</v>
      </c>
      <c r="H35" s="70">
        <v>2126</v>
      </c>
      <c r="I35" s="70">
        <v>100000</v>
      </c>
      <c r="J35" s="70">
        <v>70000</v>
      </c>
      <c r="K35" s="70">
        <v>68000</v>
      </c>
      <c r="L35" s="70"/>
      <c r="M35" s="70"/>
      <c r="N35" s="70"/>
      <c r="O35" s="70">
        <v>140000</v>
      </c>
      <c r="P35" s="70">
        <v>175000</v>
      </c>
      <c r="Q35" s="70">
        <v>174423</v>
      </c>
      <c r="R35" s="70"/>
      <c r="S35" s="70"/>
      <c r="T35" s="70"/>
      <c r="U35" s="70">
        <v>60000</v>
      </c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2">
        <f t="shared" si="12"/>
        <v>600000</v>
      </c>
      <c r="AH35" s="72">
        <f t="shared" si="13"/>
        <v>250000</v>
      </c>
      <c r="AI35" s="72">
        <f t="shared" si="14"/>
        <v>244549</v>
      </c>
    </row>
    <row r="36" spans="1:35" s="75" customFormat="1" ht="12" x14ac:dyDescent="0.2">
      <c r="A36" s="68" t="s">
        <v>217</v>
      </c>
      <c r="B36" s="69">
        <v>335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>
        <v>138000</v>
      </c>
      <c r="T36" s="70">
        <v>137920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>
        <v>150000</v>
      </c>
      <c r="AF36" s="70">
        <v>150000</v>
      </c>
      <c r="AG36" s="72">
        <f t="shared" ref="AG36" si="18">+C36+F36+I36+L36+O36+R36+U36+X36+AA36+AD36</f>
        <v>0</v>
      </c>
      <c r="AH36" s="72">
        <f t="shared" ref="AH36" si="19">+D36+G36+J36+M36+P36+S36+V36+Y36+AB36+AE36</f>
        <v>288000</v>
      </c>
      <c r="AI36" s="72">
        <f t="shared" ref="AI36" si="20">+E36+H36+K36+N36+Q36+T36+W36+Z36+AC36+AF36</f>
        <v>287920</v>
      </c>
    </row>
    <row r="37" spans="1:35" s="75" customFormat="1" ht="24" x14ac:dyDescent="0.2">
      <c r="A37" s="68" t="s">
        <v>96</v>
      </c>
      <c r="B37" s="69">
        <v>336</v>
      </c>
      <c r="C37" s="70">
        <v>150000</v>
      </c>
      <c r="D37" s="70">
        <v>80000</v>
      </c>
      <c r="E37" s="70">
        <v>79900</v>
      </c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>
        <v>30000</v>
      </c>
      <c r="Q37" s="70">
        <v>23300</v>
      </c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2">
        <f t="shared" si="12"/>
        <v>150000</v>
      </c>
      <c r="AH37" s="72">
        <f t="shared" si="13"/>
        <v>110000</v>
      </c>
      <c r="AI37" s="72">
        <f t="shared" si="14"/>
        <v>103200</v>
      </c>
    </row>
    <row r="38" spans="1:35" s="75" customFormat="1" ht="12" x14ac:dyDescent="0.2">
      <c r="A38" s="68" t="s">
        <v>166</v>
      </c>
      <c r="B38" s="69">
        <v>337</v>
      </c>
      <c r="C38" s="70">
        <f>+C39+C40+C41</f>
        <v>410000</v>
      </c>
      <c r="D38" s="70">
        <f>+D39+D40+D41</f>
        <v>495000</v>
      </c>
      <c r="E38" s="70">
        <v>492821</v>
      </c>
      <c r="F38" s="70">
        <v>1290000</v>
      </c>
      <c r="G38" s="70">
        <f>+G40+G41</f>
        <v>270000</v>
      </c>
      <c r="H38" s="70">
        <f>+H40+H41</f>
        <v>265121</v>
      </c>
      <c r="I38" s="70">
        <v>50000</v>
      </c>
      <c r="J38" s="70">
        <f>+J40</f>
        <v>35000</v>
      </c>
      <c r="K38" s="70">
        <f>+K40</f>
        <v>34404</v>
      </c>
      <c r="L38" s="70">
        <v>0</v>
      </c>
      <c r="M38" s="70">
        <f>+M40</f>
        <v>5000</v>
      </c>
      <c r="N38" s="70">
        <f>+N40</f>
        <v>4978</v>
      </c>
      <c r="O38" s="70">
        <v>255000</v>
      </c>
      <c r="P38" s="70">
        <f>+P40+P41</f>
        <v>190000</v>
      </c>
      <c r="Q38" s="70">
        <f>+Q40+Q41</f>
        <v>183274</v>
      </c>
      <c r="R38" s="70">
        <v>0</v>
      </c>
      <c r="S38" s="70">
        <f>+S40</f>
        <v>1150000</v>
      </c>
      <c r="T38" s="70">
        <f>+T40</f>
        <v>1145485</v>
      </c>
      <c r="U38" s="70">
        <v>0</v>
      </c>
      <c r="V38" s="70">
        <v>0</v>
      </c>
      <c r="W38" s="70"/>
      <c r="X38" s="70">
        <v>0</v>
      </c>
      <c r="Y38" s="70">
        <v>6000</v>
      </c>
      <c r="Z38" s="70">
        <v>6000</v>
      </c>
      <c r="AA38" s="70">
        <v>0</v>
      </c>
      <c r="AB38" s="70">
        <f>+AB40</f>
        <v>32000</v>
      </c>
      <c r="AC38" s="70">
        <f>+AC40</f>
        <v>31243</v>
      </c>
      <c r="AD38" s="70">
        <v>400000</v>
      </c>
      <c r="AE38" s="70">
        <f>+AE40</f>
        <v>4125000</v>
      </c>
      <c r="AF38" s="70">
        <f>+AF40</f>
        <v>4122318</v>
      </c>
      <c r="AG38" s="72">
        <f t="shared" si="12"/>
        <v>2405000</v>
      </c>
      <c r="AH38" s="72">
        <f t="shared" si="13"/>
        <v>6308000</v>
      </c>
      <c r="AI38" s="72">
        <f t="shared" si="14"/>
        <v>6285644</v>
      </c>
    </row>
    <row r="39" spans="1:35" s="75" customFormat="1" ht="12" x14ac:dyDescent="0.2">
      <c r="A39" s="83" t="s">
        <v>95</v>
      </c>
      <c r="B39" s="81"/>
      <c r="C39" s="82">
        <v>340000</v>
      </c>
      <c r="D39" s="82">
        <v>333000</v>
      </c>
      <c r="E39" s="82">
        <f>+E38-E40-E41</f>
        <v>332912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72">
        <f t="shared" si="12"/>
        <v>340000</v>
      </c>
      <c r="AH39" s="72">
        <f t="shared" si="13"/>
        <v>333000</v>
      </c>
      <c r="AI39" s="72">
        <f t="shared" si="14"/>
        <v>332912</v>
      </c>
    </row>
    <row r="40" spans="1:35" s="75" customFormat="1" ht="12" x14ac:dyDescent="0.2">
      <c r="A40" s="83" t="s">
        <v>94</v>
      </c>
      <c r="B40" s="81"/>
      <c r="C40" s="82">
        <v>50000</v>
      </c>
      <c r="D40" s="82">
        <v>145000</v>
      </c>
      <c r="E40" s="82">
        <v>143237</v>
      </c>
      <c r="F40" s="82">
        <v>1200000</v>
      </c>
      <c r="G40" s="82">
        <v>145000</v>
      </c>
      <c r="H40" s="82">
        <f>265121-H41</f>
        <v>144676</v>
      </c>
      <c r="I40" s="82">
        <v>50000</v>
      </c>
      <c r="J40" s="82">
        <v>35000</v>
      </c>
      <c r="K40" s="82">
        <v>34404</v>
      </c>
      <c r="L40" s="82"/>
      <c r="M40" s="82">
        <v>5000</v>
      </c>
      <c r="N40" s="82">
        <v>4978</v>
      </c>
      <c r="O40" s="82">
        <v>100000</v>
      </c>
      <c r="P40" s="82">
        <v>35000</v>
      </c>
      <c r="Q40" s="82">
        <f>183274-Q41</f>
        <v>33071</v>
      </c>
      <c r="R40" s="82"/>
      <c r="S40" s="82">
        <v>1150000</v>
      </c>
      <c r="T40" s="82">
        <v>1145485</v>
      </c>
      <c r="U40" s="82"/>
      <c r="V40" s="82"/>
      <c r="W40" s="82"/>
      <c r="X40" s="82"/>
      <c r="Y40" s="82"/>
      <c r="Z40" s="82"/>
      <c r="AA40" s="82"/>
      <c r="AB40" s="82">
        <v>32000</v>
      </c>
      <c r="AC40" s="82">
        <v>31243</v>
      </c>
      <c r="AD40" s="82">
        <v>400000</v>
      </c>
      <c r="AE40" s="82">
        <v>4125000</v>
      </c>
      <c r="AF40" s="82">
        <v>4122318</v>
      </c>
      <c r="AG40" s="72">
        <f t="shared" si="12"/>
        <v>1800000</v>
      </c>
      <c r="AH40" s="72">
        <f t="shared" si="13"/>
        <v>5672000</v>
      </c>
      <c r="AI40" s="72">
        <f t="shared" si="14"/>
        <v>5659412</v>
      </c>
    </row>
    <row r="41" spans="1:35" s="75" customFormat="1" ht="12" x14ac:dyDescent="0.2">
      <c r="A41" s="83" t="s">
        <v>91</v>
      </c>
      <c r="B41" s="81"/>
      <c r="C41" s="82">
        <v>20000</v>
      </c>
      <c r="D41" s="82">
        <v>17000</v>
      </c>
      <c r="E41" s="82">
        <v>16672</v>
      </c>
      <c r="F41" s="82">
        <v>90000</v>
      </c>
      <c r="G41" s="82">
        <v>125000</v>
      </c>
      <c r="H41" s="82">
        <v>120445</v>
      </c>
      <c r="I41" s="82"/>
      <c r="J41" s="82"/>
      <c r="K41" s="82"/>
      <c r="L41" s="82"/>
      <c r="M41" s="82"/>
      <c r="N41" s="82"/>
      <c r="O41" s="82">
        <v>155000</v>
      </c>
      <c r="P41" s="82">
        <v>155000</v>
      </c>
      <c r="Q41" s="82">
        <v>150203</v>
      </c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72">
        <f t="shared" si="12"/>
        <v>265000</v>
      </c>
      <c r="AH41" s="72">
        <f t="shared" si="13"/>
        <v>297000</v>
      </c>
      <c r="AI41" s="72">
        <f t="shared" si="14"/>
        <v>287320</v>
      </c>
    </row>
    <row r="42" spans="1:35" s="75" customFormat="1" ht="12" x14ac:dyDescent="0.2">
      <c r="A42" s="76" t="s">
        <v>167</v>
      </c>
      <c r="B42" s="77">
        <v>33</v>
      </c>
      <c r="C42" s="78">
        <f>+C38+C37+C29+C34+C35</f>
        <v>700000</v>
      </c>
      <c r="D42" s="78">
        <f>+D38+D37+D29+D34+D35</f>
        <v>775000</v>
      </c>
      <c r="E42" s="78">
        <f>+E29+E34+E35+E37+E38</f>
        <v>756378</v>
      </c>
      <c r="F42" s="78">
        <v>1600000</v>
      </c>
      <c r="G42" s="78">
        <f>+G29+G35+G38</f>
        <v>290000</v>
      </c>
      <c r="H42" s="78">
        <f>+H29+H35+H38</f>
        <v>278599</v>
      </c>
      <c r="I42" s="78">
        <v>680000</v>
      </c>
      <c r="J42" s="78">
        <f>+J29+J34+J35+J38</f>
        <v>2073235</v>
      </c>
      <c r="K42" s="78">
        <f>+K29+K34+K35+K38</f>
        <v>383766</v>
      </c>
      <c r="L42" s="78">
        <v>195000</v>
      </c>
      <c r="M42" s="78">
        <f>+M29+M38</f>
        <v>200000</v>
      </c>
      <c r="N42" s="78">
        <f>+N29+N38</f>
        <v>165241</v>
      </c>
      <c r="O42" s="78">
        <v>395000</v>
      </c>
      <c r="P42" s="78">
        <f>+P35+P37+P38</f>
        <v>395000</v>
      </c>
      <c r="Q42" s="78">
        <f>+Q35+Q37+Q38</f>
        <v>380997</v>
      </c>
      <c r="R42" s="78">
        <v>0</v>
      </c>
      <c r="S42" s="78">
        <f>+S36+S38</f>
        <v>1288000</v>
      </c>
      <c r="T42" s="78">
        <f>+T36+T38</f>
        <v>1283405</v>
      </c>
      <c r="U42" s="78">
        <v>62000</v>
      </c>
      <c r="V42" s="78">
        <f>+V29</f>
        <v>3000</v>
      </c>
      <c r="W42" s="78">
        <f>+W29</f>
        <v>2107</v>
      </c>
      <c r="X42" s="78">
        <v>0</v>
      </c>
      <c r="Y42" s="78">
        <f>+Y38</f>
        <v>6000</v>
      </c>
      <c r="Z42" s="78">
        <f>+Z38</f>
        <v>6000</v>
      </c>
      <c r="AA42" s="78">
        <v>156000</v>
      </c>
      <c r="AB42" s="78">
        <f>+AB29+AB38</f>
        <v>188000</v>
      </c>
      <c r="AC42" s="78">
        <f>+AC29+AC38</f>
        <v>87971</v>
      </c>
      <c r="AD42" s="78">
        <v>400000</v>
      </c>
      <c r="AE42" s="78">
        <f>+AE33+AE36+AE38</f>
        <v>4287000</v>
      </c>
      <c r="AF42" s="78">
        <f>+AF29+AF34+AF36+AF38+AF33</f>
        <v>4335347</v>
      </c>
      <c r="AG42" s="79">
        <f>+C42+F42+I42+L42+O42+R42+U42+X42+AA42+AD42</f>
        <v>4188000</v>
      </c>
      <c r="AH42" s="79">
        <f t="shared" si="13"/>
        <v>9505235</v>
      </c>
      <c r="AI42" s="79">
        <f t="shared" si="14"/>
        <v>7679811</v>
      </c>
    </row>
    <row r="43" spans="1:35" s="75" customFormat="1" ht="12" x14ac:dyDescent="0.2">
      <c r="A43" s="68" t="s">
        <v>215</v>
      </c>
      <c r="B43" s="69">
        <v>342</v>
      </c>
      <c r="C43" s="70"/>
      <c r="D43" s="70">
        <v>25000</v>
      </c>
      <c r="E43" s="70">
        <v>25000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2">
        <f>+C43+F43+I43+L43+O43+R43+U43+X43+AA43+AD43</f>
        <v>0</v>
      </c>
      <c r="AH43" s="72">
        <f t="shared" ref="AH43" si="21">+D43+G43+J43+M43+P43+S43+V43+Y43+AB43+AE43</f>
        <v>25000</v>
      </c>
      <c r="AI43" s="72">
        <f t="shared" ref="AI43" si="22">+E43+H43+K43+N43+Q43+T43+W43+Z43+AC43+AF43</f>
        <v>25000</v>
      </c>
    </row>
    <row r="44" spans="1:35" s="75" customFormat="1" ht="12" x14ac:dyDescent="0.2">
      <c r="A44" s="68" t="s">
        <v>93</v>
      </c>
      <c r="B44" s="69">
        <v>341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2">
        <f>+C44+F44+I44+L44+O44+R44+U44+X44+AA44+AD44</f>
        <v>0</v>
      </c>
      <c r="AH44" s="72">
        <f t="shared" si="13"/>
        <v>0</v>
      </c>
      <c r="AI44" s="72">
        <f t="shared" si="14"/>
        <v>0</v>
      </c>
    </row>
    <row r="45" spans="1:35" s="75" customFormat="1" ht="12" x14ac:dyDescent="0.2">
      <c r="A45" s="86" t="s">
        <v>168</v>
      </c>
      <c r="B45" s="77">
        <v>34</v>
      </c>
      <c r="C45" s="78">
        <f>+C44</f>
        <v>0</v>
      </c>
      <c r="D45" s="78">
        <f>+D43</f>
        <v>25000</v>
      </c>
      <c r="E45" s="78">
        <f>+E43+E44</f>
        <v>25000</v>
      </c>
      <c r="F45" s="78">
        <v>0</v>
      </c>
      <c r="G45" s="78">
        <v>0</v>
      </c>
      <c r="H45" s="78"/>
      <c r="I45" s="78">
        <v>0</v>
      </c>
      <c r="J45" s="78">
        <v>0</v>
      </c>
      <c r="K45" s="78"/>
      <c r="L45" s="78">
        <v>0</v>
      </c>
      <c r="M45" s="78">
        <v>0</v>
      </c>
      <c r="N45" s="78"/>
      <c r="O45" s="78">
        <v>0</v>
      </c>
      <c r="P45" s="78">
        <v>0</v>
      </c>
      <c r="Q45" s="78"/>
      <c r="R45" s="78">
        <v>0</v>
      </c>
      <c r="S45" s="78">
        <v>0</v>
      </c>
      <c r="T45" s="78"/>
      <c r="U45" s="78">
        <v>0</v>
      </c>
      <c r="V45" s="78">
        <v>0</v>
      </c>
      <c r="W45" s="78"/>
      <c r="X45" s="78">
        <v>0</v>
      </c>
      <c r="Y45" s="78">
        <v>0</v>
      </c>
      <c r="Z45" s="78"/>
      <c r="AA45" s="78">
        <v>0</v>
      </c>
      <c r="AB45" s="78">
        <v>0</v>
      </c>
      <c r="AC45" s="78"/>
      <c r="AD45" s="78">
        <v>0</v>
      </c>
      <c r="AE45" s="78">
        <v>0</v>
      </c>
      <c r="AF45" s="78"/>
      <c r="AG45" s="79">
        <f>+C45+F45+I45+L45+O45+R45+U45+X45+AA45+AD45</f>
        <v>0</v>
      </c>
      <c r="AH45" s="79">
        <f t="shared" ref="AH45:AI48" si="23">+D45+G45+J45+M45+P45+S45+V45+Y45+AB45+AE45</f>
        <v>25000</v>
      </c>
      <c r="AI45" s="79">
        <f t="shared" ref="AI45" si="24">+E45+H45+K45+N45+Q45+T45+W45+Z45+AC45+AF45</f>
        <v>25000</v>
      </c>
    </row>
    <row r="46" spans="1:35" s="75" customFormat="1" ht="24" x14ac:dyDescent="0.2">
      <c r="A46" s="68" t="s">
        <v>183</v>
      </c>
      <c r="B46" s="69">
        <v>351</v>
      </c>
      <c r="C46" s="70">
        <v>326700</v>
      </c>
      <c r="D46" s="70">
        <v>250000</v>
      </c>
      <c r="E46" s="70">
        <v>204854</v>
      </c>
      <c r="F46" s="70">
        <v>648000</v>
      </c>
      <c r="G46" s="70">
        <v>100000</v>
      </c>
      <c r="H46" s="70">
        <v>95654</v>
      </c>
      <c r="I46" s="70">
        <v>184000</v>
      </c>
      <c r="J46" s="70">
        <v>100000</v>
      </c>
      <c r="K46" s="70">
        <v>98442</v>
      </c>
      <c r="L46" s="70">
        <v>59400</v>
      </c>
      <c r="M46" s="70">
        <v>59400</v>
      </c>
      <c r="N46" s="70">
        <v>46595</v>
      </c>
      <c r="O46" s="70">
        <v>175000</v>
      </c>
      <c r="P46" s="70">
        <v>250000</v>
      </c>
      <c r="Q46" s="70">
        <v>223432</v>
      </c>
      <c r="R46" s="70"/>
      <c r="S46" s="70">
        <v>1000000</v>
      </c>
      <c r="T46" s="70">
        <v>998080</v>
      </c>
      <c r="U46" s="70">
        <v>33000</v>
      </c>
      <c r="V46" s="70">
        <v>1000</v>
      </c>
      <c r="W46" s="70">
        <v>568</v>
      </c>
      <c r="X46" s="70">
        <v>547954</v>
      </c>
      <c r="Y46" s="70">
        <v>400000</v>
      </c>
      <c r="Z46" s="70">
        <v>368618</v>
      </c>
      <c r="AA46" s="70">
        <v>78000</v>
      </c>
      <c r="AB46" s="70">
        <v>22258</v>
      </c>
      <c r="AC46" s="70">
        <v>20738</v>
      </c>
      <c r="AD46" s="70">
        <v>814464</v>
      </c>
      <c r="AE46" s="70">
        <v>1200000</v>
      </c>
      <c r="AF46" s="70">
        <v>1161575</v>
      </c>
      <c r="AG46" s="72">
        <f t="shared" ref="AG46:AG50" si="25">+C46+F46+I46+L46+O46+R46+U46+X46+AA46+AD46</f>
        <v>2866518</v>
      </c>
      <c r="AH46" s="72">
        <f t="shared" si="23"/>
        <v>3382658</v>
      </c>
      <c r="AI46" s="72">
        <f t="shared" si="23"/>
        <v>3218556</v>
      </c>
    </row>
    <row r="47" spans="1:35" s="75" customFormat="1" ht="12" x14ac:dyDescent="0.2">
      <c r="A47" s="68" t="s">
        <v>92</v>
      </c>
      <c r="B47" s="69">
        <v>355</v>
      </c>
      <c r="C47" s="70">
        <f>+C48</f>
        <v>70000</v>
      </c>
      <c r="D47" s="70">
        <v>21950</v>
      </c>
      <c r="E47" s="70">
        <v>20190</v>
      </c>
      <c r="F47" s="70">
        <v>80000</v>
      </c>
      <c r="G47" s="70">
        <v>6200</v>
      </c>
      <c r="H47" s="70">
        <f>+H48</f>
        <v>6162</v>
      </c>
      <c r="I47" s="70">
        <v>0</v>
      </c>
      <c r="J47" s="70">
        <v>0</v>
      </c>
      <c r="K47" s="70"/>
      <c r="L47" s="70">
        <v>0</v>
      </c>
      <c r="M47" s="70">
        <v>0</v>
      </c>
      <c r="N47" s="70"/>
      <c r="O47" s="70"/>
      <c r="P47" s="70">
        <v>50</v>
      </c>
      <c r="Q47" s="70">
        <f>+Q48</f>
        <v>39</v>
      </c>
      <c r="R47" s="70">
        <v>0</v>
      </c>
      <c r="S47" s="70">
        <v>0</v>
      </c>
      <c r="T47" s="70"/>
      <c r="U47" s="70">
        <v>0</v>
      </c>
      <c r="V47" s="70">
        <v>0</v>
      </c>
      <c r="W47" s="70"/>
      <c r="X47" s="70">
        <v>2029460</v>
      </c>
      <c r="Y47" s="70">
        <v>50</v>
      </c>
      <c r="Z47" s="70">
        <v>10</v>
      </c>
      <c r="AA47" s="70">
        <v>0</v>
      </c>
      <c r="AB47" s="70"/>
      <c r="AC47" s="70"/>
      <c r="AD47" s="70">
        <v>2570238</v>
      </c>
      <c r="AE47" s="70">
        <f>45000-73250+72772</f>
        <v>44522</v>
      </c>
      <c r="AF47" s="70">
        <f>+AF48</f>
        <v>42394</v>
      </c>
      <c r="AG47" s="72">
        <f t="shared" si="25"/>
        <v>4749698</v>
      </c>
      <c r="AH47" s="72">
        <f t="shared" si="23"/>
        <v>72772</v>
      </c>
      <c r="AI47" s="72">
        <f t="shared" si="23"/>
        <v>68795</v>
      </c>
    </row>
    <row r="48" spans="1:35" s="75" customFormat="1" ht="24" x14ac:dyDescent="0.2">
      <c r="A48" s="83" t="s">
        <v>169</v>
      </c>
      <c r="B48" s="81"/>
      <c r="C48" s="82">
        <v>70000</v>
      </c>
      <c r="D48" s="82">
        <v>21950</v>
      </c>
      <c r="E48" s="82">
        <v>20190</v>
      </c>
      <c r="F48" s="82">
        <v>80000</v>
      </c>
      <c r="G48" s="82">
        <v>6200</v>
      </c>
      <c r="H48" s="82">
        <v>6162</v>
      </c>
      <c r="I48" s="82"/>
      <c r="J48" s="82"/>
      <c r="K48" s="82"/>
      <c r="L48" s="82"/>
      <c r="M48" s="82"/>
      <c r="N48" s="82"/>
      <c r="O48" s="82"/>
      <c r="P48" s="82">
        <v>50</v>
      </c>
      <c r="Q48" s="82">
        <v>39</v>
      </c>
      <c r="R48" s="82"/>
      <c r="S48" s="82"/>
      <c r="T48" s="82"/>
      <c r="U48" s="82"/>
      <c r="V48" s="82"/>
      <c r="W48" s="82"/>
      <c r="X48" s="82"/>
      <c r="Y48" s="82">
        <v>50</v>
      </c>
      <c r="Z48" s="82">
        <v>10</v>
      </c>
      <c r="AA48" s="82"/>
      <c r="AB48" s="82"/>
      <c r="AC48" s="82"/>
      <c r="AD48" s="82">
        <v>2570238</v>
      </c>
      <c r="AE48" s="82">
        <v>44522</v>
      </c>
      <c r="AF48" s="82">
        <v>42394</v>
      </c>
      <c r="AG48" s="72">
        <f t="shared" si="25"/>
        <v>2720238</v>
      </c>
      <c r="AH48" s="72">
        <f t="shared" si="23"/>
        <v>72772</v>
      </c>
      <c r="AI48" s="72">
        <f t="shared" si="23"/>
        <v>68795</v>
      </c>
    </row>
    <row r="49" spans="1:36" s="75" customFormat="1" ht="24" x14ac:dyDescent="0.2">
      <c r="A49" s="76" t="s">
        <v>90</v>
      </c>
      <c r="B49" s="77">
        <v>35</v>
      </c>
      <c r="C49" s="78">
        <f>+C46+C47</f>
        <v>396700</v>
      </c>
      <c r="D49" s="78">
        <f>+D46+D47</f>
        <v>271950</v>
      </c>
      <c r="E49" s="78">
        <f>+E46+E47</f>
        <v>225044</v>
      </c>
      <c r="F49" s="78">
        <v>728000</v>
      </c>
      <c r="G49" s="78">
        <f>+G46+G47</f>
        <v>106200</v>
      </c>
      <c r="H49" s="78">
        <f>+H46+H47</f>
        <v>101816</v>
      </c>
      <c r="I49" s="78">
        <v>184000</v>
      </c>
      <c r="J49" s="78">
        <f>+J46</f>
        <v>100000</v>
      </c>
      <c r="K49" s="78">
        <f>+K46</f>
        <v>98442</v>
      </c>
      <c r="L49" s="78">
        <v>59400</v>
      </c>
      <c r="M49" s="78">
        <v>59400</v>
      </c>
      <c r="N49" s="78">
        <f>+N46</f>
        <v>46595</v>
      </c>
      <c r="O49" s="78">
        <v>175000</v>
      </c>
      <c r="P49" s="78">
        <f>+P46+P47</f>
        <v>250050</v>
      </c>
      <c r="Q49" s="78">
        <f>+Q46+Q47</f>
        <v>223471</v>
      </c>
      <c r="R49" s="78">
        <v>0</v>
      </c>
      <c r="S49" s="78">
        <f>+S46</f>
        <v>1000000</v>
      </c>
      <c r="T49" s="78">
        <f>+T46</f>
        <v>998080</v>
      </c>
      <c r="U49" s="78">
        <v>33000</v>
      </c>
      <c r="V49" s="78">
        <f>+V46</f>
        <v>1000</v>
      </c>
      <c r="W49" s="78">
        <f>+W46</f>
        <v>568</v>
      </c>
      <c r="X49" s="78">
        <v>2577414</v>
      </c>
      <c r="Y49" s="78">
        <f>+Y46+Y47</f>
        <v>400050</v>
      </c>
      <c r="Z49" s="78">
        <f>+Z46+Z47</f>
        <v>368628</v>
      </c>
      <c r="AA49" s="78">
        <v>78000</v>
      </c>
      <c r="AB49" s="78">
        <f>+AB46</f>
        <v>22258</v>
      </c>
      <c r="AC49" s="78">
        <f>+AC46</f>
        <v>20738</v>
      </c>
      <c r="AD49" s="78">
        <v>3384702</v>
      </c>
      <c r="AE49" s="78">
        <f>+AE46+AE47</f>
        <v>1244522</v>
      </c>
      <c r="AF49" s="78">
        <f>+AF46+AF47</f>
        <v>1203969</v>
      </c>
      <c r="AG49" s="79">
        <f t="shared" si="25"/>
        <v>7616216</v>
      </c>
      <c r="AH49" s="79">
        <f t="shared" ref="AH49:AH52" si="26">+D49+G49+J49+M49+P49+S49+V49+Y49+AB49+AE49</f>
        <v>3455430</v>
      </c>
      <c r="AI49" s="79">
        <f t="shared" ref="AI49:AI52" si="27">+E49+H49+K49+N49+Q49+T49+W49+Z49+AC49+AF49</f>
        <v>3287351</v>
      </c>
    </row>
    <row r="50" spans="1:36" s="75" customFormat="1" ht="12" x14ac:dyDescent="0.2">
      <c r="A50" s="76" t="s">
        <v>89</v>
      </c>
      <c r="B50" s="77">
        <v>3</v>
      </c>
      <c r="C50" s="78">
        <f>+C25+C28+C42+C49</f>
        <v>1726700</v>
      </c>
      <c r="D50" s="78">
        <f>+D25+D28+D42+D49+D45</f>
        <v>1551715</v>
      </c>
      <c r="E50" s="78">
        <f>+E25+E28+E42+E45+E49</f>
        <v>1481854</v>
      </c>
      <c r="F50" s="78">
        <f t="shared" ref="F50:AF50" si="28">+F25+F28+F42+F45+F49</f>
        <v>3218000</v>
      </c>
      <c r="G50" s="78">
        <f t="shared" si="28"/>
        <v>695200</v>
      </c>
      <c r="H50" s="78">
        <f t="shared" si="28"/>
        <v>678887</v>
      </c>
      <c r="I50" s="78">
        <f t="shared" si="28"/>
        <v>864000</v>
      </c>
      <c r="J50" s="78">
        <f t="shared" si="28"/>
        <v>2173235</v>
      </c>
      <c r="K50" s="78">
        <f t="shared" si="28"/>
        <v>482208</v>
      </c>
      <c r="L50" s="78">
        <f t="shared" si="28"/>
        <v>279400</v>
      </c>
      <c r="M50" s="78">
        <f t="shared" si="28"/>
        <v>268400</v>
      </c>
      <c r="N50" s="78">
        <f t="shared" si="28"/>
        <v>220757</v>
      </c>
      <c r="O50" s="78">
        <f t="shared" si="28"/>
        <v>1022000</v>
      </c>
      <c r="P50" s="78">
        <f t="shared" si="28"/>
        <v>1317050</v>
      </c>
      <c r="Q50" s="78">
        <f t="shared" si="28"/>
        <v>1274500</v>
      </c>
      <c r="R50" s="78">
        <f t="shared" si="28"/>
        <v>0</v>
      </c>
      <c r="S50" s="78">
        <f t="shared" si="28"/>
        <v>4613000</v>
      </c>
      <c r="T50" s="78">
        <f t="shared" si="28"/>
        <v>4602068</v>
      </c>
      <c r="U50" s="78">
        <f t="shared" si="28"/>
        <v>155000</v>
      </c>
      <c r="V50" s="78">
        <f t="shared" si="28"/>
        <v>4000</v>
      </c>
      <c r="W50" s="78">
        <f t="shared" si="28"/>
        <v>2675</v>
      </c>
      <c r="X50" s="78">
        <f t="shared" si="28"/>
        <v>2577414</v>
      </c>
      <c r="Y50" s="78">
        <f t="shared" si="28"/>
        <v>1936050</v>
      </c>
      <c r="Z50" s="78">
        <f t="shared" si="28"/>
        <v>1896422</v>
      </c>
      <c r="AA50" s="78">
        <f t="shared" si="28"/>
        <v>364000</v>
      </c>
      <c r="AB50" s="78">
        <f t="shared" si="28"/>
        <v>267258</v>
      </c>
      <c r="AC50" s="78">
        <f t="shared" si="28"/>
        <v>161579</v>
      </c>
      <c r="AD50" s="78">
        <f t="shared" si="28"/>
        <v>3934702</v>
      </c>
      <c r="AE50" s="78">
        <f t="shared" si="28"/>
        <v>7031522</v>
      </c>
      <c r="AF50" s="78">
        <f t="shared" si="28"/>
        <v>7030804</v>
      </c>
      <c r="AG50" s="79">
        <f t="shared" si="25"/>
        <v>14141216</v>
      </c>
      <c r="AH50" s="79">
        <f t="shared" si="26"/>
        <v>19857430</v>
      </c>
      <c r="AI50" s="79">
        <f t="shared" si="27"/>
        <v>17831754</v>
      </c>
      <c r="AJ50" s="87">
        <f>19857430-AH50</f>
        <v>0</v>
      </c>
    </row>
    <row r="51" spans="1:36" s="75" customFormat="1" ht="12" x14ac:dyDescent="0.2">
      <c r="A51" s="68" t="s">
        <v>88</v>
      </c>
      <c r="B51" s="69">
        <v>48</v>
      </c>
      <c r="C51" s="70">
        <f>+C52</f>
        <v>0</v>
      </c>
      <c r="D51" s="70">
        <f>+D52</f>
        <v>0</v>
      </c>
      <c r="E51" s="70"/>
      <c r="F51" s="70">
        <v>0</v>
      </c>
      <c r="G51" s="70">
        <v>0</v>
      </c>
      <c r="H51" s="70"/>
      <c r="I51" s="70">
        <v>0</v>
      </c>
      <c r="J51" s="70">
        <v>0</v>
      </c>
      <c r="K51" s="70"/>
      <c r="L51" s="70">
        <v>0</v>
      </c>
      <c r="M51" s="70">
        <v>0</v>
      </c>
      <c r="N51" s="70"/>
      <c r="O51" s="70"/>
      <c r="P51" s="70"/>
      <c r="Q51" s="70"/>
      <c r="R51" s="70">
        <v>12612500</v>
      </c>
      <c r="S51" s="70">
        <f>+S52</f>
        <v>9849360</v>
      </c>
      <c r="T51" s="70">
        <f>+T52</f>
        <v>6718596</v>
      </c>
      <c r="U51" s="70">
        <v>0</v>
      </c>
      <c r="V51" s="70">
        <v>0</v>
      </c>
      <c r="W51" s="70"/>
      <c r="X51" s="70">
        <v>0</v>
      </c>
      <c r="Y51" s="70">
        <v>0</v>
      </c>
      <c r="Z51" s="70"/>
      <c r="AA51" s="70">
        <v>0</v>
      </c>
      <c r="AB51" s="70">
        <v>0</v>
      </c>
      <c r="AC51" s="70"/>
      <c r="AD51" s="70">
        <v>0</v>
      </c>
      <c r="AE51" s="70">
        <v>0</v>
      </c>
      <c r="AF51" s="70"/>
      <c r="AG51" s="72">
        <f t="shared" ref="AG51:AG52" si="29">+C51+F51+I51+L51+O51+R51+U51+X51+AA51+AD51</f>
        <v>12612500</v>
      </c>
      <c r="AH51" s="72">
        <f t="shared" si="26"/>
        <v>9849360</v>
      </c>
      <c r="AI51" s="72">
        <f t="shared" si="27"/>
        <v>6718596</v>
      </c>
    </row>
    <row r="52" spans="1:36" s="75" customFormat="1" ht="12" x14ac:dyDescent="0.2">
      <c r="A52" s="80" t="s">
        <v>170</v>
      </c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>
        <v>12612500</v>
      </c>
      <c r="S52" s="82">
        <v>9849360</v>
      </c>
      <c r="T52" s="82">
        <v>6718596</v>
      </c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72">
        <f t="shared" si="29"/>
        <v>12612500</v>
      </c>
      <c r="AH52" s="72">
        <f t="shared" si="26"/>
        <v>9849360</v>
      </c>
      <c r="AI52" s="72">
        <f t="shared" si="27"/>
        <v>6718596</v>
      </c>
    </row>
    <row r="53" spans="1:36" s="75" customFormat="1" ht="12" x14ac:dyDescent="0.2">
      <c r="A53" s="80" t="s">
        <v>218</v>
      </c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>
        <v>680500</v>
      </c>
      <c r="T53" s="82">
        <v>680500</v>
      </c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72">
        <f t="shared" ref="AG53" si="30">+C53+F53+I53+L53+O53+R53+U53+X53+AA53+AD53</f>
        <v>0</v>
      </c>
      <c r="AH53" s="72">
        <f t="shared" ref="AH53" si="31">+D53+G53+J53+M53+P53+S53+V53+Y53+AB53+AE53</f>
        <v>680500</v>
      </c>
      <c r="AI53" s="72">
        <f t="shared" ref="AI53" si="32">+E53+H53+K53+N53+Q53+T53+W53+Z53+AC53+AF53</f>
        <v>680500</v>
      </c>
    </row>
    <row r="54" spans="1:36" s="75" customFormat="1" ht="12" x14ac:dyDescent="0.2">
      <c r="A54" s="76" t="s">
        <v>87</v>
      </c>
      <c r="B54" s="77">
        <v>4</v>
      </c>
      <c r="C54" s="78">
        <f>+C51</f>
        <v>0</v>
      </c>
      <c r="D54" s="78">
        <f>+D51</f>
        <v>0</v>
      </c>
      <c r="E54" s="78"/>
      <c r="F54" s="78">
        <v>0</v>
      </c>
      <c r="G54" s="78">
        <v>0</v>
      </c>
      <c r="H54" s="78"/>
      <c r="I54" s="78">
        <v>0</v>
      </c>
      <c r="J54" s="78">
        <v>0</v>
      </c>
      <c r="K54" s="78"/>
      <c r="L54" s="78">
        <v>0</v>
      </c>
      <c r="M54" s="78">
        <v>0</v>
      </c>
      <c r="N54" s="78"/>
      <c r="O54" s="78">
        <v>0</v>
      </c>
      <c r="P54" s="78">
        <v>0</v>
      </c>
      <c r="Q54" s="78"/>
      <c r="R54" s="78">
        <v>12612500</v>
      </c>
      <c r="S54" s="78">
        <f>+S51+S53</f>
        <v>10529860</v>
      </c>
      <c r="T54" s="78">
        <f>+T51+T53</f>
        <v>7399096</v>
      </c>
      <c r="U54" s="78">
        <v>0</v>
      </c>
      <c r="V54" s="78">
        <v>0</v>
      </c>
      <c r="W54" s="78"/>
      <c r="X54" s="78">
        <v>0</v>
      </c>
      <c r="Y54" s="78">
        <v>0</v>
      </c>
      <c r="Z54" s="78"/>
      <c r="AA54" s="78">
        <v>0</v>
      </c>
      <c r="AB54" s="78">
        <v>0</v>
      </c>
      <c r="AC54" s="78"/>
      <c r="AD54" s="78">
        <v>0</v>
      </c>
      <c r="AE54" s="78">
        <v>0</v>
      </c>
      <c r="AF54" s="78"/>
      <c r="AG54" s="79">
        <f>+C54+F54+I54+L54+O54+R54+U54+X54+AA54+AD54</f>
        <v>12612500</v>
      </c>
      <c r="AH54" s="79">
        <f t="shared" ref="AH54:AH60" si="33">+D54+G54+J54+M54+P54+S54+V54+Y54+AB54+AE54</f>
        <v>10529860</v>
      </c>
      <c r="AI54" s="79">
        <f t="shared" ref="AI54:AI56" si="34">+E54+H54+K54+N54+Q54+T54+W54+Z54+AC54+AF54</f>
        <v>7399096</v>
      </c>
    </row>
    <row r="55" spans="1:36" s="75" customFormat="1" ht="24" x14ac:dyDescent="0.2">
      <c r="A55" s="88" t="s">
        <v>196</v>
      </c>
      <c r="B55" s="69">
        <v>502</v>
      </c>
      <c r="C55" s="89">
        <v>1200000</v>
      </c>
      <c r="D55" s="89">
        <v>1075567</v>
      </c>
      <c r="E55" s="89">
        <v>1075567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72">
        <f t="shared" ref="AG55:AI61" si="35">+C55+F55+I55+L55+O55+R55+U55+X55+AA55+AD55</f>
        <v>1200000</v>
      </c>
      <c r="AH55" s="72">
        <f t="shared" si="33"/>
        <v>1075567</v>
      </c>
      <c r="AI55" s="72">
        <f t="shared" si="34"/>
        <v>1075567</v>
      </c>
    </row>
    <row r="56" spans="1:36" s="75" customFormat="1" ht="12" x14ac:dyDescent="0.2">
      <c r="A56" s="68" t="s">
        <v>86</v>
      </c>
      <c r="B56" s="69">
        <v>506</v>
      </c>
      <c r="C56" s="70">
        <f>+C57+C58+C59+C60</f>
        <v>0</v>
      </c>
      <c r="D56" s="70">
        <f>+D57+D58+D59+D60</f>
        <v>0</v>
      </c>
      <c r="E56" s="70"/>
      <c r="F56" s="70">
        <v>0</v>
      </c>
      <c r="G56" s="70">
        <v>0</v>
      </c>
      <c r="H56" s="70"/>
      <c r="I56" s="70">
        <v>0</v>
      </c>
      <c r="J56" s="70">
        <v>0</v>
      </c>
      <c r="K56" s="70"/>
      <c r="L56" s="70">
        <v>0</v>
      </c>
      <c r="M56" s="70">
        <v>0</v>
      </c>
      <c r="N56" s="70"/>
      <c r="O56" s="70"/>
      <c r="P56" s="70"/>
      <c r="Q56" s="70"/>
      <c r="R56" s="70">
        <v>1658520</v>
      </c>
      <c r="S56" s="70">
        <f>+S57+S58+S59+S60</f>
        <v>1158520</v>
      </c>
      <c r="T56" s="70">
        <f>+T57+T59+T60+T58</f>
        <v>1114317</v>
      </c>
      <c r="U56" s="70">
        <v>0</v>
      </c>
      <c r="V56" s="70">
        <v>0</v>
      </c>
      <c r="W56" s="70"/>
      <c r="X56" s="70">
        <v>0</v>
      </c>
      <c r="Y56" s="70">
        <v>0</v>
      </c>
      <c r="Z56" s="70"/>
      <c r="AA56" s="70">
        <v>0</v>
      </c>
      <c r="AB56" s="70">
        <v>0</v>
      </c>
      <c r="AC56" s="70"/>
      <c r="AD56" s="70">
        <v>0</v>
      </c>
      <c r="AE56" s="70">
        <v>0</v>
      </c>
      <c r="AF56" s="70"/>
      <c r="AG56" s="72">
        <f t="shared" si="35"/>
        <v>1658520</v>
      </c>
      <c r="AH56" s="72">
        <f t="shared" si="33"/>
        <v>1158520</v>
      </c>
      <c r="AI56" s="72">
        <f t="shared" si="34"/>
        <v>1114317</v>
      </c>
    </row>
    <row r="57" spans="1:36" s="75" customFormat="1" ht="24" x14ac:dyDescent="0.2">
      <c r="A57" s="90" t="s">
        <v>197</v>
      </c>
      <c r="B57" s="69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>
        <v>1340980</v>
      </c>
      <c r="S57" s="70">
        <f>1158520-225000-532968</f>
        <v>400552</v>
      </c>
      <c r="T57" s="70">
        <f>891488+172829-108770*2-532968</f>
        <v>313809</v>
      </c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2">
        <f t="shared" si="35"/>
        <v>1340980</v>
      </c>
      <c r="AH57" s="72">
        <f t="shared" si="33"/>
        <v>400552</v>
      </c>
      <c r="AI57" s="72">
        <f t="shared" ref="AI57:AI60" si="36">+E57+H57+K57+N57+Q57+T57+W57+Z57+AC57+AF57</f>
        <v>313809</v>
      </c>
    </row>
    <row r="58" spans="1:36" s="75" customFormat="1" ht="15" x14ac:dyDescent="0.25">
      <c r="A58" s="101" t="s">
        <v>221</v>
      </c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>
        <v>50000</v>
      </c>
      <c r="S58" s="70">
        <v>532968</v>
      </c>
      <c r="T58" s="70">
        <v>532968</v>
      </c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2">
        <f t="shared" si="35"/>
        <v>50000</v>
      </c>
      <c r="AH58" s="72">
        <f t="shared" si="33"/>
        <v>532968</v>
      </c>
      <c r="AI58" s="72">
        <f t="shared" si="36"/>
        <v>532968</v>
      </c>
    </row>
    <row r="59" spans="1:36" s="75" customFormat="1" ht="12" x14ac:dyDescent="0.2">
      <c r="A59" s="68" t="s">
        <v>171</v>
      </c>
      <c r="B59" s="69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>
        <v>217540</v>
      </c>
      <c r="S59" s="70">
        <v>175000</v>
      </c>
      <c r="T59" s="70">
        <f>108770*2</f>
        <v>217540</v>
      </c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2">
        <f t="shared" si="35"/>
        <v>217540</v>
      </c>
      <c r="AH59" s="72">
        <f t="shared" si="33"/>
        <v>175000</v>
      </c>
      <c r="AI59" s="72">
        <f t="shared" si="36"/>
        <v>217540</v>
      </c>
    </row>
    <row r="60" spans="1:36" s="75" customFormat="1" ht="12" x14ac:dyDescent="0.2">
      <c r="A60" s="68" t="s">
        <v>184</v>
      </c>
      <c r="B60" s="69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>
        <v>50000</v>
      </c>
      <c r="S60" s="70">
        <v>50000</v>
      </c>
      <c r="T60" s="70">
        <v>50000</v>
      </c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2">
        <f t="shared" si="35"/>
        <v>50000</v>
      </c>
      <c r="AH60" s="72">
        <f t="shared" si="33"/>
        <v>50000</v>
      </c>
      <c r="AI60" s="72">
        <f t="shared" si="36"/>
        <v>50000</v>
      </c>
    </row>
    <row r="61" spans="1:36" s="75" customFormat="1" ht="12" x14ac:dyDescent="0.2">
      <c r="A61" s="68" t="s">
        <v>180</v>
      </c>
      <c r="B61" s="69">
        <v>512</v>
      </c>
      <c r="C61" s="70">
        <v>17000</v>
      </c>
      <c r="D61" s="70">
        <v>17000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>
        <v>30000</v>
      </c>
      <c r="P61" s="70">
        <v>30000</v>
      </c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2">
        <f t="shared" si="35"/>
        <v>47000</v>
      </c>
      <c r="AH61" s="72">
        <f t="shared" si="35"/>
        <v>47000</v>
      </c>
      <c r="AI61" s="72">
        <f t="shared" si="35"/>
        <v>0</v>
      </c>
    </row>
    <row r="62" spans="1:36" s="75" customFormat="1" ht="12" x14ac:dyDescent="0.2">
      <c r="A62" s="68" t="s">
        <v>198</v>
      </c>
      <c r="B62" s="69">
        <v>513</v>
      </c>
      <c r="C62" s="70"/>
      <c r="D62" s="70">
        <v>3818156</v>
      </c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2">
        <f t="shared" ref="AG62" si="37">+C62+F62+I62+L62+O62+R62+U62+X62+AA62+AD62</f>
        <v>0</v>
      </c>
      <c r="AH62" s="72">
        <f t="shared" ref="AH62" si="38">+D62+G62+J62+M62+P62+S62+V62+Y62+AB62+AE62</f>
        <v>3818156</v>
      </c>
      <c r="AI62" s="72">
        <f t="shared" ref="AI62" si="39">+E62+H62+K62+N62+Q62+T62+W62+Z62+AC62+AF62</f>
        <v>0</v>
      </c>
    </row>
    <row r="63" spans="1:36" s="75" customFormat="1" ht="12" x14ac:dyDescent="0.2">
      <c r="A63" s="76" t="s">
        <v>172</v>
      </c>
      <c r="B63" s="77">
        <v>5</v>
      </c>
      <c r="C63" s="78">
        <f>+C55+C56+C61</f>
        <v>1217000</v>
      </c>
      <c r="D63" s="78">
        <f>+D55+D56+D61+D62</f>
        <v>4910723</v>
      </c>
      <c r="E63" s="78">
        <f>+E55+E56</f>
        <v>1075567</v>
      </c>
      <c r="F63" s="78">
        <v>0</v>
      </c>
      <c r="G63" s="78">
        <v>0</v>
      </c>
      <c r="H63" s="78"/>
      <c r="I63" s="78">
        <v>0</v>
      </c>
      <c r="J63" s="78">
        <v>0</v>
      </c>
      <c r="K63" s="78"/>
      <c r="L63" s="78">
        <v>0</v>
      </c>
      <c r="M63" s="78">
        <v>0</v>
      </c>
      <c r="N63" s="78"/>
      <c r="O63" s="78">
        <v>30000</v>
      </c>
      <c r="P63" s="78">
        <v>30000</v>
      </c>
      <c r="Q63" s="78"/>
      <c r="R63" s="78">
        <v>1658520</v>
      </c>
      <c r="S63" s="78">
        <f>+S56</f>
        <v>1158520</v>
      </c>
      <c r="T63" s="78">
        <f>+T56</f>
        <v>1114317</v>
      </c>
      <c r="U63" s="78">
        <v>0</v>
      </c>
      <c r="V63" s="78">
        <v>0</v>
      </c>
      <c r="W63" s="78"/>
      <c r="X63" s="78">
        <v>0</v>
      </c>
      <c r="Y63" s="78">
        <v>0</v>
      </c>
      <c r="Z63" s="78"/>
      <c r="AA63" s="78">
        <v>0</v>
      </c>
      <c r="AB63" s="78">
        <v>0</v>
      </c>
      <c r="AC63" s="78"/>
      <c r="AD63" s="78">
        <v>0</v>
      </c>
      <c r="AE63" s="78">
        <v>0</v>
      </c>
      <c r="AF63" s="78"/>
      <c r="AG63" s="79">
        <f>+C63+F63+I63+L63+O63+R63+U63+X63+AA63+AD63</f>
        <v>2905520</v>
      </c>
      <c r="AH63" s="79">
        <f t="shared" ref="AH63:AH65" si="40">+D63+G63+J63+M63+P63+S63+V63+Y63+AB63+AE63</f>
        <v>6099243</v>
      </c>
      <c r="AI63" s="79">
        <f t="shared" ref="AI63:AI65" si="41">+E63+H63+K63+N63+Q63+T63+W63+Z63+AC63+AF63</f>
        <v>2189884</v>
      </c>
    </row>
    <row r="64" spans="1:36" s="75" customFormat="1" ht="24" x14ac:dyDescent="0.2">
      <c r="A64" s="68" t="s">
        <v>173</v>
      </c>
      <c r="B64" s="69">
        <v>64</v>
      </c>
      <c r="C64" s="70"/>
      <c r="D64" s="70">
        <v>2000000</v>
      </c>
      <c r="E64" s="70">
        <f>89689+1800000</f>
        <v>1889689</v>
      </c>
      <c r="F64" s="70"/>
      <c r="G64" s="70">
        <v>635000</v>
      </c>
      <c r="H64" s="70">
        <v>631689</v>
      </c>
      <c r="I64" s="70"/>
      <c r="J64" s="70"/>
      <c r="K64" s="70"/>
      <c r="L64" s="70"/>
      <c r="M64" s="70">
        <v>13000</v>
      </c>
      <c r="N64" s="70">
        <v>12260</v>
      </c>
      <c r="O64" s="70"/>
      <c r="P64" s="70">
        <v>2000</v>
      </c>
      <c r="Q64" s="70">
        <v>1765</v>
      </c>
      <c r="R64" s="70"/>
      <c r="S64" s="70"/>
      <c r="T64" s="70"/>
      <c r="U64" s="70"/>
      <c r="V64" s="70"/>
      <c r="W64" s="70"/>
      <c r="X64" s="70"/>
      <c r="Y64" s="70">
        <v>300000</v>
      </c>
      <c r="Z64" s="70">
        <v>292400</v>
      </c>
      <c r="AA64" s="70">
        <v>500000</v>
      </c>
      <c r="AB64" s="70"/>
      <c r="AC64" s="70"/>
      <c r="AD64" s="70"/>
      <c r="AE64" s="70">
        <v>50000</v>
      </c>
      <c r="AF64" s="70">
        <v>29945</v>
      </c>
      <c r="AG64" s="72">
        <f t="shared" ref="AG64:AG65" si="42">+C64+F64+I64+L64+O64+R64+U64+X64+AA64+AD64</f>
        <v>500000</v>
      </c>
      <c r="AH64" s="72">
        <f t="shared" si="40"/>
        <v>3000000</v>
      </c>
      <c r="AI64" s="72">
        <f t="shared" si="41"/>
        <v>2857748</v>
      </c>
    </row>
    <row r="65" spans="1:35" s="75" customFormat="1" ht="12" x14ac:dyDescent="0.2">
      <c r="A65" s="68" t="s">
        <v>85</v>
      </c>
      <c r="B65" s="69">
        <v>67</v>
      </c>
      <c r="C65" s="70"/>
      <c r="D65" s="70">
        <f>+D64*0.27</f>
        <v>540000</v>
      </c>
      <c r="E65" s="70">
        <f>17471+486000</f>
        <v>503471</v>
      </c>
      <c r="F65" s="70"/>
      <c r="G65" s="70">
        <f>675000-633150</f>
        <v>41850</v>
      </c>
      <c r="H65" s="70">
        <v>26241</v>
      </c>
      <c r="I65" s="70"/>
      <c r="J65" s="70"/>
      <c r="K65" s="70"/>
      <c r="L65" s="70"/>
      <c r="M65" s="70">
        <f>+M64*0.27</f>
        <v>3510.0000000000005</v>
      </c>
      <c r="N65" s="70">
        <v>3310</v>
      </c>
      <c r="O65" s="70"/>
      <c r="P65" s="70">
        <f>+P64*0.27</f>
        <v>540</v>
      </c>
      <c r="Q65" s="70">
        <v>477</v>
      </c>
      <c r="R65" s="70"/>
      <c r="S65" s="70"/>
      <c r="T65" s="70"/>
      <c r="U65" s="70"/>
      <c r="V65" s="70"/>
      <c r="W65" s="70"/>
      <c r="X65" s="70"/>
      <c r="Y65" s="70">
        <f>+Y64*0.27</f>
        <v>81000</v>
      </c>
      <c r="Z65" s="70">
        <v>78948</v>
      </c>
      <c r="AA65" s="70">
        <v>135000</v>
      </c>
      <c r="AB65" s="70"/>
      <c r="AC65" s="70"/>
      <c r="AD65" s="70"/>
      <c r="AE65" s="70">
        <f>30000*0.27</f>
        <v>8100.0000000000009</v>
      </c>
      <c r="AF65" s="70">
        <v>2685</v>
      </c>
      <c r="AG65" s="72">
        <f t="shared" si="42"/>
        <v>135000</v>
      </c>
      <c r="AH65" s="72">
        <f t="shared" si="40"/>
        <v>675000</v>
      </c>
      <c r="AI65" s="72">
        <f t="shared" si="41"/>
        <v>615132</v>
      </c>
    </row>
    <row r="66" spans="1:35" s="75" customFormat="1" ht="12" x14ac:dyDescent="0.2">
      <c r="A66" s="76" t="s">
        <v>174</v>
      </c>
      <c r="B66" s="77">
        <v>6</v>
      </c>
      <c r="C66" s="78">
        <f>+C64+C65</f>
        <v>0</v>
      </c>
      <c r="D66" s="78">
        <f>+D64+D65</f>
        <v>2540000</v>
      </c>
      <c r="E66" s="78">
        <f>+E64+E65</f>
        <v>2393160</v>
      </c>
      <c r="F66" s="78">
        <v>0</v>
      </c>
      <c r="G66" s="78">
        <f>+G64+G65</f>
        <v>676850</v>
      </c>
      <c r="H66" s="78">
        <f>+H64+H65</f>
        <v>657930</v>
      </c>
      <c r="I66" s="78">
        <v>0</v>
      </c>
      <c r="J66" s="78">
        <v>0</v>
      </c>
      <c r="K66" s="78"/>
      <c r="L66" s="78">
        <v>0</v>
      </c>
      <c r="M66" s="78">
        <f>+M64+M65</f>
        <v>16510</v>
      </c>
      <c r="N66" s="78">
        <f>+N64+N65</f>
        <v>15570</v>
      </c>
      <c r="O66" s="78">
        <v>0</v>
      </c>
      <c r="P66" s="78">
        <f>+P64+P65</f>
        <v>2540</v>
      </c>
      <c r="Q66" s="78">
        <f>+Q64+Q65</f>
        <v>2242</v>
      </c>
      <c r="R66" s="78">
        <v>0</v>
      </c>
      <c r="S66" s="78">
        <v>0</v>
      </c>
      <c r="T66" s="78"/>
      <c r="U66" s="78">
        <v>0</v>
      </c>
      <c r="V66" s="78">
        <v>0</v>
      </c>
      <c r="W66" s="78"/>
      <c r="X66" s="78">
        <v>0</v>
      </c>
      <c r="Y66" s="78">
        <f>+Y64+Y65</f>
        <v>381000</v>
      </c>
      <c r="Z66" s="78">
        <f>+Z64+Z65</f>
        <v>371348</v>
      </c>
      <c r="AA66" s="78">
        <v>635000</v>
      </c>
      <c r="AB66" s="78"/>
      <c r="AC66" s="78"/>
      <c r="AD66" s="78">
        <v>0</v>
      </c>
      <c r="AE66" s="78">
        <f>+AE64+AE65</f>
        <v>58100</v>
      </c>
      <c r="AF66" s="78">
        <f>+AF64+AF65</f>
        <v>32630</v>
      </c>
      <c r="AG66" s="79">
        <f>+C66+F66+I66+L66+O66+R66+U66+X66+AA66+AD66</f>
        <v>635000</v>
      </c>
      <c r="AH66" s="79">
        <f t="shared" ref="AH66:AH68" si="43">+D66+G66+J66+M66+P66+S66+V66+Y66+AB66+AE66</f>
        <v>3675000</v>
      </c>
      <c r="AI66" s="79">
        <f t="shared" ref="AI66:AI68" si="44">+E66+H66+K66+N66+Q66+T66+W66+Z66+AC66+AF66</f>
        <v>3472880</v>
      </c>
    </row>
    <row r="67" spans="1:35" s="75" customFormat="1" ht="12" x14ac:dyDescent="0.2">
      <c r="A67" s="68" t="s">
        <v>72</v>
      </c>
      <c r="B67" s="69">
        <v>71</v>
      </c>
      <c r="C67" s="70">
        <v>1800000</v>
      </c>
      <c r="D67" s="70"/>
      <c r="E67" s="70"/>
      <c r="F67" s="70">
        <v>2500000</v>
      </c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>
        <v>157480</v>
      </c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2">
        <f t="shared" ref="AG67:AG70" si="45">+C67+F67+I67+L67+O67+R67+U67+X67+AA67+AD67</f>
        <v>4457480</v>
      </c>
      <c r="AH67" s="72">
        <f t="shared" si="43"/>
        <v>0</v>
      </c>
      <c r="AI67" s="72">
        <f t="shared" si="44"/>
        <v>0</v>
      </c>
    </row>
    <row r="68" spans="1:35" s="75" customFormat="1" ht="12" x14ac:dyDescent="0.2">
      <c r="A68" s="68" t="s">
        <v>84</v>
      </c>
      <c r="B68" s="69">
        <v>74</v>
      </c>
      <c r="C68" s="70">
        <v>486000</v>
      </c>
      <c r="D68" s="70"/>
      <c r="E68" s="70"/>
      <c r="F68" s="70">
        <v>675000</v>
      </c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>
        <v>42520</v>
      </c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2">
        <f t="shared" si="45"/>
        <v>1203520</v>
      </c>
      <c r="AH68" s="72">
        <f t="shared" si="43"/>
        <v>0</v>
      </c>
      <c r="AI68" s="72">
        <f t="shared" si="44"/>
        <v>0</v>
      </c>
    </row>
    <row r="69" spans="1:35" s="75" customFormat="1" ht="12" x14ac:dyDescent="0.2">
      <c r="A69" s="76" t="s">
        <v>175</v>
      </c>
      <c r="B69" s="77">
        <v>7</v>
      </c>
      <c r="C69" s="78">
        <f>+C67+C68</f>
        <v>2286000</v>
      </c>
      <c r="D69" s="78">
        <f>+D67+D68</f>
        <v>0</v>
      </c>
      <c r="E69" s="78"/>
      <c r="F69" s="78">
        <v>3175000</v>
      </c>
      <c r="G69" s="78"/>
      <c r="H69" s="78"/>
      <c r="I69" s="78">
        <v>0</v>
      </c>
      <c r="J69" s="78">
        <v>0</v>
      </c>
      <c r="K69" s="78"/>
      <c r="L69" s="78">
        <v>0</v>
      </c>
      <c r="M69" s="78">
        <v>0</v>
      </c>
      <c r="N69" s="78"/>
      <c r="O69" s="78">
        <v>0</v>
      </c>
      <c r="P69" s="78">
        <v>0</v>
      </c>
      <c r="Q69" s="78"/>
      <c r="R69" s="78">
        <v>0</v>
      </c>
      <c r="S69" s="78">
        <v>0</v>
      </c>
      <c r="T69" s="78"/>
      <c r="U69" s="78">
        <v>200000</v>
      </c>
      <c r="V69" s="78"/>
      <c r="W69" s="78"/>
      <c r="X69" s="78">
        <v>0</v>
      </c>
      <c r="Y69" s="78">
        <v>0</v>
      </c>
      <c r="Z69" s="78"/>
      <c r="AA69" s="78">
        <v>0</v>
      </c>
      <c r="AB69" s="78">
        <v>0</v>
      </c>
      <c r="AC69" s="78"/>
      <c r="AD69" s="78">
        <v>0</v>
      </c>
      <c r="AE69" s="78">
        <v>0</v>
      </c>
      <c r="AF69" s="78"/>
      <c r="AG69" s="79">
        <f t="shared" si="45"/>
        <v>5661000</v>
      </c>
      <c r="AH69" s="79">
        <f t="shared" ref="AH69:AH70" si="46">+D69+G69+J69+M69+P69+S69+V69+Y69+AB69+AE69</f>
        <v>0</v>
      </c>
      <c r="AI69" s="79">
        <f t="shared" ref="AI69:AI70" si="47">+E69+H69+K69+N69+Q69+T69+W69+Z69+AC69+AF69</f>
        <v>0</v>
      </c>
    </row>
    <row r="70" spans="1:35" s="75" customFormat="1" ht="12" x14ac:dyDescent="0.2">
      <c r="A70" s="76" t="s">
        <v>198</v>
      </c>
      <c r="B70" s="77">
        <v>8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9">
        <f t="shared" si="45"/>
        <v>0</v>
      </c>
      <c r="AH70" s="79">
        <f t="shared" si="46"/>
        <v>0</v>
      </c>
      <c r="AI70" s="79">
        <f t="shared" si="47"/>
        <v>0</v>
      </c>
    </row>
    <row r="71" spans="1:35" s="75" customFormat="1" ht="12" x14ac:dyDescent="0.2">
      <c r="A71" s="76" t="s">
        <v>216</v>
      </c>
      <c r="B71" s="77"/>
      <c r="C71" s="78"/>
      <c r="D71" s="78">
        <v>1129792</v>
      </c>
      <c r="E71" s="78">
        <v>1129792</v>
      </c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9">
        <f t="shared" ref="AG71" si="48">+C71+F71+I71+L71+O71+R71+U71+X71+AA71+AD71</f>
        <v>0</v>
      </c>
      <c r="AH71" s="79">
        <f t="shared" ref="AH71" si="49">+D71+G71+J71+M71+P71+S71+V71+Y71+AB71+AE71</f>
        <v>1129792</v>
      </c>
      <c r="AI71" s="79">
        <f t="shared" ref="AI71" si="50">+E71+H71+K71+N71+Q71+T71+W71+Z71+AC71+AF71</f>
        <v>1129792</v>
      </c>
    </row>
    <row r="72" spans="1:35" s="75" customFormat="1" ht="19.5" customHeight="1" x14ac:dyDescent="0.2">
      <c r="A72" s="91" t="s">
        <v>176</v>
      </c>
      <c r="B72" s="92" t="s">
        <v>83</v>
      </c>
      <c r="C72" s="93">
        <f t="shared" ref="C72:D72" si="51">+C50+C54+C63+C66+C69+C70+C18+C17+C71</f>
        <v>12177660</v>
      </c>
      <c r="D72" s="93">
        <f t="shared" si="51"/>
        <v>18187690</v>
      </c>
      <c r="E72" s="93">
        <f>+E50+E54+E63+E66+E69+E70+E18+E17+E71</f>
        <v>14046760</v>
      </c>
      <c r="F72" s="93">
        <f t="shared" ref="F72:AF72" si="52">+F50+F54+F63+F66+F69+F70+F18+F17+F71</f>
        <v>6393000</v>
      </c>
      <c r="G72" s="93">
        <f t="shared" si="52"/>
        <v>1435400</v>
      </c>
      <c r="H72" s="93">
        <f t="shared" si="52"/>
        <v>1399345</v>
      </c>
      <c r="I72" s="93">
        <f t="shared" si="52"/>
        <v>864000</v>
      </c>
      <c r="J72" s="93">
        <f t="shared" si="52"/>
        <v>2173235</v>
      </c>
      <c r="K72" s="93">
        <f t="shared" si="52"/>
        <v>482208</v>
      </c>
      <c r="L72" s="93">
        <f t="shared" si="52"/>
        <v>279400</v>
      </c>
      <c r="M72" s="93">
        <f t="shared" si="52"/>
        <v>284910</v>
      </c>
      <c r="N72" s="93">
        <f t="shared" si="52"/>
        <v>236327</v>
      </c>
      <c r="O72" s="93">
        <f t="shared" si="52"/>
        <v>3403760</v>
      </c>
      <c r="P72" s="93">
        <f t="shared" si="52"/>
        <v>3745150</v>
      </c>
      <c r="Q72" s="93">
        <f t="shared" si="52"/>
        <v>3671798</v>
      </c>
      <c r="R72" s="93">
        <f t="shared" si="52"/>
        <v>14271020</v>
      </c>
      <c r="S72" s="93">
        <f t="shared" si="52"/>
        <v>16301380</v>
      </c>
      <c r="T72" s="93">
        <f t="shared" si="52"/>
        <v>13115481</v>
      </c>
      <c r="U72" s="93">
        <f t="shared" si="52"/>
        <v>355000</v>
      </c>
      <c r="V72" s="93">
        <f t="shared" si="52"/>
        <v>4000</v>
      </c>
      <c r="W72" s="93">
        <f t="shared" si="52"/>
        <v>2675</v>
      </c>
      <c r="X72" s="93">
        <f t="shared" si="52"/>
        <v>20086962</v>
      </c>
      <c r="Y72" s="93">
        <f t="shared" si="52"/>
        <v>19411880</v>
      </c>
      <c r="Z72" s="93">
        <f t="shared" si="52"/>
        <v>18597185</v>
      </c>
      <c r="AA72" s="93">
        <f t="shared" si="52"/>
        <v>1309332</v>
      </c>
      <c r="AB72" s="93">
        <f t="shared" si="52"/>
        <v>575658</v>
      </c>
      <c r="AC72" s="93">
        <f t="shared" si="52"/>
        <v>469931</v>
      </c>
      <c r="AD72" s="93">
        <f t="shared" si="52"/>
        <v>3934702</v>
      </c>
      <c r="AE72" s="93">
        <f t="shared" si="52"/>
        <v>7089622</v>
      </c>
      <c r="AF72" s="93">
        <f t="shared" si="52"/>
        <v>7063434</v>
      </c>
      <c r="AG72" s="93">
        <f>+C72+F72+I72+L72+O72+R72+U72+X72+AA72+AD72</f>
        <v>63074836</v>
      </c>
      <c r="AH72" s="93">
        <f>+D72+G72+J72+M72+P72+S72+V72+Y72+AB72+AE72</f>
        <v>69208925</v>
      </c>
      <c r="AI72" s="93">
        <f>+E72+H72+K72+N72+Q72+T72+W72+Z72+AC72+AF72</f>
        <v>59085144</v>
      </c>
    </row>
    <row r="73" spans="1:35" x14ac:dyDescent="0.2">
      <c r="E73" s="20">
        <v>9555401</v>
      </c>
      <c r="T73" s="19">
        <v>1114317</v>
      </c>
    </row>
    <row r="74" spans="1:35" x14ac:dyDescent="0.2">
      <c r="E74" s="20">
        <v>2205359</v>
      </c>
      <c r="T74" s="19">
        <v>680500</v>
      </c>
    </row>
    <row r="75" spans="1:35" x14ac:dyDescent="0.2">
      <c r="E75" s="20">
        <v>2286000</v>
      </c>
      <c r="T75" s="19">
        <v>11320664</v>
      </c>
    </row>
    <row r="76" spans="1:35" x14ac:dyDescent="0.2">
      <c r="T76" s="19">
        <f>SUM(T73:T75)</f>
        <v>13115481</v>
      </c>
    </row>
    <row r="78" spans="1:35" x14ac:dyDescent="0.2">
      <c r="E78" s="20">
        <f>SUM(E73:E77)</f>
        <v>14046760</v>
      </c>
    </row>
  </sheetData>
  <mergeCells count="36">
    <mergeCell ref="A1:AI1"/>
    <mergeCell ref="A2:AI2"/>
    <mergeCell ref="A3:AI3"/>
    <mergeCell ref="I7:K7"/>
    <mergeCell ref="L5:N5"/>
    <mergeCell ref="L6:N6"/>
    <mergeCell ref="L7:N7"/>
    <mergeCell ref="AG5:AI7"/>
    <mergeCell ref="AA5:AC5"/>
    <mergeCell ref="AA6:AC6"/>
    <mergeCell ref="AA7:AC7"/>
    <mergeCell ref="AD5:AF5"/>
    <mergeCell ref="AD6:AF6"/>
    <mergeCell ref="AD7:AF7"/>
    <mergeCell ref="U5:W5"/>
    <mergeCell ref="U6:W6"/>
    <mergeCell ref="U7:W7"/>
    <mergeCell ref="X5:Z5"/>
    <mergeCell ref="X6:Z6"/>
    <mergeCell ref="X7:Z7"/>
    <mergeCell ref="O7:Q7"/>
    <mergeCell ref="R5:T5"/>
    <mergeCell ref="R6:T6"/>
    <mergeCell ref="R7:T7"/>
    <mergeCell ref="O5:Q5"/>
    <mergeCell ref="O6:Q6"/>
    <mergeCell ref="A5:A8"/>
    <mergeCell ref="B5:B8"/>
    <mergeCell ref="C5:E5"/>
    <mergeCell ref="C6:E6"/>
    <mergeCell ref="C7:E7"/>
    <mergeCell ref="F5:H5"/>
    <mergeCell ref="F6:H6"/>
    <mergeCell ref="F7:H7"/>
    <mergeCell ref="I5:K5"/>
    <mergeCell ref="I6:K6"/>
  </mergeCells>
  <pageMargins left="0.78740157480314965" right="0.39370078740157483" top="7.874015748031496E-2" bottom="0.39370078740157483" header="0.51181102362204722" footer="0.51181102362204722"/>
  <pageSetup paperSize="8" scale="44" orientation="landscape" blackAndWhite="1" r:id="rId1"/>
  <headerFooter alignWithMargins="0"/>
  <colBreaks count="1" manualBreakCount="1">
    <brk id="3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A3" sqref="A3:E3"/>
    </sheetView>
  </sheetViews>
  <sheetFormatPr defaultRowHeight="15" x14ac:dyDescent="0.25"/>
  <cols>
    <col min="1" max="1" width="2" customWidth="1"/>
    <col min="2" max="2" width="47.85546875" customWidth="1"/>
    <col min="3" max="3" width="15.28515625" customWidth="1"/>
    <col min="4" max="4" width="12.7109375" customWidth="1"/>
    <col min="5" max="5" width="12.42578125" customWidth="1"/>
  </cols>
  <sheetData>
    <row r="1" spans="1:5" ht="18.75" x14ac:dyDescent="0.3">
      <c r="A1" s="585" t="s">
        <v>440</v>
      </c>
      <c r="B1" s="585"/>
      <c r="C1" s="585"/>
      <c r="D1" s="585"/>
      <c r="E1" s="585"/>
    </row>
    <row r="2" spans="1:5" x14ac:dyDescent="0.25">
      <c r="A2" s="587" t="str">
        <f>+'3.bevétel-kiadás'!A2:F2</f>
        <v xml:space="preserve">4/2020. (VI.18.)zárszámadási rendelet </v>
      </c>
      <c r="B2" s="587"/>
      <c r="C2" s="587"/>
      <c r="D2" s="587"/>
      <c r="E2" s="587"/>
    </row>
    <row r="3" spans="1:5" x14ac:dyDescent="0.25">
      <c r="A3" s="590" t="s">
        <v>362</v>
      </c>
      <c r="B3" s="590"/>
      <c r="C3" s="590"/>
      <c r="D3" s="590"/>
      <c r="E3" s="590"/>
    </row>
    <row r="5" spans="1:5" x14ac:dyDescent="0.25">
      <c r="A5" s="586" t="s">
        <v>363</v>
      </c>
      <c r="B5" s="586"/>
      <c r="C5" s="586"/>
      <c r="D5" s="586"/>
      <c r="E5" s="586"/>
    </row>
    <row r="6" spans="1:5" ht="15.75" thickBot="1" x14ac:dyDescent="0.3">
      <c r="A6" s="587"/>
      <c r="B6" s="587"/>
      <c r="C6" s="587"/>
      <c r="D6" s="587"/>
      <c r="E6" s="587"/>
    </row>
    <row r="7" spans="1:5" ht="15.75" thickBot="1" x14ac:dyDescent="0.3">
      <c r="A7" s="259" t="s">
        <v>8</v>
      </c>
      <c r="B7" s="260"/>
      <c r="C7" s="261">
        <v>2019</v>
      </c>
      <c r="D7" s="261">
        <v>2020</v>
      </c>
      <c r="E7" s="262">
        <v>2021</v>
      </c>
    </row>
    <row r="8" spans="1:5" x14ac:dyDescent="0.25">
      <c r="A8" s="263" t="s">
        <v>364</v>
      </c>
      <c r="B8" s="264"/>
      <c r="C8" s="265"/>
      <c r="D8" s="265"/>
      <c r="E8" s="266"/>
    </row>
    <row r="9" spans="1:5" x14ac:dyDescent="0.25">
      <c r="A9" s="267"/>
      <c r="B9" s="268" t="s">
        <v>365</v>
      </c>
      <c r="C9" s="269">
        <f>+'3.bevétel-kiadás'!E10</f>
        <v>162626</v>
      </c>
      <c r="D9" s="269">
        <v>150000</v>
      </c>
      <c r="E9" s="270">
        <v>150000</v>
      </c>
    </row>
    <row r="10" spans="1:5" x14ac:dyDescent="0.25">
      <c r="A10" s="267"/>
      <c r="B10" s="271" t="s">
        <v>366</v>
      </c>
      <c r="C10" s="269">
        <f>+'3.bevétel-kiadás'!E12</f>
        <v>905132</v>
      </c>
      <c r="D10" s="269">
        <v>1450000</v>
      </c>
      <c r="E10" s="270">
        <v>1500000</v>
      </c>
    </row>
    <row r="11" spans="1:5" x14ac:dyDescent="0.25">
      <c r="A11" s="267"/>
      <c r="B11" s="271" t="s">
        <v>367</v>
      </c>
      <c r="C11" s="269">
        <f>+'3.bevétel-kiadás'!E14</f>
        <v>1834</v>
      </c>
      <c r="D11" s="269">
        <f t="shared" ref="D11:E25" si="0">(C11*15%)+C11</f>
        <v>2109.1</v>
      </c>
      <c r="E11" s="270">
        <f t="shared" si="0"/>
        <v>2425.4649999999997</v>
      </c>
    </row>
    <row r="12" spans="1:5" x14ac:dyDescent="0.25">
      <c r="A12" s="267"/>
      <c r="B12" s="271" t="s">
        <v>368</v>
      </c>
      <c r="C12" s="269">
        <f>+'3.bevétel-kiadás'!E13</f>
        <v>301945</v>
      </c>
      <c r="D12" s="269"/>
      <c r="E12" s="270"/>
    </row>
    <row r="13" spans="1:5" x14ac:dyDescent="0.25">
      <c r="A13" s="267"/>
      <c r="B13" s="271" t="s">
        <v>369</v>
      </c>
      <c r="C13" s="269">
        <f>+'3.bevétel-kiadás'!E20</f>
        <v>31750503</v>
      </c>
      <c r="D13" s="269">
        <f>(C13*5%)+C13</f>
        <v>33338028.149999999</v>
      </c>
      <c r="E13" s="270">
        <f>(D13*5%)+D13</f>
        <v>35004929.557499997</v>
      </c>
    </row>
    <row r="14" spans="1:5" x14ac:dyDescent="0.25">
      <c r="A14" s="267"/>
      <c r="B14" s="271" t="s">
        <v>370</v>
      </c>
      <c r="C14" s="269">
        <f>+'3.bevétel-kiadás'!E28</f>
        <v>22619722</v>
      </c>
      <c r="D14" s="269">
        <f>(C14*5%)+C14</f>
        <v>23750708.100000001</v>
      </c>
      <c r="E14" s="270">
        <f>(D14*5%)+D14</f>
        <v>24938243.505000003</v>
      </c>
    </row>
    <row r="15" spans="1:5" x14ac:dyDescent="0.25">
      <c r="A15" s="267"/>
      <c r="B15" s="268" t="s">
        <v>371</v>
      </c>
      <c r="C15" s="269"/>
      <c r="D15" s="269">
        <f t="shared" si="0"/>
        <v>0</v>
      </c>
      <c r="E15" s="270">
        <f t="shared" si="0"/>
        <v>0</v>
      </c>
    </row>
    <row r="16" spans="1:5" x14ac:dyDescent="0.25">
      <c r="A16" s="267"/>
      <c r="B16" s="268" t="s">
        <v>372</v>
      </c>
      <c r="C16" s="269">
        <f>+'3.bevétel-kiadás'!E33</f>
        <v>300000</v>
      </c>
      <c r="D16" s="269"/>
      <c r="E16" s="270">
        <v>300000</v>
      </c>
    </row>
    <row r="17" spans="1:5" x14ac:dyDescent="0.25">
      <c r="A17" s="267"/>
      <c r="B17" s="271" t="s">
        <v>373</v>
      </c>
      <c r="C17" s="269">
        <f>+'3.bevétel-kiadás'!E45</f>
        <v>10725708</v>
      </c>
      <c r="D17" s="269">
        <f>+C44-C45</f>
        <v>11238760</v>
      </c>
      <c r="E17" s="270">
        <f>+D44-D45</f>
        <v>4.9999997019767761E-2</v>
      </c>
    </row>
    <row r="18" spans="1:5" x14ac:dyDescent="0.25">
      <c r="A18" s="267"/>
      <c r="B18" s="268" t="s">
        <v>321</v>
      </c>
      <c r="C18" s="269">
        <f>+'3.bevétel-kiadás'!E48</f>
        <v>1184836</v>
      </c>
      <c r="D18" s="269">
        <f t="shared" si="0"/>
        <v>1362561.4</v>
      </c>
      <c r="E18" s="270">
        <f>(D18*5%)+D18</f>
        <v>1430689.47</v>
      </c>
    </row>
    <row r="19" spans="1:5" x14ac:dyDescent="0.25">
      <c r="A19" s="272"/>
      <c r="B19" s="273" t="s">
        <v>374</v>
      </c>
      <c r="C19" s="274">
        <f>SUM(C9:C18)</f>
        <v>67952306</v>
      </c>
      <c r="D19" s="274">
        <f>SUM(D9:D18)</f>
        <v>71292166.75</v>
      </c>
      <c r="E19" s="275">
        <f>SUM(E9:E18)</f>
        <v>63326288.047499999</v>
      </c>
    </row>
    <row r="20" spans="1:5" x14ac:dyDescent="0.25">
      <c r="A20" s="276" t="s">
        <v>375</v>
      </c>
      <c r="B20" s="277"/>
      <c r="C20" s="269"/>
      <c r="D20" s="269">
        <f t="shared" si="0"/>
        <v>0</v>
      </c>
      <c r="E20" s="270">
        <f t="shared" si="0"/>
        <v>0</v>
      </c>
    </row>
    <row r="21" spans="1:5" x14ac:dyDescent="0.25">
      <c r="A21" s="267"/>
      <c r="B21" s="271" t="s">
        <v>376</v>
      </c>
      <c r="C21" s="269">
        <f>+'3.bevétel-kiadás'!E60</f>
        <v>23950858</v>
      </c>
      <c r="D21" s="269">
        <f>(C21*20%)+C21</f>
        <v>28741029.600000001</v>
      </c>
      <c r="E21" s="270">
        <f>(D21*2%)+D21-2200000</f>
        <v>27115850.192000002</v>
      </c>
    </row>
    <row r="22" spans="1:5" x14ac:dyDescent="0.25">
      <c r="A22" s="267"/>
      <c r="B22" s="271" t="s">
        <v>377</v>
      </c>
      <c r="C22" s="269">
        <f>+'3.bevétel-kiadás'!E61</f>
        <v>3110880</v>
      </c>
      <c r="D22" s="269">
        <f t="shared" si="0"/>
        <v>3577512</v>
      </c>
      <c r="E22" s="270">
        <f>(D22*5%)+D22-500000</f>
        <v>3256387.6</v>
      </c>
    </row>
    <row r="23" spans="1:5" x14ac:dyDescent="0.25">
      <c r="A23" s="267"/>
      <c r="B23" s="271" t="s">
        <v>38</v>
      </c>
      <c r="C23" s="269">
        <f>+'3.bevétel-kiadás'!E62</f>
        <v>17831754</v>
      </c>
      <c r="D23" s="269">
        <f t="shared" si="0"/>
        <v>20506517.100000001</v>
      </c>
      <c r="E23" s="270">
        <f>(D23*5%)+D23-1000000</f>
        <v>20531842.955000002</v>
      </c>
    </row>
    <row r="24" spans="1:5" x14ac:dyDescent="0.25">
      <c r="A24" s="267"/>
      <c r="B24" s="268" t="s">
        <v>378</v>
      </c>
      <c r="C24" s="269">
        <f>+'3.bevétel-kiadás'!E63</f>
        <v>2189884</v>
      </c>
      <c r="D24" s="269">
        <f t="shared" si="0"/>
        <v>2518366.6</v>
      </c>
      <c r="E24" s="270">
        <f>(D24*5%)+D24</f>
        <v>2644284.9300000002</v>
      </c>
    </row>
    <row r="25" spans="1:5" x14ac:dyDescent="0.25">
      <c r="A25" s="267"/>
      <c r="B25" s="268" t="s">
        <v>379</v>
      </c>
      <c r="C25" s="269">
        <f>+'3.bevétel-kiadás'!E64</f>
        <v>0</v>
      </c>
      <c r="D25" s="269">
        <f t="shared" si="0"/>
        <v>0</v>
      </c>
      <c r="E25" s="270">
        <f>(D25*5%)+D25</f>
        <v>0</v>
      </c>
    </row>
    <row r="26" spans="1:5" x14ac:dyDescent="0.25">
      <c r="A26" s="267"/>
      <c r="B26" s="271" t="s">
        <v>380</v>
      </c>
      <c r="C26" s="269">
        <f>+'3.bevétel-kiadás'!E65</f>
        <v>7399096</v>
      </c>
      <c r="D26" s="269">
        <f>(C26*15%)+C26</f>
        <v>8508960.4000000004</v>
      </c>
      <c r="E26" s="270">
        <f>(D26*5%)+D26-400000</f>
        <v>8534408.4199999999</v>
      </c>
    </row>
    <row r="27" spans="1:5" x14ac:dyDescent="0.25">
      <c r="A27" s="267"/>
      <c r="B27" s="271" t="s">
        <v>381</v>
      </c>
      <c r="C27" s="269"/>
      <c r="D27" s="269">
        <f>(C27*15%)+C27</f>
        <v>0</v>
      </c>
      <c r="E27" s="270">
        <f>(D27*15%)+D27</f>
        <v>0</v>
      </c>
    </row>
    <row r="28" spans="1:5" x14ac:dyDescent="0.25">
      <c r="A28" s="267"/>
      <c r="B28" s="268" t="s">
        <v>382</v>
      </c>
      <c r="C28" s="269">
        <f>+'3.bevétel-kiadás'!E83</f>
        <v>1129792</v>
      </c>
      <c r="D28" s="269">
        <v>1129792</v>
      </c>
      <c r="E28" s="270">
        <f>(D28*15%)+D28-80000+24253</f>
        <v>1243513.8</v>
      </c>
    </row>
    <row r="29" spans="1:5" ht="15.75" thickBot="1" x14ac:dyDescent="0.3">
      <c r="A29" s="278"/>
      <c r="B29" s="279" t="s">
        <v>383</v>
      </c>
      <c r="C29" s="280">
        <f>SUM(C21:C28)</f>
        <v>55612264</v>
      </c>
      <c r="D29" s="280">
        <f>SUM(D21:D28)</f>
        <v>64982177.700000003</v>
      </c>
      <c r="E29" s="281">
        <f>SUM(E21:E28)</f>
        <v>63326287.897000007</v>
      </c>
    </row>
    <row r="30" spans="1:5" x14ac:dyDescent="0.25">
      <c r="A30" s="276" t="s">
        <v>384</v>
      </c>
      <c r="B30" s="271"/>
      <c r="C30" s="269"/>
      <c r="D30" s="269"/>
      <c r="E30" s="282"/>
    </row>
    <row r="31" spans="1:5" x14ac:dyDescent="0.25">
      <c r="A31" s="267"/>
      <c r="B31" s="271" t="s">
        <v>385</v>
      </c>
      <c r="C31" s="269"/>
      <c r="D31" s="269"/>
      <c r="E31" s="282"/>
    </row>
    <row r="32" spans="1:5" x14ac:dyDescent="0.25">
      <c r="A32" s="267"/>
      <c r="B32" s="271" t="s">
        <v>386</v>
      </c>
      <c r="C32" s="269">
        <f>+'3.bevétel-kiadás'!E30</f>
        <v>2371598</v>
      </c>
      <c r="D32" s="269"/>
      <c r="E32" s="282"/>
    </row>
    <row r="33" spans="1:5" x14ac:dyDescent="0.25">
      <c r="A33" s="267"/>
      <c r="B33" s="271" t="s">
        <v>387</v>
      </c>
      <c r="C33" s="269"/>
      <c r="D33" s="269">
        <v>6000000</v>
      </c>
      <c r="E33" s="282"/>
    </row>
    <row r="34" spans="1:5" x14ac:dyDescent="0.25">
      <c r="A34" s="267"/>
      <c r="B34" s="271" t="s">
        <v>388</v>
      </c>
      <c r="C34" s="269"/>
      <c r="D34" s="269"/>
      <c r="E34" s="282"/>
    </row>
    <row r="35" spans="1:5" ht="15.75" thickBot="1" x14ac:dyDescent="0.3">
      <c r="A35" s="272"/>
      <c r="B35" s="283" t="s">
        <v>389</v>
      </c>
      <c r="C35" s="280">
        <f>SUM(C30:C34)</f>
        <v>2371598</v>
      </c>
      <c r="D35" s="280">
        <f>SUM(D30:D34)</f>
        <v>6000000</v>
      </c>
      <c r="E35" s="281">
        <f>SUM(E30:E34)</f>
        <v>0</v>
      </c>
    </row>
    <row r="36" spans="1:5" x14ac:dyDescent="0.25">
      <c r="A36" s="276" t="s">
        <v>390</v>
      </c>
      <c r="B36" s="277"/>
      <c r="C36" s="269"/>
      <c r="D36" s="269"/>
      <c r="E36" s="282"/>
    </row>
    <row r="37" spans="1:5" x14ac:dyDescent="0.25">
      <c r="A37" s="276"/>
      <c r="B37" s="284" t="s">
        <v>391</v>
      </c>
      <c r="C37" s="269"/>
      <c r="D37" s="269"/>
      <c r="E37" s="282"/>
    </row>
    <row r="38" spans="1:5" x14ac:dyDescent="0.25">
      <c r="A38" s="276"/>
      <c r="B38" s="284" t="s">
        <v>392</v>
      </c>
      <c r="C38" s="269"/>
      <c r="D38" s="269"/>
      <c r="E38" s="282"/>
    </row>
    <row r="39" spans="1:5" x14ac:dyDescent="0.25">
      <c r="A39" s="267"/>
      <c r="B39" s="271" t="s">
        <v>393</v>
      </c>
      <c r="C39" s="269"/>
      <c r="D39" s="269"/>
      <c r="E39" s="282"/>
    </row>
    <row r="40" spans="1:5" x14ac:dyDescent="0.25">
      <c r="A40" s="267"/>
      <c r="B40" s="268" t="s">
        <v>394</v>
      </c>
      <c r="C40" s="269">
        <f>+'3.bevétel-kiadás'!E69</f>
        <v>3472880</v>
      </c>
      <c r="D40" s="269">
        <f>77292167-64982178-2000000</f>
        <v>10309989</v>
      </c>
      <c r="E40" s="282"/>
    </row>
    <row r="41" spans="1:5" x14ac:dyDescent="0.25">
      <c r="A41" s="267"/>
      <c r="B41" s="271" t="s">
        <v>395</v>
      </c>
      <c r="C41" s="269"/>
      <c r="D41" s="269">
        <v>2000000</v>
      </c>
      <c r="E41" s="282"/>
    </row>
    <row r="42" spans="1:5" x14ac:dyDescent="0.25">
      <c r="A42" s="267"/>
      <c r="B42" s="271" t="s">
        <v>396</v>
      </c>
      <c r="C42" s="269"/>
      <c r="D42" s="269"/>
      <c r="E42" s="282"/>
    </row>
    <row r="43" spans="1:5" ht="15.75" thickBot="1" x14ac:dyDescent="0.3">
      <c r="A43" s="285"/>
      <c r="B43" s="286" t="s">
        <v>397</v>
      </c>
      <c r="C43" s="287">
        <f>SUM(C37:C42)</f>
        <v>3472880</v>
      </c>
      <c r="D43" s="287">
        <f>SUM(D37:D42)</f>
        <v>12309989</v>
      </c>
      <c r="E43" s="288">
        <f>SUM(E37:E42)</f>
        <v>0</v>
      </c>
    </row>
    <row r="44" spans="1:5" ht="16.5" thickBot="1" x14ac:dyDescent="0.3">
      <c r="A44" s="588" t="s">
        <v>398</v>
      </c>
      <c r="B44" s="589"/>
      <c r="C44" s="289">
        <f>SUM(C19,C35)</f>
        <v>70323904</v>
      </c>
      <c r="D44" s="289">
        <f>SUM(D19,D35)</f>
        <v>77292166.75</v>
      </c>
      <c r="E44" s="290">
        <f>SUM(E19,E35)</f>
        <v>63326288.047499999</v>
      </c>
    </row>
    <row r="45" spans="1:5" ht="16.5" thickBot="1" x14ac:dyDescent="0.3">
      <c r="A45" s="588" t="s">
        <v>399</v>
      </c>
      <c r="B45" s="589"/>
      <c r="C45" s="289">
        <f>SUM(C29,C43)</f>
        <v>59085144</v>
      </c>
      <c r="D45" s="289">
        <f>SUM(D29,D43)</f>
        <v>77292166.700000003</v>
      </c>
      <c r="E45" s="290">
        <f>SUM(E29,E43)</f>
        <v>63326287.897000007</v>
      </c>
    </row>
  </sheetData>
  <mergeCells count="7">
    <mergeCell ref="A1:E1"/>
    <mergeCell ref="A5:E5"/>
    <mergeCell ref="A6:E6"/>
    <mergeCell ref="A44:B44"/>
    <mergeCell ref="A45:B45"/>
    <mergeCell ref="A2:E2"/>
    <mergeCell ref="A3:E3"/>
  </mergeCells>
  <pageMargins left="0.7" right="0.7" top="0.75" bottom="0.75" header="0.3" footer="0.3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8" workbookViewId="0">
      <selection activeCell="I14" sqref="I14"/>
    </sheetView>
  </sheetViews>
  <sheetFormatPr defaultRowHeight="15" x14ac:dyDescent="0.25"/>
  <cols>
    <col min="1" max="1" width="27.28515625" customWidth="1"/>
    <col min="2" max="2" width="10.28515625" customWidth="1"/>
    <col min="3" max="3" width="10.42578125" customWidth="1"/>
    <col min="4" max="4" width="9.85546875" customWidth="1"/>
    <col min="5" max="5" width="9.42578125" customWidth="1"/>
    <col min="6" max="6" width="27.140625" customWidth="1"/>
    <col min="7" max="7" width="10.7109375" customWidth="1"/>
    <col min="8" max="8" width="10.28515625" customWidth="1"/>
    <col min="9" max="9" width="10.140625" customWidth="1"/>
    <col min="10" max="10" width="9.85546875" customWidth="1"/>
  </cols>
  <sheetData>
    <row r="1" spans="1:10" x14ac:dyDescent="0.25">
      <c r="A1" s="592" t="s">
        <v>439</v>
      </c>
      <c r="B1" s="592"/>
      <c r="C1" s="592"/>
      <c r="D1" s="592"/>
      <c r="E1" s="592"/>
      <c r="F1" s="592"/>
      <c r="G1" s="592"/>
      <c r="H1" s="592"/>
      <c r="I1" s="592"/>
      <c r="J1" s="592"/>
    </row>
    <row r="2" spans="1:10" x14ac:dyDescent="0.25">
      <c r="A2" s="598" t="s">
        <v>400</v>
      </c>
      <c r="B2" s="598"/>
      <c r="C2" s="598"/>
      <c r="D2" s="598"/>
      <c r="E2" s="598"/>
      <c r="F2" s="598"/>
      <c r="G2" s="598"/>
      <c r="H2" s="598"/>
      <c r="I2" s="598"/>
      <c r="J2" s="598"/>
    </row>
    <row r="3" spans="1:10" ht="16.899999999999999" customHeight="1" x14ac:dyDescent="0.25">
      <c r="A3" s="598" t="str">
        <f>+'3.bevétel-kiadás'!A2:F2</f>
        <v xml:space="preserve">4/2020. (VI.18.)zárszámadási rendelet </v>
      </c>
      <c r="B3" s="598"/>
      <c r="C3" s="598"/>
      <c r="D3" s="598"/>
      <c r="E3" s="598"/>
      <c r="F3" s="598"/>
      <c r="G3" s="598"/>
      <c r="H3" s="598"/>
      <c r="I3" s="598"/>
      <c r="J3" s="598"/>
    </row>
    <row r="4" spans="1:10" ht="36.6" customHeight="1" x14ac:dyDescent="0.25">
      <c r="A4" s="593" t="s">
        <v>401</v>
      </c>
      <c r="B4" s="593"/>
      <c r="C4" s="593"/>
      <c r="D4" s="593"/>
      <c r="E4" s="593"/>
      <c r="F4" s="593"/>
      <c r="G4" s="593"/>
      <c r="H4" s="593"/>
      <c r="I4" s="593"/>
      <c r="J4" s="593"/>
    </row>
    <row r="5" spans="1:10" ht="15.75" thickBot="1" x14ac:dyDescent="0.3">
      <c r="A5" s="292"/>
      <c r="B5" s="293"/>
      <c r="C5" s="293"/>
      <c r="D5" s="293"/>
      <c r="E5" s="293"/>
      <c r="F5" s="293"/>
      <c r="G5" s="594" t="s">
        <v>266</v>
      </c>
      <c r="H5" s="594"/>
      <c r="I5" s="594"/>
      <c r="J5" s="594"/>
    </row>
    <row r="6" spans="1:10" ht="15.75" thickBot="1" x14ac:dyDescent="0.3">
      <c r="A6" s="595" t="s">
        <v>402</v>
      </c>
      <c r="B6" s="596"/>
      <c r="C6" s="596"/>
      <c r="D6" s="596"/>
      <c r="E6" s="597"/>
      <c r="F6" s="595" t="s">
        <v>403</v>
      </c>
      <c r="G6" s="596"/>
      <c r="H6" s="596"/>
      <c r="I6" s="596"/>
      <c r="J6" s="597"/>
    </row>
    <row r="7" spans="1:10" ht="39" thickBot="1" x14ac:dyDescent="0.3">
      <c r="A7" s="294" t="s">
        <v>8</v>
      </c>
      <c r="B7" s="295" t="s">
        <v>268</v>
      </c>
      <c r="C7" s="296" t="s">
        <v>269</v>
      </c>
      <c r="D7" s="296" t="s">
        <v>270</v>
      </c>
      <c r="E7" s="297" t="s">
        <v>271</v>
      </c>
      <c r="F7" s="298" t="s">
        <v>8</v>
      </c>
      <c r="G7" s="299" t="s">
        <v>268</v>
      </c>
      <c r="H7" s="300" t="s">
        <v>269</v>
      </c>
      <c r="I7" s="300" t="s">
        <v>270</v>
      </c>
      <c r="J7" s="297" t="s">
        <v>271</v>
      </c>
    </row>
    <row r="8" spans="1:10" ht="25.5" x14ac:dyDescent="0.25">
      <c r="A8" s="301" t="s">
        <v>365</v>
      </c>
      <c r="B8" s="302">
        <f>+'2. mérleg'!C11</f>
        <v>0</v>
      </c>
      <c r="C8" s="302">
        <f>+'2. mérleg'!D11</f>
        <v>163000</v>
      </c>
      <c r="D8" s="302">
        <f>+'2. mérleg'!E11</f>
        <v>162626</v>
      </c>
      <c r="E8" s="303">
        <f t="shared" ref="E8:E15" si="0">D8/C8*100</f>
        <v>99.770552147239272</v>
      </c>
      <c r="F8" s="304" t="s">
        <v>376</v>
      </c>
      <c r="G8" s="305">
        <f>+'2. mérleg'!I9</f>
        <v>24053990</v>
      </c>
      <c r="H8" s="305">
        <f>+'2. mérleg'!J9</f>
        <v>24805990</v>
      </c>
      <c r="I8" s="305">
        <f>+'2. mérleg'!K9</f>
        <v>23950858</v>
      </c>
      <c r="J8" s="303">
        <f t="shared" ref="J8:J14" si="1">I8/H8*100</f>
        <v>96.55271972616292</v>
      </c>
    </row>
    <row r="9" spans="1:10" ht="25.5" x14ac:dyDescent="0.25">
      <c r="A9" s="306" t="s">
        <v>404</v>
      </c>
      <c r="B9" s="307">
        <f>+'2. mérleg'!C13</f>
        <v>28244807</v>
      </c>
      <c r="C9" s="307">
        <f>+'2. mérleg'!D13</f>
        <v>31750503</v>
      </c>
      <c r="D9" s="307">
        <f>+'2. mérleg'!E13</f>
        <v>31750503</v>
      </c>
      <c r="E9" s="308">
        <f t="shared" si="0"/>
        <v>100</v>
      </c>
      <c r="F9" s="309" t="s">
        <v>405</v>
      </c>
      <c r="G9" s="307">
        <f>+'2. mérleg'!I10</f>
        <v>3065610</v>
      </c>
      <c r="H9" s="307">
        <f>+'2. mérleg'!J10</f>
        <v>3111610</v>
      </c>
      <c r="I9" s="307">
        <f>+'2. mérleg'!K10</f>
        <v>3110880</v>
      </c>
      <c r="J9" s="308">
        <f t="shared" si="1"/>
        <v>99.976539476348265</v>
      </c>
    </row>
    <row r="10" spans="1:10" ht="25.5" x14ac:dyDescent="0.25">
      <c r="A10" s="306" t="s">
        <v>406</v>
      </c>
      <c r="B10" s="307">
        <f>+'2. mérleg'!C9</f>
        <v>20086962</v>
      </c>
      <c r="C10" s="307">
        <f>+'2. mérleg'!D9</f>
        <v>22689116</v>
      </c>
      <c r="D10" s="307">
        <f>+'2. mérleg'!E9</f>
        <v>22619722</v>
      </c>
      <c r="E10" s="308">
        <f t="shared" si="0"/>
        <v>99.694152914551623</v>
      </c>
      <c r="F10" s="309" t="s">
        <v>38</v>
      </c>
      <c r="G10" s="307">
        <f>+'2. mérleg'!I11</f>
        <v>14141216</v>
      </c>
      <c r="H10" s="307">
        <f>+'2. mérleg'!J11</f>
        <v>19857430</v>
      </c>
      <c r="I10" s="307">
        <f>+'2. mérleg'!K11</f>
        <v>17831754</v>
      </c>
      <c r="J10" s="308">
        <f t="shared" si="1"/>
        <v>89.79890146912264</v>
      </c>
    </row>
    <row r="11" spans="1:10" x14ac:dyDescent="0.25">
      <c r="A11" s="310" t="s">
        <v>407</v>
      </c>
      <c r="B11" s="307">
        <f>+'2. mérleg'!C10</f>
        <v>2580000</v>
      </c>
      <c r="C11" s="307">
        <f>+'2. mérleg'!D10</f>
        <v>1209000</v>
      </c>
      <c r="D11" s="307">
        <f>+'2. mérleg'!E10</f>
        <v>1208911</v>
      </c>
      <c r="E11" s="308">
        <f t="shared" si="0"/>
        <v>99.992638544251449</v>
      </c>
      <c r="F11" s="309" t="s">
        <v>408</v>
      </c>
      <c r="G11" s="307">
        <f>+'3.bevétel-kiadás'!C63</f>
        <v>2858520</v>
      </c>
      <c r="H11" s="307">
        <f>+'3.bevétel-kiadás'!D63</f>
        <v>2234087</v>
      </c>
      <c r="I11" s="307">
        <f>+'3.bevétel-kiadás'!E63</f>
        <v>2189884</v>
      </c>
      <c r="J11" s="308">
        <f t="shared" si="1"/>
        <v>98.021428887952894</v>
      </c>
    </row>
    <row r="12" spans="1:10" ht="38.25" x14ac:dyDescent="0.25">
      <c r="A12" s="306" t="s">
        <v>409</v>
      </c>
      <c r="B12" s="307">
        <f>+'2. mérleg'!C12</f>
        <v>0</v>
      </c>
      <c r="C12" s="307">
        <f>+'2. mérleg'!D12</f>
        <v>300000</v>
      </c>
      <c r="D12" s="307">
        <f>+'2. mérleg'!E12</f>
        <v>300000</v>
      </c>
      <c r="E12" s="308">
        <f t="shared" si="0"/>
        <v>100</v>
      </c>
      <c r="F12" s="309" t="s">
        <v>410</v>
      </c>
      <c r="G12" s="311">
        <f>+'3.bevétel-kiadás'!C64</f>
        <v>47000</v>
      </c>
      <c r="H12" s="311">
        <f>+'3.bevétel-kiadás'!D64</f>
        <v>47000</v>
      </c>
      <c r="I12" s="311">
        <f>+'3.bevétel-kiadás'!E64</f>
        <v>0</v>
      </c>
      <c r="J12" s="308">
        <f t="shared" si="1"/>
        <v>0</v>
      </c>
    </row>
    <row r="13" spans="1:10" ht="25.5" x14ac:dyDescent="0.25">
      <c r="A13" s="306" t="s">
        <v>411</v>
      </c>
      <c r="B13" s="307"/>
      <c r="C13" s="307"/>
      <c r="D13" s="307"/>
      <c r="E13" s="308"/>
      <c r="F13" s="309" t="s">
        <v>87</v>
      </c>
      <c r="G13" s="311">
        <f>+'3.bevétel-kiadás'!C65</f>
        <v>12612500</v>
      </c>
      <c r="H13" s="311">
        <f>+'3.bevétel-kiadás'!D65</f>
        <v>10529860</v>
      </c>
      <c r="I13" s="311">
        <f>+'3.bevétel-kiadás'!E65</f>
        <v>7399096</v>
      </c>
      <c r="J13" s="308">
        <f t="shared" si="1"/>
        <v>70.267752847616208</v>
      </c>
    </row>
    <row r="14" spans="1:10" x14ac:dyDescent="0.25">
      <c r="A14" s="312" t="s">
        <v>412</v>
      </c>
      <c r="B14" s="307"/>
      <c r="C14" s="307"/>
      <c r="D14" s="307"/>
      <c r="E14" s="308"/>
      <c r="F14" s="309" t="s">
        <v>382</v>
      </c>
      <c r="G14" s="307">
        <f>+'[1]2. mérleg'!G14</f>
        <v>0</v>
      </c>
      <c r="H14" s="307">
        <f>+'3.bevétel-kiadás'!D83</f>
        <v>1129792</v>
      </c>
      <c r="I14" s="307">
        <f>+'3.bevétel-kiadás'!E83</f>
        <v>1129792</v>
      </c>
      <c r="J14" s="308">
        <f t="shared" si="1"/>
        <v>100</v>
      </c>
    </row>
    <row r="15" spans="1:10" ht="25.5" x14ac:dyDescent="0.25">
      <c r="A15" s="312" t="s">
        <v>413</v>
      </c>
      <c r="B15" s="313">
        <f>+'2. mérleg'!C21</f>
        <v>12163067</v>
      </c>
      <c r="C15" s="313">
        <f>+'2. mérleg'!D21</f>
        <v>10725708</v>
      </c>
      <c r="D15" s="313">
        <f>+'2. mérleg'!E21</f>
        <v>10725708</v>
      </c>
      <c r="E15" s="308">
        <f t="shared" si="0"/>
        <v>100</v>
      </c>
      <c r="F15" s="309" t="s">
        <v>414</v>
      </c>
      <c r="G15" s="307"/>
      <c r="H15" s="307"/>
      <c r="I15" s="307"/>
      <c r="J15" s="308"/>
    </row>
    <row r="16" spans="1:10" x14ac:dyDescent="0.25">
      <c r="A16" s="312" t="s">
        <v>321</v>
      </c>
      <c r="B16" s="307">
        <f>+'2. mérleg'!C22</f>
        <v>0</v>
      </c>
      <c r="C16" s="307">
        <f>+'2. mérleg'!D22</f>
        <v>0</v>
      </c>
      <c r="D16" s="307">
        <f>+'2. mérleg'!E22</f>
        <v>1184836</v>
      </c>
      <c r="E16" s="314"/>
      <c r="F16" s="315" t="s">
        <v>415</v>
      </c>
      <c r="G16" s="307"/>
      <c r="H16" s="307"/>
      <c r="I16" s="307"/>
      <c r="J16" s="314"/>
    </row>
    <row r="17" spans="1:10" x14ac:dyDescent="0.25">
      <c r="A17" s="312" t="s">
        <v>313</v>
      </c>
      <c r="B17" s="307"/>
      <c r="C17" s="307"/>
      <c r="D17" s="307"/>
      <c r="E17" s="314"/>
      <c r="F17" s="309" t="s">
        <v>416</v>
      </c>
      <c r="G17" s="307"/>
      <c r="H17" s="307"/>
      <c r="I17" s="316"/>
      <c r="J17" s="314"/>
    </row>
    <row r="18" spans="1:10" ht="15.75" thickBot="1" x14ac:dyDescent="0.3">
      <c r="A18" s="317"/>
      <c r="B18" s="318"/>
      <c r="C18" s="318"/>
      <c r="D18" s="319"/>
      <c r="E18" s="320"/>
      <c r="F18" s="321" t="s">
        <v>417</v>
      </c>
      <c r="G18" s="307"/>
      <c r="H18" s="307">
        <f>+'3.bevétel-kiadás'!D79</f>
        <v>3818156</v>
      </c>
      <c r="I18" s="316"/>
      <c r="J18" s="320"/>
    </row>
    <row r="19" spans="1:10" ht="15.75" thickBot="1" x14ac:dyDescent="0.3">
      <c r="A19" s="322" t="s">
        <v>418</v>
      </c>
      <c r="B19" s="323">
        <f>SUM(B8:B18)</f>
        <v>63074836</v>
      </c>
      <c r="C19" s="323">
        <f>SUM(C8:C18)</f>
        <v>66837327</v>
      </c>
      <c r="D19" s="324">
        <f>SUM(D8:D18)</f>
        <v>67952306</v>
      </c>
      <c r="E19" s="325">
        <f>D19/C19*100</f>
        <v>101.66819807141599</v>
      </c>
      <c r="F19" s="326" t="s">
        <v>418</v>
      </c>
      <c r="G19" s="327">
        <f>SUM(G8:G18)</f>
        <v>56778836</v>
      </c>
      <c r="H19" s="327">
        <f>SUM(H8:H18)</f>
        <v>65533925</v>
      </c>
      <c r="I19" s="327">
        <f>SUM(I8:I18)</f>
        <v>55612264</v>
      </c>
      <c r="J19" s="325">
        <f>I19/H19*100</f>
        <v>84.8602674111157</v>
      </c>
    </row>
    <row r="20" spans="1:10" x14ac:dyDescent="0.25">
      <c r="A20" s="328"/>
      <c r="B20" s="328"/>
      <c r="C20" s="328"/>
      <c r="D20" s="328"/>
      <c r="E20" s="328"/>
      <c r="F20" s="328"/>
      <c r="G20" s="328"/>
      <c r="H20" s="328"/>
      <c r="I20" s="329"/>
      <c r="J20" s="268"/>
    </row>
    <row r="21" spans="1:10" x14ac:dyDescent="0.25">
      <c r="A21" s="591" t="str">
        <f>+A3</f>
        <v xml:space="preserve">4/2020. (VI.18.)zárszámadási rendelet </v>
      </c>
      <c r="B21" s="591"/>
      <c r="C21" s="591"/>
      <c r="D21" s="591"/>
      <c r="E21" s="591"/>
      <c r="F21" s="591"/>
      <c r="G21" s="591"/>
      <c r="H21" s="591"/>
      <c r="I21" s="591"/>
      <c r="J21" s="591"/>
    </row>
    <row r="22" spans="1:10" ht="18.600000000000001" customHeight="1" x14ac:dyDescent="0.25">
      <c r="A22" s="600" t="s">
        <v>419</v>
      </c>
      <c r="B22" s="600"/>
      <c r="C22" s="600"/>
      <c r="D22" s="600"/>
      <c r="E22" s="600"/>
      <c r="F22" s="600"/>
      <c r="G22" s="600"/>
      <c r="H22" s="600"/>
      <c r="I22" s="600"/>
      <c r="J22" s="600"/>
    </row>
    <row r="23" spans="1:10" ht="36.6" customHeight="1" x14ac:dyDescent="0.25">
      <c r="A23" s="593" t="s">
        <v>420</v>
      </c>
      <c r="B23" s="593"/>
      <c r="C23" s="593"/>
      <c r="D23" s="593"/>
      <c r="E23" s="593"/>
      <c r="F23" s="593"/>
      <c r="G23" s="593"/>
      <c r="H23" s="593"/>
      <c r="I23" s="593"/>
      <c r="J23" s="593"/>
    </row>
    <row r="24" spans="1:10" ht="15.75" thickBot="1" x14ac:dyDescent="0.3">
      <c r="A24" s="330"/>
      <c r="B24" s="331"/>
      <c r="C24" s="331"/>
      <c r="D24" s="331"/>
      <c r="E24" s="331"/>
      <c r="F24" s="331"/>
      <c r="G24" s="599" t="s">
        <v>266</v>
      </c>
      <c r="H24" s="599"/>
      <c r="I24" s="599"/>
      <c r="J24" s="599"/>
    </row>
    <row r="25" spans="1:10" ht="15.75" thickBot="1" x14ac:dyDescent="0.3">
      <c r="A25" s="595" t="s">
        <v>402</v>
      </c>
      <c r="B25" s="596"/>
      <c r="C25" s="596"/>
      <c r="D25" s="596"/>
      <c r="E25" s="597"/>
      <c r="F25" s="595" t="s">
        <v>403</v>
      </c>
      <c r="G25" s="596"/>
      <c r="H25" s="596"/>
      <c r="I25" s="596"/>
      <c r="J25" s="597"/>
    </row>
    <row r="26" spans="1:10" ht="39" thickBot="1" x14ac:dyDescent="0.3">
      <c r="A26" s="298" t="s">
        <v>8</v>
      </c>
      <c r="B26" s="299" t="s">
        <v>268</v>
      </c>
      <c r="C26" s="300" t="s">
        <v>269</v>
      </c>
      <c r="D26" s="300" t="s">
        <v>270</v>
      </c>
      <c r="E26" s="300" t="s">
        <v>271</v>
      </c>
      <c r="F26" s="298" t="s">
        <v>8</v>
      </c>
      <c r="G26" s="299" t="s">
        <v>268</v>
      </c>
      <c r="H26" s="300" t="s">
        <v>269</v>
      </c>
      <c r="I26" s="300" t="s">
        <v>270</v>
      </c>
      <c r="J26" s="297" t="s">
        <v>271</v>
      </c>
    </row>
    <row r="27" spans="1:10" ht="25.5" x14ac:dyDescent="0.25">
      <c r="A27" s="301" t="s">
        <v>421</v>
      </c>
      <c r="B27" s="332"/>
      <c r="C27" s="332"/>
      <c r="D27" s="333"/>
      <c r="E27" s="334"/>
      <c r="F27" s="335" t="s">
        <v>0</v>
      </c>
      <c r="G27" s="305">
        <f>+'3.bevétel-kiadás'!C68</f>
        <v>5661000</v>
      </c>
      <c r="H27" s="305">
        <f>+'3.bevétel-kiadás'!D68</f>
        <v>0</v>
      </c>
      <c r="I27" s="305">
        <f>+'3.bevétel-kiadás'!E68</f>
        <v>0</v>
      </c>
      <c r="J27" s="303"/>
    </row>
    <row r="28" spans="1:10" ht="25.5" x14ac:dyDescent="0.25">
      <c r="A28" s="306" t="s">
        <v>422</v>
      </c>
      <c r="B28" s="313"/>
      <c r="C28" s="313"/>
      <c r="D28" s="321"/>
      <c r="E28" s="303"/>
      <c r="F28" s="306" t="s">
        <v>423</v>
      </c>
      <c r="G28" s="307">
        <f>+'3.bevétel-kiadás'!C69</f>
        <v>635000</v>
      </c>
      <c r="H28" s="307">
        <f>+'3.bevétel-kiadás'!D69</f>
        <v>3675000</v>
      </c>
      <c r="I28" s="307">
        <f>+'3.bevétel-kiadás'!E69</f>
        <v>3472880</v>
      </c>
      <c r="J28" s="308">
        <f>I28/H28*100</f>
        <v>94.500136054421773</v>
      </c>
    </row>
    <row r="29" spans="1:10" ht="25.5" x14ac:dyDescent="0.25">
      <c r="A29" s="306" t="s">
        <v>424</v>
      </c>
      <c r="B29" s="313"/>
      <c r="C29" s="313"/>
      <c r="D29" s="321"/>
      <c r="E29" s="303"/>
      <c r="F29" s="306" t="s">
        <v>425</v>
      </c>
      <c r="G29" s="307"/>
      <c r="H29" s="307"/>
      <c r="I29" s="316"/>
      <c r="J29" s="303"/>
    </row>
    <row r="30" spans="1:10" ht="38.25" x14ac:dyDescent="0.25">
      <c r="A30" s="306" t="s">
        <v>426</v>
      </c>
      <c r="B30" s="313"/>
      <c r="C30" s="313"/>
      <c r="D30" s="321"/>
      <c r="E30" s="303"/>
      <c r="F30" s="306" t="s">
        <v>427</v>
      </c>
      <c r="G30" s="307"/>
      <c r="H30" s="307"/>
      <c r="I30" s="316"/>
      <c r="J30" s="303"/>
    </row>
    <row r="31" spans="1:10" ht="25.5" x14ac:dyDescent="0.25">
      <c r="A31" s="306" t="s">
        <v>428</v>
      </c>
      <c r="B31" s="313">
        <f>+'2. mérleg'!C16</f>
        <v>0</v>
      </c>
      <c r="C31" s="313">
        <f>+'2. mérleg'!D16</f>
        <v>2371598</v>
      </c>
      <c r="D31" s="313">
        <f>+'2. mérleg'!E16</f>
        <v>2371598</v>
      </c>
      <c r="E31" s="308">
        <f t="shared" ref="E31" si="2">D31/C31*100</f>
        <v>100</v>
      </c>
      <c r="F31" s="306" t="s">
        <v>429</v>
      </c>
      <c r="G31" s="336"/>
      <c r="H31" s="336"/>
      <c r="I31" s="337"/>
      <c r="J31" s="338"/>
    </row>
    <row r="32" spans="1:10" ht="38.25" x14ac:dyDescent="0.25">
      <c r="A32" s="306" t="s">
        <v>430</v>
      </c>
      <c r="B32" s="313"/>
      <c r="C32" s="313"/>
      <c r="D32" s="313"/>
      <c r="E32" s="303"/>
      <c r="F32" s="306" t="s">
        <v>431</v>
      </c>
      <c r="G32" s="336"/>
      <c r="H32" s="336"/>
      <c r="I32" s="337"/>
      <c r="J32" s="338"/>
    </row>
    <row r="33" spans="1:10" ht="25.5" x14ac:dyDescent="0.25">
      <c r="A33" s="306" t="s">
        <v>432</v>
      </c>
      <c r="B33" s="313"/>
      <c r="C33" s="313"/>
      <c r="D33" s="321"/>
      <c r="E33" s="303"/>
      <c r="F33" s="306" t="s">
        <v>433</v>
      </c>
      <c r="G33" s="307"/>
      <c r="H33" s="307"/>
      <c r="I33" s="316"/>
      <c r="J33" s="303"/>
    </row>
    <row r="34" spans="1:10" ht="25.5" x14ac:dyDescent="0.25">
      <c r="A34" s="306" t="s">
        <v>434</v>
      </c>
      <c r="B34" s="313"/>
      <c r="C34" s="313"/>
      <c r="D34" s="321"/>
      <c r="E34" s="303"/>
      <c r="F34" s="312" t="s">
        <v>435</v>
      </c>
      <c r="G34" s="307"/>
      <c r="H34" s="307"/>
      <c r="I34" s="316"/>
      <c r="J34" s="303"/>
    </row>
    <row r="35" spans="1:10" ht="25.5" x14ac:dyDescent="0.25">
      <c r="A35" s="306" t="s">
        <v>436</v>
      </c>
      <c r="B35" s="313"/>
      <c r="C35" s="313"/>
      <c r="D35" s="321"/>
      <c r="E35" s="303"/>
      <c r="F35" s="312" t="s">
        <v>436</v>
      </c>
      <c r="G35" s="307"/>
      <c r="H35" s="307"/>
      <c r="I35" s="316"/>
      <c r="J35" s="303"/>
    </row>
    <row r="36" spans="1:10" x14ac:dyDescent="0.25">
      <c r="A36" s="339" t="s">
        <v>413</v>
      </c>
      <c r="B36" s="313"/>
      <c r="C36" s="313"/>
      <c r="D36" s="321"/>
      <c r="E36" s="303"/>
      <c r="F36" s="312" t="s">
        <v>437</v>
      </c>
      <c r="G36" s="307"/>
      <c r="H36" s="307"/>
      <c r="I36" s="316"/>
      <c r="J36" s="303"/>
    </row>
    <row r="37" spans="1:10" ht="26.25" thickBot="1" x14ac:dyDescent="0.3">
      <c r="A37" s="306" t="s">
        <v>438</v>
      </c>
      <c r="B37" s="313"/>
      <c r="C37" s="313"/>
      <c r="D37" s="321"/>
      <c r="E37" s="303"/>
      <c r="F37" s="340"/>
      <c r="G37" s="341"/>
      <c r="H37" s="341"/>
      <c r="I37" s="342"/>
      <c r="J37" s="343"/>
    </row>
    <row r="38" spans="1:10" ht="15.75" thickBot="1" x14ac:dyDescent="0.3">
      <c r="A38" s="326" t="s">
        <v>418</v>
      </c>
      <c r="B38" s="344">
        <f>SUM(B27:B37)</f>
        <v>0</v>
      </c>
      <c r="C38" s="344">
        <f>SUM(C27:C37)</f>
        <v>2371598</v>
      </c>
      <c r="D38" s="344">
        <f>SUM(D27:D37)</f>
        <v>2371598</v>
      </c>
      <c r="E38" s="325">
        <f>D38/C38*100</f>
        <v>100</v>
      </c>
      <c r="F38" s="326" t="s">
        <v>418</v>
      </c>
      <c r="G38" s="327">
        <f>SUM(G27:G37)</f>
        <v>6296000</v>
      </c>
      <c r="H38" s="327">
        <f>SUM(H27:H37)</f>
        <v>3675000</v>
      </c>
      <c r="I38" s="327">
        <f>SUM(I27:I37)</f>
        <v>3472880</v>
      </c>
      <c r="J38" s="325">
        <f>I38/H38*100</f>
        <v>94.500136054421773</v>
      </c>
    </row>
    <row r="39" spans="1:10" x14ac:dyDescent="0.25">
      <c r="A39" s="346" t="s">
        <v>441</v>
      </c>
      <c r="B39" s="347">
        <f>+B19+B38</f>
        <v>63074836</v>
      </c>
      <c r="C39" s="347">
        <f t="shared" ref="C39:D39" si="3">+C19+C38</f>
        <v>69208925</v>
      </c>
      <c r="D39" s="347">
        <f t="shared" si="3"/>
        <v>70323904</v>
      </c>
      <c r="G39" s="347">
        <f t="shared" ref="G39:I39" si="4">+G19+G38</f>
        <v>63074836</v>
      </c>
      <c r="H39" s="347">
        <f t="shared" si="4"/>
        <v>69208925</v>
      </c>
      <c r="I39" s="347">
        <f t="shared" si="4"/>
        <v>59085144</v>
      </c>
    </row>
  </sheetData>
  <mergeCells count="13">
    <mergeCell ref="A23:J23"/>
    <mergeCell ref="G24:J24"/>
    <mergeCell ref="A25:E25"/>
    <mergeCell ref="F25:J25"/>
    <mergeCell ref="A22:J22"/>
    <mergeCell ref="A21:J21"/>
    <mergeCell ref="A1:J1"/>
    <mergeCell ref="A4:J4"/>
    <mergeCell ref="G5:J5"/>
    <mergeCell ref="A6:E6"/>
    <mergeCell ref="F6:J6"/>
    <mergeCell ref="A2:J2"/>
    <mergeCell ref="A3:J3"/>
  </mergeCells>
  <pageMargins left="0.25" right="0.25" top="0.75" bottom="0.75" header="0.3" footer="0.3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2" sqref="A2:E2"/>
    </sheetView>
  </sheetViews>
  <sheetFormatPr defaultRowHeight="15" x14ac:dyDescent="0.25"/>
  <cols>
    <col min="1" max="1" width="47.28515625" customWidth="1"/>
    <col min="2" max="2" width="12.5703125" customWidth="1"/>
    <col min="3" max="3" width="12.7109375" customWidth="1"/>
    <col min="4" max="4" width="11.7109375" customWidth="1"/>
    <col min="5" max="5" width="8.5703125" customWidth="1"/>
  </cols>
  <sheetData>
    <row r="1" spans="1:5" x14ac:dyDescent="0.25">
      <c r="A1" s="602" t="s">
        <v>442</v>
      </c>
      <c r="B1" s="602"/>
      <c r="C1" s="602"/>
      <c r="D1" s="602"/>
      <c r="E1" s="602"/>
    </row>
    <row r="2" spans="1:5" x14ac:dyDescent="0.25">
      <c r="A2" s="603" t="str">
        <f>+'2. mérleg'!A3:K3</f>
        <v xml:space="preserve">4/2020. (VI.18.)zárszámadási rendelet </v>
      </c>
      <c r="B2" s="603"/>
      <c r="C2" s="603"/>
      <c r="D2" s="603"/>
      <c r="E2" s="603"/>
    </row>
    <row r="3" spans="1:5" x14ac:dyDescent="0.25">
      <c r="A3" s="601" t="s">
        <v>451</v>
      </c>
      <c r="B3" s="601"/>
      <c r="C3" s="601"/>
      <c r="D3" s="601"/>
      <c r="E3" s="601"/>
    </row>
    <row r="4" spans="1:5" x14ac:dyDescent="0.25">
      <c r="A4" s="348"/>
      <c r="B4" s="348"/>
      <c r="C4" s="349"/>
      <c r="D4" s="348"/>
      <c r="E4" s="349"/>
    </row>
    <row r="5" spans="1:5" ht="43.9" customHeight="1" x14ac:dyDescent="0.25">
      <c r="A5" s="350" t="s">
        <v>443</v>
      </c>
      <c r="B5" s="350" t="s">
        <v>268</v>
      </c>
      <c r="C5" s="351" t="s">
        <v>444</v>
      </c>
      <c r="D5" s="350" t="s">
        <v>270</v>
      </c>
      <c r="E5" s="352" t="s">
        <v>271</v>
      </c>
    </row>
    <row r="6" spans="1:5" ht="43.9" customHeight="1" x14ac:dyDescent="0.25">
      <c r="A6" s="353" t="s">
        <v>445</v>
      </c>
      <c r="B6" s="354">
        <f>+'4a. bevételek'!AG9</f>
        <v>13153807</v>
      </c>
      <c r="C6" s="354">
        <f>+'4a. bevételek'!AH9</f>
        <v>13153807</v>
      </c>
      <c r="D6" s="354">
        <f>+'4a. bevételek'!AI9</f>
        <v>13153807</v>
      </c>
      <c r="E6" s="354">
        <f>+'2. mérleg'!F9</f>
        <v>99.694152914551623</v>
      </c>
    </row>
    <row r="7" spans="1:5" ht="43.9" customHeight="1" x14ac:dyDescent="0.25">
      <c r="A7" s="353" t="s">
        <v>446</v>
      </c>
      <c r="B7" s="354"/>
      <c r="C7" s="354"/>
      <c r="D7" s="354"/>
      <c r="E7" s="354"/>
    </row>
    <row r="8" spans="1:5" ht="43.9" customHeight="1" x14ac:dyDescent="0.25">
      <c r="A8" s="353" t="s">
        <v>447</v>
      </c>
      <c r="B8" s="354">
        <f>+'4a. bevételek'!AG10</f>
        <v>13291000</v>
      </c>
      <c r="C8" s="354">
        <f>+'4a. bevételek'!AH10</f>
        <v>14533556</v>
      </c>
      <c r="D8" s="354">
        <f>+'4a. bevételek'!AI10</f>
        <v>14533556</v>
      </c>
      <c r="E8" s="354">
        <f>+'2. mérleg'!F11</f>
        <v>99.770552147239272</v>
      </c>
    </row>
    <row r="9" spans="1:5" ht="43.9" customHeight="1" x14ac:dyDescent="0.25">
      <c r="A9" s="353" t="s">
        <v>448</v>
      </c>
      <c r="B9" s="354">
        <f>+'4a. bevételek'!AG11</f>
        <v>1800000</v>
      </c>
      <c r="C9" s="354">
        <f>+'4a. bevételek'!AH11</f>
        <v>1800000</v>
      </c>
      <c r="D9" s="354">
        <f>+'4a. bevételek'!AI11</f>
        <v>1800000</v>
      </c>
      <c r="E9" s="354">
        <f>+'2. mérleg'!F12</f>
        <v>100</v>
      </c>
    </row>
    <row r="10" spans="1:5" ht="43.9" customHeight="1" x14ac:dyDescent="0.25">
      <c r="A10" s="353" t="s">
        <v>449</v>
      </c>
      <c r="B10" s="354"/>
      <c r="C10" s="354"/>
      <c r="D10" s="354"/>
      <c r="E10" s="354"/>
    </row>
    <row r="11" spans="1:5" ht="43.9" customHeight="1" x14ac:dyDescent="0.25">
      <c r="A11" s="353" t="s">
        <v>450</v>
      </c>
      <c r="B11" s="354">
        <f>+'4a. bevételek'!AG13</f>
        <v>0</v>
      </c>
      <c r="C11" s="354">
        <f>+'4a. bevételek'!AH13</f>
        <v>2263140</v>
      </c>
      <c r="D11" s="354">
        <f>+'4a. bevételek'!AI13</f>
        <v>2263140</v>
      </c>
      <c r="E11" s="354">
        <f>+'2. mérleg'!F14</f>
        <v>99.875503503115809</v>
      </c>
    </row>
  </sheetData>
  <mergeCells count="3">
    <mergeCell ref="A3:E3"/>
    <mergeCell ref="A1:E1"/>
    <mergeCell ref="A2:E2"/>
  </mergeCells>
  <pageMargins left="0.7" right="0.7" top="0.75" bottom="0.75" header="0.3" footer="0.3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A2" sqref="A2:G2"/>
    </sheetView>
  </sheetViews>
  <sheetFormatPr defaultRowHeight="15" x14ac:dyDescent="0.25"/>
  <cols>
    <col min="2" max="2" width="39.7109375" customWidth="1"/>
    <col min="3" max="3" width="22.5703125" customWidth="1"/>
    <col min="4" max="6" width="10.42578125" customWidth="1"/>
    <col min="7" max="7" width="8.5703125" customWidth="1"/>
  </cols>
  <sheetData>
    <row r="1" spans="1:7" x14ac:dyDescent="0.25">
      <c r="A1" s="605" t="s">
        <v>460</v>
      </c>
      <c r="B1" s="605"/>
      <c r="C1" s="605"/>
      <c r="D1" s="605"/>
      <c r="E1" s="605"/>
      <c r="F1" s="605"/>
    </row>
    <row r="2" spans="1:7" x14ac:dyDescent="0.25">
      <c r="A2" s="605" t="str">
        <f>+'4b.kiadások'!A2:AH2</f>
        <v xml:space="preserve">4/2020. (VI.18.)zárszámadási rendelet </v>
      </c>
      <c r="B2" s="605"/>
      <c r="C2" s="605"/>
      <c r="D2" s="605"/>
      <c r="E2" s="605"/>
      <c r="F2" s="605"/>
      <c r="G2" s="605"/>
    </row>
    <row r="3" spans="1:7" x14ac:dyDescent="0.25">
      <c r="A3" s="604" t="s">
        <v>452</v>
      </c>
      <c r="B3" s="604"/>
      <c r="C3" s="604"/>
      <c r="D3" s="604"/>
      <c r="E3" s="604"/>
      <c r="F3" s="604"/>
      <c r="G3" s="604"/>
    </row>
    <row r="4" spans="1:7" ht="50.45" customHeight="1" x14ac:dyDescent="0.25">
      <c r="A4" s="612" t="s">
        <v>78</v>
      </c>
      <c r="B4" s="612"/>
      <c r="C4" s="612" t="s">
        <v>77</v>
      </c>
      <c r="D4" s="611" t="str">
        <f>+'2. mérleg'!C7</f>
        <v>2019. évi eredeti előirányzat</v>
      </c>
      <c r="E4" s="45" t="str">
        <f>+'2. mérleg'!D7</f>
        <v>2019. évi módosított előirányzat</v>
      </c>
      <c r="F4" s="45" t="str">
        <f>+'2. mérleg'!E7</f>
        <v>2019.évi tény</v>
      </c>
      <c r="G4" s="606" t="s">
        <v>271</v>
      </c>
    </row>
    <row r="5" spans="1:7" ht="1.1499999999999999" hidden="1" customHeight="1" thickBot="1" x14ac:dyDescent="0.3">
      <c r="A5" s="612"/>
      <c r="B5" s="612"/>
      <c r="C5" s="612"/>
      <c r="D5" s="612"/>
      <c r="E5" s="46"/>
      <c r="F5" s="46"/>
      <c r="G5" s="607"/>
    </row>
    <row r="6" spans="1:7" s="44" customFormat="1" ht="12.6" customHeight="1" x14ac:dyDescent="0.25">
      <c r="A6" s="617" t="s">
        <v>188</v>
      </c>
      <c r="B6" s="617"/>
      <c r="C6" s="617"/>
      <c r="D6" s="617"/>
      <c r="E6" s="617"/>
      <c r="F6" s="617"/>
      <c r="G6" s="374"/>
    </row>
    <row r="7" spans="1:7" s="44" customFormat="1" ht="12.6" customHeight="1" x14ac:dyDescent="0.25">
      <c r="A7" s="609"/>
      <c r="B7" s="609"/>
      <c r="C7" s="103" t="s">
        <v>186</v>
      </c>
      <c r="D7" s="359"/>
      <c r="E7" s="47"/>
      <c r="F7" s="47"/>
      <c r="G7" s="374"/>
    </row>
    <row r="8" spans="1:7" s="44" customFormat="1" ht="12.6" customHeight="1" x14ac:dyDescent="0.25">
      <c r="A8" s="609"/>
      <c r="B8" s="609"/>
      <c r="C8" s="103" t="s">
        <v>50</v>
      </c>
      <c r="D8" s="359">
        <f>D7</f>
        <v>0</v>
      </c>
      <c r="E8" s="47"/>
      <c r="F8" s="47"/>
      <c r="G8" s="374"/>
    </row>
    <row r="9" spans="1:7" s="44" customFormat="1" ht="12.6" customHeight="1" x14ac:dyDescent="0.25">
      <c r="A9" s="617" t="s">
        <v>189</v>
      </c>
      <c r="B9" s="617"/>
      <c r="C9" s="617"/>
      <c r="D9" s="617"/>
      <c r="E9" s="617"/>
      <c r="F9" s="617"/>
      <c r="G9" s="374"/>
    </row>
    <row r="10" spans="1:7" s="44" customFormat="1" ht="23.25" customHeight="1" x14ac:dyDescent="0.25">
      <c r="A10" s="613"/>
      <c r="B10" s="613"/>
      <c r="C10" s="102" t="s">
        <v>177</v>
      </c>
      <c r="D10" s="360"/>
      <c r="E10" s="96">
        <v>300000</v>
      </c>
      <c r="F10" s="96">
        <f>+'4b.kiadások'!Z64</f>
        <v>292400</v>
      </c>
      <c r="G10" s="375">
        <f>F10/E10*100</f>
        <v>97.466666666666669</v>
      </c>
    </row>
    <row r="11" spans="1:7" s="44" customFormat="1" ht="12.6" customHeight="1" x14ac:dyDescent="0.25">
      <c r="A11" s="613"/>
      <c r="B11" s="613"/>
      <c r="C11" s="102" t="s">
        <v>187</v>
      </c>
      <c r="D11" s="360">
        <v>500000</v>
      </c>
      <c r="E11" s="96">
        <v>2700000</v>
      </c>
      <c r="F11" s="96">
        <f>+'4b.kiadások'!AI64-'4b.kiadások'!Z64</f>
        <v>2565348</v>
      </c>
      <c r="G11" s="374">
        <f>F11/E11*100</f>
        <v>95.012888888888895</v>
      </c>
    </row>
    <row r="12" spans="1:7" s="44" customFormat="1" ht="13.9" customHeight="1" x14ac:dyDescent="0.25">
      <c r="A12" s="613"/>
      <c r="B12" s="613"/>
      <c r="C12" s="102" t="s">
        <v>50</v>
      </c>
      <c r="D12" s="360">
        <f>D10+D11</f>
        <v>500000</v>
      </c>
      <c r="E12" s="96">
        <f>+E10+E11</f>
        <v>3000000</v>
      </c>
      <c r="F12" s="96">
        <f>+F10+F11</f>
        <v>2857748</v>
      </c>
      <c r="G12" s="374"/>
    </row>
    <row r="13" spans="1:7" s="44" customFormat="1" ht="13.9" customHeight="1" x14ac:dyDescent="0.25">
      <c r="A13" s="618" t="s">
        <v>190</v>
      </c>
      <c r="B13" s="618"/>
      <c r="C13" s="618"/>
      <c r="D13" s="618"/>
      <c r="E13" s="618"/>
      <c r="F13" s="618"/>
      <c r="G13" s="374"/>
    </row>
    <row r="14" spans="1:7" s="44" customFormat="1" ht="13.9" customHeight="1" x14ac:dyDescent="0.25">
      <c r="A14" s="613"/>
      <c r="B14" s="613"/>
      <c r="C14" s="102" t="s">
        <v>50</v>
      </c>
      <c r="D14" s="360">
        <f>D12+D8</f>
        <v>500000</v>
      </c>
      <c r="E14" s="96"/>
      <c r="F14" s="96"/>
      <c r="G14" s="374"/>
    </row>
    <row r="15" spans="1:7" s="44" customFormat="1" ht="13.9" customHeight="1" x14ac:dyDescent="0.25">
      <c r="A15" s="613"/>
      <c r="B15" s="613"/>
      <c r="C15" s="613"/>
      <c r="D15" s="613"/>
      <c r="E15" s="96"/>
      <c r="F15" s="96"/>
      <c r="G15" s="374"/>
    </row>
    <row r="16" spans="1:7" s="44" customFormat="1" ht="13.9" customHeight="1" x14ac:dyDescent="0.25">
      <c r="A16" s="613"/>
      <c r="B16" s="620"/>
      <c r="C16" s="102"/>
      <c r="D16" s="360">
        <v>135000</v>
      </c>
      <c r="E16" s="96">
        <f>+'4b.kiadások'!AH65</f>
        <v>675000</v>
      </c>
      <c r="F16" s="96">
        <f>+'4b.kiadások'!AI65</f>
        <v>615132</v>
      </c>
      <c r="G16" s="375">
        <f>F16/E16*100</f>
        <v>91.13066666666667</v>
      </c>
    </row>
    <row r="17" spans="1:7" s="44" customFormat="1" ht="13.9" customHeight="1" x14ac:dyDescent="0.25">
      <c r="A17" s="613"/>
      <c r="B17" s="620"/>
      <c r="C17" s="102" t="s">
        <v>50</v>
      </c>
      <c r="D17" s="360">
        <f>D16</f>
        <v>135000</v>
      </c>
      <c r="E17" s="96">
        <f>+E16</f>
        <v>675000</v>
      </c>
      <c r="F17" s="96">
        <f>F16</f>
        <v>615132</v>
      </c>
      <c r="G17" s="375">
        <f>F17/E17*100</f>
        <v>91.13066666666667</v>
      </c>
    </row>
    <row r="18" spans="1:7" s="44" customFormat="1" ht="13.9" customHeight="1" x14ac:dyDescent="0.25">
      <c r="A18" s="619" t="s">
        <v>191</v>
      </c>
      <c r="B18" s="619"/>
      <c r="C18" s="619"/>
      <c r="D18" s="619"/>
      <c r="E18" s="619"/>
      <c r="F18" s="619"/>
      <c r="G18" s="374"/>
    </row>
    <row r="19" spans="1:7" s="44" customFormat="1" ht="13.9" customHeight="1" x14ac:dyDescent="0.25">
      <c r="A19" s="614"/>
      <c r="B19" s="614"/>
      <c r="C19" s="102" t="s">
        <v>50</v>
      </c>
      <c r="D19" s="361">
        <f>D14+D17</f>
        <v>635000</v>
      </c>
      <c r="E19" s="97">
        <f>+E12+E17</f>
        <v>3675000</v>
      </c>
      <c r="F19" s="97">
        <f>+'4b.kiadások'!AI66</f>
        <v>3472880</v>
      </c>
      <c r="G19" s="376">
        <f t="shared" ref="G19:G23" si="0">F19/E19*100</f>
        <v>94.500136054421773</v>
      </c>
    </row>
    <row r="20" spans="1:7" s="44" customFormat="1" ht="13.9" customHeight="1" x14ac:dyDescent="0.25">
      <c r="A20" s="617" t="s">
        <v>192</v>
      </c>
      <c r="B20" s="617"/>
      <c r="C20" s="617"/>
      <c r="D20" s="617"/>
      <c r="E20" s="617"/>
      <c r="F20" s="617"/>
      <c r="G20" s="375"/>
    </row>
    <row r="21" spans="1:7" s="44" customFormat="1" ht="13.9" customHeight="1" x14ac:dyDescent="0.25">
      <c r="A21" s="609"/>
      <c r="B21" s="610"/>
      <c r="C21" s="103" t="s">
        <v>50</v>
      </c>
      <c r="D21" s="362">
        <v>0</v>
      </c>
      <c r="E21" s="94"/>
      <c r="F21" s="94"/>
      <c r="G21" s="375"/>
    </row>
    <row r="22" spans="1:7" s="44" customFormat="1" ht="13.9" customHeight="1" x14ac:dyDescent="0.25">
      <c r="A22" s="608" t="s">
        <v>185</v>
      </c>
      <c r="B22" s="608"/>
      <c r="C22" s="608"/>
      <c r="D22" s="608"/>
      <c r="E22" s="608"/>
      <c r="F22" s="608"/>
      <c r="G22" s="375"/>
    </row>
    <row r="23" spans="1:7" s="44" customFormat="1" ht="15" customHeight="1" x14ac:dyDescent="0.25">
      <c r="A23" s="608" t="s">
        <v>81</v>
      </c>
      <c r="B23" s="608"/>
      <c r="C23" s="608"/>
      <c r="D23" s="363">
        <f>D19+D21</f>
        <v>635000</v>
      </c>
      <c r="E23" s="97">
        <f>+E19</f>
        <v>3675000</v>
      </c>
      <c r="F23" s="97">
        <f>+F19</f>
        <v>3472880</v>
      </c>
      <c r="G23" s="376">
        <f t="shared" si="0"/>
        <v>94.500136054421773</v>
      </c>
    </row>
    <row r="24" spans="1:7" s="358" customFormat="1" ht="15" customHeight="1" x14ac:dyDescent="0.25">
      <c r="A24" s="355"/>
      <c r="B24" s="355"/>
      <c r="C24" s="355"/>
      <c r="D24" s="356"/>
      <c r="E24" s="357"/>
      <c r="F24" s="357"/>
    </row>
    <row r="25" spans="1:7" s="358" customFormat="1" ht="15" customHeight="1" x14ac:dyDescent="0.25">
      <c r="A25" s="605" t="s">
        <v>461</v>
      </c>
      <c r="B25" s="605"/>
      <c r="C25" s="605"/>
      <c r="D25" s="605"/>
      <c r="E25" s="605"/>
      <c r="F25" s="605"/>
      <c r="G25" s="605"/>
    </row>
    <row r="26" spans="1:7" s="358" customFormat="1" ht="15" customHeight="1" x14ac:dyDescent="0.25">
      <c r="A26" s="605" t="str">
        <f>+A2</f>
        <v xml:space="preserve">4/2020. (VI.18.)zárszámadási rendelet </v>
      </c>
      <c r="B26" s="605"/>
      <c r="C26" s="605"/>
      <c r="D26" s="605"/>
      <c r="E26" s="605"/>
      <c r="F26" s="605"/>
      <c r="G26" s="605"/>
    </row>
    <row r="27" spans="1:7" s="358" customFormat="1" ht="15" customHeight="1" x14ac:dyDescent="0.25">
      <c r="A27" s="624" t="s">
        <v>453</v>
      </c>
      <c r="B27" s="624"/>
      <c r="C27" s="624"/>
      <c r="D27" s="624"/>
      <c r="E27" s="624"/>
      <c r="F27" s="624"/>
      <c r="G27" s="624"/>
    </row>
    <row r="28" spans="1:7" s="44" customFormat="1" ht="15" customHeight="1" x14ac:dyDescent="0.25">
      <c r="A28" s="612" t="s">
        <v>76</v>
      </c>
      <c r="B28" s="612"/>
      <c r="C28" s="612" t="s">
        <v>75</v>
      </c>
      <c r="D28" s="627" t="str">
        <f>+D4</f>
        <v>2019. évi eredeti előirányzat</v>
      </c>
      <c r="E28" s="625" t="str">
        <f>+E4</f>
        <v>2019. évi módosított előirányzat</v>
      </c>
      <c r="F28" s="625" t="str">
        <f>+F4</f>
        <v>2019.évi tény</v>
      </c>
      <c r="G28" s="622" t="s">
        <v>271</v>
      </c>
    </row>
    <row r="29" spans="1:7" s="44" customFormat="1" ht="16.899999999999999" customHeight="1" x14ac:dyDescent="0.25">
      <c r="A29" s="612"/>
      <c r="B29" s="612"/>
      <c r="C29" s="612"/>
      <c r="D29" s="628"/>
      <c r="E29" s="626"/>
      <c r="F29" s="626"/>
      <c r="G29" s="623"/>
    </row>
    <row r="30" spans="1:7" s="44" customFormat="1" ht="16.899999999999999" customHeight="1" x14ac:dyDescent="0.25">
      <c r="A30" s="615" t="s">
        <v>74</v>
      </c>
      <c r="B30" s="615"/>
      <c r="C30" s="615"/>
      <c r="D30" s="616"/>
      <c r="E30" s="95"/>
      <c r="F30" s="95"/>
      <c r="G30" s="366"/>
    </row>
    <row r="31" spans="1:7" s="44" customFormat="1" ht="16.899999999999999" customHeight="1" x14ac:dyDescent="0.25">
      <c r="A31" s="615"/>
      <c r="B31" s="67" t="s">
        <v>72</v>
      </c>
      <c r="C31" s="38" t="s">
        <v>82</v>
      </c>
      <c r="D31" s="49">
        <v>4457480</v>
      </c>
      <c r="E31" s="95">
        <v>0</v>
      </c>
      <c r="F31" s="95">
        <v>0</v>
      </c>
      <c r="G31" s="366"/>
    </row>
    <row r="32" spans="1:7" s="44" customFormat="1" ht="16.899999999999999" customHeight="1" x14ac:dyDescent="0.25">
      <c r="A32" s="615"/>
      <c r="B32" s="67"/>
      <c r="C32" s="38" t="s">
        <v>50</v>
      </c>
      <c r="D32" s="49">
        <f>D31</f>
        <v>4457480</v>
      </c>
      <c r="E32" s="95">
        <v>0</v>
      </c>
      <c r="F32" s="95">
        <v>0</v>
      </c>
      <c r="G32" s="366"/>
    </row>
    <row r="33" spans="1:7" s="44" customFormat="1" ht="16.899999999999999" customHeight="1" x14ac:dyDescent="0.25">
      <c r="A33" s="615"/>
      <c r="B33" s="67" t="s">
        <v>80</v>
      </c>
      <c r="C33" s="38"/>
      <c r="D33" s="49">
        <v>1203520</v>
      </c>
      <c r="E33" s="95">
        <v>0</v>
      </c>
      <c r="F33" s="95">
        <v>0</v>
      </c>
      <c r="G33" s="366"/>
    </row>
    <row r="34" spans="1:7" s="44" customFormat="1" ht="15" customHeight="1" x14ac:dyDescent="0.25">
      <c r="A34" s="615"/>
      <c r="B34" s="67"/>
      <c r="C34" s="38" t="s">
        <v>50</v>
      </c>
      <c r="D34" s="49">
        <f>D33</f>
        <v>1203520</v>
      </c>
      <c r="E34" s="95">
        <v>0</v>
      </c>
      <c r="F34" s="95">
        <v>0</v>
      </c>
      <c r="G34" s="366"/>
    </row>
    <row r="35" spans="1:7" x14ac:dyDescent="0.25">
      <c r="A35" s="629" t="s">
        <v>79</v>
      </c>
      <c r="B35" s="630"/>
      <c r="C35" s="631"/>
      <c r="D35" s="48">
        <f>D31+D33</f>
        <v>5661000</v>
      </c>
      <c r="E35" s="98">
        <f>+E32+E34</f>
        <v>0</v>
      </c>
      <c r="F35" s="98">
        <f>+F32+F34</f>
        <v>0</v>
      </c>
      <c r="G35" s="366"/>
    </row>
    <row r="38" spans="1:7" x14ac:dyDescent="0.25">
      <c r="A38" s="605" t="s">
        <v>462</v>
      </c>
      <c r="B38" s="605"/>
      <c r="C38" s="605"/>
      <c r="D38" s="605"/>
      <c r="E38" s="605"/>
      <c r="F38" s="605"/>
      <c r="G38" s="605"/>
    </row>
    <row r="39" spans="1:7" x14ac:dyDescent="0.25">
      <c r="A39" s="587" t="str">
        <f>+A26</f>
        <v xml:space="preserve">4/2020. (VI.18.)zárszámadási rendelet </v>
      </c>
      <c r="B39" s="587"/>
      <c r="C39" s="587"/>
      <c r="D39" s="587"/>
      <c r="E39" s="587"/>
      <c r="F39" s="587"/>
      <c r="G39" s="587"/>
    </row>
    <row r="40" spans="1:7" x14ac:dyDescent="0.25">
      <c r="A40" s="621" t="s">
        <v>454</v>
      </c>
      <c r="B40" s="621"/>
      <c r="C40" s="621"/>
      <c r="D40" s="621"/>
      <c r="E40" s="621"/>
      <c r="F40" s="621"/>
      <c r="G40" s="621"/>
    </row>
    <row r="41" spans="1:7" x14ac:dyDescent="0.25">
      <c r="A41" s="291"/>
      <c r="B41" s="291"/>
      <c r="C41" s="291"/>
      <c r="D41" s="291"/>
      <c r="E41" s="291"/>
      <c r="F41" s="291"/>
      <c r="G41" s="291"/>
    </row>
    <row r="42" spans="1:7" ht="24" x14ac:dyDescent="0.25">
      <c r="A42" s="370" t="s">
        <v>455</v>
      </c>
      <c r="B42" s="371"/>
      <c r="C42" s="371"/>
      <c r="D42" s="368" t="s">
        <v>456</v>
      </c>
      <c r="E42" s="364" t="s">
        <v>269</v>
      </c>
      <c r="F42" s="364" t="s">
        <v>270</v>
      </c>
      <c r="G42" s="364" t="s">
        <v>271</v>
      </c>
    </row>
    <row r="43" spans="1:7" x14ac:dyDescent="0.25">
      <c r="A43" s="372"/>
      <c r="B43" s="373"/>
      <c r="C43" s="373"/>
      <c r="D43" s="373"/>
      <c r="E43" s="373"/>
      <c r="F43" s="365"/>
      <c r="G43" s="366"/>
    </row>
    <row r="44" spans="1:7" x14ac:dyDescent="0.25">
      <c r="A44" s="372"/>
      <c r="B44" s="373"/>
      <c r="C44" s="373"/>
      <c r="D44" s="373"/>
      <c r="E44" s="373"/>
      <c r="F44" s="365"/>
      <c r="G44" s="366"/>
    </row>
    <row r="45" spans="1:7" x14ac:dyDescent="0.25">
      <c r="A45" s="367" t="s">
        <v>457</v>
      </c>
      <c r="B45" s="367"/>
      <c r="C45" s="367"/>
      <c r="D45" s="369">
        <v>0</v>
      </c>
      <c r="E45" s="367">
        <v>0</v>
      </c>
      <c r="F45" s="367">
        <v>0</v>
      </c>
      <c r="G45" s="367">
        <v>0</v>
      </c>
    </row>
  </sheetData>
  <mergeCells count="38">
    <mergeCell ref="A40:G40"/>
    <mergeCell ref="G28:G29"/>
    <mergeCell ref="A25:G25"/>
    <mergeCell ref="A26:G26"/>
    <mergeCell ref="A27:G27"/>
    <mergeCell ref="A38:G38"/>
    <mergeCell ref="A39:G39"/>
    <mergeCell ref="E28:E29"/>
    <mergeCell ref="F28:F29"/>
    <mergeCell ref="D28:D29"/>
    <mergeCell ref="A35:C35"/>
    <mergeCell ref="A33:A34"/>
    <mergeCell ref="A18:F18"/>
    <mergeCell ref="A20:F20"/>
    <mergeCell ref="A16:B16"/>
    <mergeCell ref="A17:B17"/>
    <mergeCell ref="A15:D15"/>
    <mergeCell ref="A28:B29"/>
    <mergeCell ref="A19:B19"/>
    <mergeCell ref="A30:D30"/>
    <mergeCell ref="A31:A32"/>
    <mergeCell ref="C28:C29"/>
    <mergeCell ref="A3:G3"/>
    <mergeCell ref="A2:G2"/>
    <mergeCell ref="A1:F1"/>
    <mergeCell ref="G4:G5"/>
    <mergeCell ref="A23:C23"/>
    <mergeCell ref="A21:B21"/>
    <mergeCell ref="D4:D5"/>
    <mergeCell ref="A10:B12"/>
    <mergeCell ref="A7:B8"/>
    <mergeCell ref="A4:B5"/>
    <mergeCell ref="C4:C5"/>
    <mergeCell ref="A14:B14"/>
    <mergeCell ref="A22:F22"/>
    <mergeCell ref="A6:F6"/>
    <mergeCell ref="A9:F9"/>
    <mergeCell ref="A13:F13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</vt:i4>
      </vt:variant>
    </vt:vector>
  </HeadingPairs>
  <TitlesOfParts>
    <vt:vector size="18" baseType="lpstr">
      <vt:lpstr>1.címrend</vt:lpstr>
      <vt:lpstr>2. mérleg</vt:lpstr>
      <vt:lpstr>3.bevétel-kiadás</vt:lpstr>
      <vt:lpstr>4a. bevételek</vt:lpstr>
      <vt:lpstr>4b.kiadások</vt:lpstr>
      <vt:lpstr>5.3 éves - gördülő</vt:lpstr>
      <vt:lpstr>6.-7- működési-felhalmozási</vt:lpstr>
      <vt:lpstr>8.állami</vt:lpstr>
      <vt:lpstr>9.beruházás</vt:lpstr>
      <vt:lpstr>10.vagyon</vt:lpstr>
      <vt:lpstr>11.pénzmaradvány</vt:lpstr>
      <vt:lpstr>12 közv.tám.</vt:lpstr>
      <vt:lpstr>13.hitel</vt:lpstr>
      <vt:lpstr>14.létszám</vt:lpstr>
      <vt:lpstr>15. Egyszerűsített PJ.</vt:lpstr>
      <vt:lpstr>16. többéves</vt:lpstr>
      <vt:lpstr>17.tul.részesedés</vt:lpstr>
      <vt:lpstr>'2. mérleg'!Nyomtatási_terület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Drávaszabolcs Körjegyzőség</dc:creator>
  <cp:lastModifiedBy>kirendeltsegvezeto</cp:lastModifiedBy>
  <cp:lastPrinted>2020-06-18T07:30:00Z</cp:lastPrinted>
  <dcterms:created xsi:type="dcterms:W3CDTF">2014-04-16T11:50:05Z</dcterms:created>
  <dcterms:modified xsi:type="dcterms:W3CDTF">2020-06-18T07:40:15Z</dcterms:modified>
</cp:coreProperties>
</file>