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85" windowWidth="14400" windowHeight="6450" activeTab="1"/>
  </bookViews>
  <sheets>
    <sheet name="BÉR" sheetId="86" r:id="rId1"/>
    <sheet name="1.sz.tábla " sheetId="42" r:id="rId2"/>
    <sheet name="2.sz.tábla" sheetId="41" r:id="rId3"/>
    <sheet name="2a. tábla" sheetId="82" r:id="rId4"/>
    <sheet name="3.sz.tábla " sheetId="40" r:id="rId5"/>
    <sheet name="4.sz.tábla" sheetId="83" r:id="rId6"/>
    <sheet name="5. sz. tábla" sheetId="50" r:id="rId7"/>
    <sheet name="6. sz. tábla" sheetId="87" r:id="rId8"/>
    <sheet name="7. sz. tábla" sheetId="88" r:id="rId9"/>
    <sheet name="8. sz. tábla" sheetId="89" r:id="rId10"/>
  </sheets>
  <externalReferences>
    <externalReference r:id="rId11"/>
    <externalReference r:id="rId12"/>
  </externalReferences>
  <definedNames>
    <definedName name="_xlnm.Print_Titles" localSheetId="2">'2.sz.tábla'!$3:$4</definedName>
    <definedName name="_xlnm.Print_Area" localSheetId="1">'1.sz.tábla '!$A$1:$E$34</definedName>
    <definedName name="_xlnm.Print_Area" localSheetId="2">'2.sz.tábla'!$A$3:$E$75</definedName>
    <definedName name="_xlnm.Print_Area" localSheetId="3">'2a. tábla'!$A$1:$G$50</definedName>
    <definedName name="_xlnm.Print_Area" localSheetId="4">'3.sz.tábla '!$A$2:$E$36</definedName>
    <definedName name="_xlnm.Print_Area" localSheetId="5">'4.sz.tábla'!$A$1:$E$24</definedName>
    <definedName name="_xlnm.Print_Area" localSheetId="6">'5. sz. tábla'!$A$1:$E$29</definedName>
    <definedName name="_xlnm.Print_Area" localSheetId="7">'6. sz. tábla'!$A$1:$J$62</definedName>
    <definedName name="_xlnm.Print_Area" localSheetId="8">'7. sz. tábla'!$A$1:$J$31</definedName>
    <definedName name="_xlnm.Print_Area" localSheetId="9">'8. sz. tábla'!$A$1:$N$36</definedName>
    <definedName name="onev">[1]kod!$BT$34:$BT$3186</definedName>
  </definedNames>
  <calcPr calcId="144525"/>
</workbook>
</file>

<file path=xl/calcChain.xml><?xml version="1.0" encoding="utf-8"?>
<calcChain xmlns="http://schemas.openxmlformats.org/spreadsheetml/2006/main">
  <c r="B36" i="89" l="1"/>
  <c r="D68" i="88"/>
  <c r="D69" i="88"/>
  <c r="D67" i="88"/>
  <c r="D66" i="88"/>
  <c r="D76" i="88" s="1"/>
  <c r="I29" i="88"/>
  <c r="I28" i="88"/>
  <c r="I24" i="88"/>
  <c r="I23" i="88"/>
  <c r="I21" i="88"/>
  <c r="I18" i="88"/>
  <c r="I16" i="88"/>
  <c r="I17" i="88" s="1"/>
  <c r="I19" i="88" s="1"/>
  <c r="I8" i="88"/>
  <c r="I9" i="88"/>
  <c r="I10" i="88"/>
  <c r="I11" i="88"/>
  <c r="I12" i="88"/>
  <c r="I13" i="88"/>
  <c r="I14" i="88"/>
  <c r="I15" i="88"/>
  <c r="I7" i="88"/>
  <c r="D31" i="88"/>
  <c r="D30" i="88"/>
  <c r="D29" i="88"/>
  <c r="D28" i="88"/>
  <c r="D21" i="88"/>
  <c r="D19" i="88"/>
  <c r="D17" i="88"/>
  <c r="D18" i="88"/>
  <c r="D9" i="88"/>
  <c r="D8" i="88"/>
  <c r="D7" i="88"/>
  <c r="I30" i="88" l="1"/>
  <c r="I87" i="88"/>
  <c r="I78" i="88"/>
  <c r="D78" i="88"/>
  <c r="D84" i="88"/>
  <c r="D87" i="88" s="1"/>
  <c r="I24" i="87"/>
  <c r="I63" i="87"/>
  <c r="I62" i="87"/>
  <c r="I58" i="87"/>
  <c r="I57" i="87"/>
  <c r="I55" i="87"/>
  <c r="D41" i="87"/>
  <c r="D40" i="87"/>
  <c r="I29" i="87"/>
  <c r="I31" i="87"/>
  <c r="I32" i="87"/>
  <c r="D29" i="87"/>
  <c r="D37" i="87" s="1"/>
  <c r="D53" i="87" s="1"/>
  <c r="D61" i="87"/>
  <c r="I31" i="88" l="1"/>
  <c r="I88" i="88"/>
  <c r="D88" i="88"/>
  <c r="I56" i="87"/>
  <c r="I37" i="87"/>
  <c r="D39" i="87"/>
  <c r="D44" i="87" s="1"/>
  <c r="I19" i="87"/>
  <c r="I18" i="87" s="1"/>
  <c r="D20" i="87"/>
  <c r="D60" i="87" s="1"/>
  <c r="D59" i="87" s="1"/>
  <c r="D23" i="87"/>
  <c r="D19" i="87"/>
  <c r="D18" i="87" s="1"/>
  <c r="D57" i="87" l="1"/>
  <c r="D56" i="87" s="1"/>
  <c r="I53" i="87"/>
  <c r="I44" i="87"/>
  <c r="I38" i="87"/>
  <c r="I15" i="87"/>
  <c r="I13" i="87"/>
  <c r="I12" i="87"/>
  <c r="J11" i="87"/>
  <c r="I9" i="87"/>
  <c r="I7" i="87"/>
  <c r="I8" i="87"/>
  <c r="I6" i="87"/>
  <c r="D8" i="87"/>
  <c r="D7" i="87"/>
  <c r="D6" i="87"/>
  <c r="D16" i="87" l="1"/>
  <c r="I10" i="87"/>
  <c r="N35" i="89"/>
  <c r="O33" i="89"/>
  <c r="M33" i="89"/>
  <c r="L33" i="89"/>
  <c r="K33" i="89"/>
  <c r="J33" i="89"/>
  <c r="I33" i="89"/>
  <c r="H33" i="89"/>
  <c r="N33" i="89" s="1"/>
  <c r="G33" i="89"/>
  <c r="M31" i="89"/>
  <c r="K31" i="89"/>
  <c r="I31" i="89"/>
  <c r="I32" i="89" s="1"/>
  <c r="I34" i="89" s="1"/>
  <c r="G31" i="89"/>
  <c r="F31" i="89"/>
  <c r="E31" i="89"/>
  <c r="E32" i="89" s="1"/>
  <c r="E34" i="89" s="1"/>
  <c r="D31" i="89"/>
  <c r="C31" i="89"/>
  <c r="C32" i="89" s="1"/>
  <c r="C34" i="89" s="1"/>
  <c r="B31" i="89"/>
  <c r="O30" i="89"/>
  <c r="P30" i="89" s="1"/>
  <c r="N30" i="89"/>
  <c r="O29" i="89"/>
  <c r="N29" i="89"/>
  <c r="O28" i="89"/>
  <c r="M28" i="89"/>
  <c r="L28" i="89"/>
  <c r="L31" i="89" s="1"/>
  <c r="L32" i="89" s="1"/>
  <c r="L34" i="89" s="1"/>
  <c r="K28" i="89"/>
  <c r="J28" i="89"/>
  <c r="J31" i="89" s="1"/>
  <c r="J32" i="89" s="1"/>
  <c r="J34" i="89" s="1"/>
  <c r="I28" i="89"/>
  <c r="H28" i="89"/>
  <c r="H31" i="89" s="1"/>
  <c r="H32" i="89" s="1"/>
  <c r="H34" i="89" s="1"/>
  <c r="G28" i="89"/>
  <c r="L27" i="89"/>
  <c r="H27" i="89"/>
  <c r="F27" i="89"/>
  <c r="F32" i="89" s="1"/>
  <c r="F34" i="89" s="1"/>
  <c r="E27" i="89"/>
  <c r="D27" i="89"/>
  <c r="D32" i="89" s="1"/>
  <c r="D34" i="89" s="1"/>
  <c r="C27" i="89"/>
  <c r="B27" i="89"/>
  <c r="O26" i="89"/>
  <c r="N26" i="89"/>
  <c r="P26" i="89" s="1"/>
  <c r="O25" i="89"/>
  <c r="M25" i="89"/>
  <c r="L25" i="89"/>
  <c r="K25" i="89"/>
  <c r="J25" i="89"/>
  <c r="J27" i="89" s="1"/>
  <c r="I25" i="89"/>
  <c r="H25" i="89"/>
  <c r="G25" i="89"/>
  <c r="O24" i="89"/>
  <c r="P24" i="89" s="1"/>
  <c r="N24" i="89"/>
  <c r="O23" i="89"/>
  <c r="M23" i="89"/>
  <c r="L23" i="89"/>
  <c r="K23" i="89"/>
  <c r="J23" i="89"/>
  <c r="I23" i="89"/>
  <c r="H23" i="89"/>
  <c r="G23" i="89"/>
  <c r="N23" i="89" s="1"/>
  <c r="O22" i="89"/>
  <c r="M22" i="89"/>
  <c r="L22" i="89"/>
  <c r="K22" i="89"/>
  <c r="J22" i="89"/>
  <c r="I22" i="89"/>
  <c r="H22" i="89"/>
  <c r="G22" i="89"/>
  <c r="N22" i="89" s="1"/>
  <c r="O21" i="89"/>
  <c r="M21" i="89"/>
  <c r="L21" i="89"/>
  <c r="K21" i="89"/>
  <c r="J21" i="89"/>
  <c r="I21" i="89"/>
  <c r="H21" i="89"/>
  <c r="G21" i="89"/>
  <c r="N21" i="89" s="1"/>
  <c r="O20" i="89"/>
  <c r="M20" i="89"/>
  <c r="M27" i="89" s="1"/>
  <c r="L20" i="89"/>
  <c r="K20" i="89"/>
  <c r="K27" i="89" s="1"/>
  <c r="J20" i="89"/>
  <c r="I20" i="89"/>
  <c r="I27" i="89" s="1"/>
  <c r="H20" i="89"/>
  <c r="G20" i="89"/>
  <c r="N20" i="89" s="1"/>
  <c r="O18" i="89"/>
  <c r="N18" i="89"/>
  <c r="O17" i="89"/>
  <c r="M17" i="89"/>
  <c r="L17" i="89"/>
  <c r="K17" i="89"/>
  <c r="J17" i="89"/>
  <c r="I17" i="89"/>
  <c r="H17" i="89"/>
  <c r="G17" i="89"/>
  <c r="N17" i="89" s="1"/>
  <c r="E16" i="89"/>
  <c r="E19" i="89" s="1"/>
  <c r="C16" i="89"/>
  <c r="C19" i="89" s="1"/>
  <c r="M15" i="89"/>
  <c r="L15" i="89"/>
  <c r="K15" i="89"/>
  <c r="J15" i="89"/>
  <c r="I15" i="89"/>
  <c r="H15" i="89"/>
  <c r="G15" i="89"/>
  <c r="F15" i="89"/>
  <c r="E15" i="89"/>
  <c r="D15" i="89"/>
  <c r="C15" i="89"/>
  <c r="B15" i="89"/>
  <c r="N15" i="89" s="1"/>
  <c r="O14" i="89"/>
  <c r="N14" i="89"/>
  <c r="O13" i="89"/>
  <c r="P13" i="89" s="1"/>
  <c r="N13" i="89"/>
  <c r="O12" i="89"/>
  <c r="O15" i="89" s="1"/>
  <c r="N12" i="89"/>
  <c r="F11" i="89"/>
  <c r="F16" i="89" s="1"/>
  <c r="F19" i="89" s="1"/>
  <c r="E11" i="89"/>
  <c r="D11" i="89"/>
  <c r="D16" i="89" s="1"/>
  <c r="D19" i="89" s="1"/>
  <c r="C11" i="89"/>
  <c r="B11" i="89"/>
  <c r="N10" i="89"/>
  <c r="P10" i="89" s="1"/>
  <c r="O9" i="89"/>
  <c r="M9" i="89"/>
  <c r="K9" i="89"/>
  <c r="J9" i="89"/>
  <c r="G9" i="89"/>
  <c r="N9" i="89" s="1"/>
  <c r="P9" i="89" s="1"/>
  <c r="O8" i="89"/>
  <c r="N8" i="89"/>
  <c r="M8" i="89"/>
  <c r="L8" i="89"/>
  <c r="K8" i="89"/>
  <c r="J8" i="89"/>
  <c r="I8" i="89"/>
  <c r="H8" i="89"/>
  <c r="G8" i="89"/>
  <c r="O7" i="89"/>
  <c r="M7" i="89"/>
  <c r="M11" i="89" s="1"/>
  <c r="M16" i="89" s="1"/>
  <c r="M19" i="89" s="1"/>
  <c r="L7" i="89"/>
  <c r="L11" i="89" s="1"/>
  <c r="L16" i="89" s="1"/>
  <c r="L19" i="89" s="1"/>
  <c r="K7" i="89"/>
  <c r="K11" i="89" s="1"/>
  <c r="K16" i="89" s="1"/>
  <c r="K19" i="89" s="1"/>
  <c r="J7" i="89"/>
  <c r="J11" i="89" s="1"/>
  <c r="J16" i="89" s="1"/>
  <c r="J19" i="89" s="1"/>
  <c r="I7" i="89"/>
  <c r="I11" i="89" s="1"/>
  <c r="I16" i="89" s="1"/>
  <c r="I19" i="89" s="1"/>
  <c r="H7" i="89"/>
  <c r="H11" i="89" s="1"/>
  <c r="H16" i="89" s="1"/>
  <c r="H19" i="89" s="1"/>
  <c r="G7" i="89"/>
  <c r="G11" i="89" s="1"/>
  <c r="G16" i="89" s="1"/>
  <c r="G19" i="89" s="1"/>
  <c r="J87" i="88"/>
  <c r="H87" i="88"/>
  <c r="G87" i="88"/>
  <c r="E84" i="88"/>
  <c r="E87" i="88" s="1"/>
  <c r="C84" i="88"/>
  <c r="C87" i="88" s="1"/>
  <c r="B84" i="88"/>
  <c r="B87" i="88" s="1"/>
  <c r="H78" i="88"/>
  <c r="G78" i="88"/>
  <c r="J76" i="88"/>
  <c r="J78" i="88" s="1"/>
  <c r="H76" i="88"/>
  <c r="G76" i="88"/>
  <c r="J60" i="88"/>
  <c r="E60" i="88"/>
  <c r="H59" i="88"/>
  <c r="H61" i="88" s="1"/>
  <c r="G59" i="88"/>
  <c r="G61" i="88" s="1"/>
  <c r="C59" i="88"/>
  <c r="B59" i="88"/>
  <c r="B29" i="88" s="1"/>
  <c r="J58" i="88"/>
  <c r="H58" i="88"/>
  <c r="G58" i="88"/>
  <c r="J57" i="88"/>
  <c r="E57" i="88"/>
  <c r="J56" i="88"/>
  <c r="E56" i="88"/>
  <c r="J55" i="88"/>
  <c r="E55" i="88"/>
  <c r="J54" i="88"/>
  <c r="E54" i="88"/>
  <c r="J53" i="88"/>
  <c r="E53" i="88"/>
  <c r="J52" i="88"/>
  <c r="C52" i="88"/>
  <c r="B52" i="88"/>
  <c r="B23" i="88" s="1"/>
  <c r="J51" i="88"/>
  <c r="C51" i="88"/>
  <c r="C22" i="88" s="1"/>
  <c r="B51" i="88"/>
  <c r="J50" i="88"/>
  <c r="E50" i="88"/>
  <c r="J49" i="88"/>
  <c r="E49" i="88"/>
  <c r="G48" i="88"/>
  <c r="E47" i="88"/>
  <c r="H46" i="88"/>
  <c r="J46" i="88" s="1"/>
  <c r="G46" i="88"/>
  <c r="C46" i="88"/>
  <c r="C48" i="88" s="1"/>
  <c r="B46" i="88"/>
  <c r="B48" i="88" s="1"/>
  <c r="E45" i="88"/>
  <c r="E44" i="88"/>
  <c r="J43" i="88"/>
  <c r="E43" i="88"/>
  <c r="E42" i="88"/>
  <c r="E41" i="88"/>
  <c r="E40" i="88"/>
  <c r="E39" i="88"/>
  <c r="J38" i="88"/>
  <c r="E38" i="88"/>
  <c r="H29" i="88"/>
  <c r="J29" i="88" s="1"/>
  <c r="G29" i="88"/>
  <c r="C29" i="88"/>
  <c r="E29" i="88" s="1"/>
  <c r="J27" i="88"/>
  <c r="E27" i="88"/>
  <c r="J26" i="88"/>
  <c r="E26" i="88"/>
  <c r="J25" i="88"/>
  <c r="E25" i="88"/>
  <c r="H24" i="88"/>
  <c r="J24" i="88" s="1"/>
  <c r="G24" i="88"/>
  <c r="E24" i="88"/>
  <c r="H23" i="88"/>
  <c r="J23" i="88" s="1"/>
  <c r="G23" i="88"/>
  <c r="C23" i="88"/>
  <c r="H21" i="88"/>
  <c r="J21" i="88" s="1"/>
  <c r="G21" i="88"/>
  <c r="C21" i="88"/>
  <c r="E21" i="88" s="1"/>
  <c r="B21" i="88"/>
  <c r="J20" i="88"/>
  <c r="H18" i="88"/>
  <c r="J18" i="88" s="1"/>
  <c r="G18" i="88"/>
  <c r="C18" i="88"/>
  <c r="E18" i="88" s="1"/>
  <c r="B18" i="88"/>
  <c r="H16" i="88"/>
  <c r="J16" i="88" s="1"/>
  <c r="G16" i="88"/>
  <c r="E16" i="88"/>
  <c r="H15" i="88"/>
  <c r="J15" i="88" s="1"/>
  <c r="G15" i="88"/>
  <c r="E15" i="88"/>
  <c r="H14" i="88"/>
  <c r="J14" i="88" s="1"/>
  <c r="G14" i="88"/>
  <c r="E14" i="88"/>
  <c r="H13" i="88"/>
  <c r="J13" i="88" s="1"/>
  <c r="G13" i="88"/>
  <c r="E13" i="88"/>
  <c r="H12" i="88"/>
  <c r="J12" i="88" s="1"/>
  <c r="G12" i="88"/>
  <c r="E12" i="88"/>
  <c r="E11" i="88"/>
  <c r="H10" i="88"/>
  <c r="J10" i="88" s="1"/>
  <c r="G10" i="88"/>
  <c r="C10" i="88"/>
  <c r="B10" i="88"/>
  <c r="B69" i="88" s="1"/>
  <c r="H9" i="88"/>
  <c r="J9" i="88" s="1"/>
  <c r="G9" i="88"/>
  <c r="C9" i="88"/>
  <c r="B9" i="88"/>
  <c r="B68" i="88" s="1"/>
  <c r="H8" i="88"/>
  <c r="J8" i="88" s="1"/>
  <c r="G8" i="88"/>
  <c r="C8" i="88"/>
  <c r="C67" i="88" s="1"/>
  <c r="E67" i="88" s="1"/>
  <c r="B8" i="88"/>
  <c r="B67" i="88" s="1"/>
  <c r="H7" i="88"/>
  <c r="J7" i="88" s="1"/>
  <c r="G7" i="88"/>
  <c r="C7" i="88"/>
  <c r="B7" i="88"/>
  <c r="B66" i="88" s="1"/>
  <c r="B76" i="88" s="1"/>
  <c r="B78" i="88" s="1"/>
  <c r="J43" i="87"/>
  <c r="E43" i="87"/>
  <c r="J42" i="87"/>
  <c r="E42" i="87"/>
  <c r="J41" i="87"/>
  <c r="C41" i="87"/>
  <c r="C61" i="87" s="1"/>
  <c r="B41" i="87"/>
  <c r="J40" i="87"/>
  <c r="C40" i="87"/>
  <c r="B40" i="87"/>
  <c r="H39" i="87"/>
  <c r="G39" i="87"/>
  <c r="G58" i="87" s="1"/>
  <c r="J36" i="87"/>
  <c r="J35" i="87"/>
  <c r="J34" i="87"/>
  <c r="J33" i="87"/>
  <c r="H32" i="87"/>
  <c r="J32" i="87" s="1"/>
  <c r="G32" i="87"/>
  <c r="H31" i="87"/>
  <c r="J31" i="87" s="1"/>
  <c r="G31" i="87"/>
  <c r="C31" i="87"/>
  <c r="B31" i="87"/>
  <c r="C30" i="87"/>
  <c r="B30" i="87"/>
  <c r="H29" i="87"/>
  <c r="J29" i="87" s="1"/>
  <c r="G29" i="87"/>
  <c r="C29" i="87"/>
  <c r="B29" i="87"/>
  <c r="J23" i="87"/>
  <c r="C23" i="87"/>
  <c r="E23" i="87" s="1"/>
  <c r="B23" i="87"/>
  <c r="H22" i="87"/>
  <c r="G22" i="87"/>
  <c r="C21" i="87"/>
  <c r="B21" i="87"/>
  <c r="H19" i="87"/>
  <c r="G19" i="87"/>
  <c r="C19" i="87"/>
  <c r="B19" i="87"/>
  <c r="B18" i="87" s="1"/>
  <c r="B57" i="87" s="1"/>
  <c r="B56" i="87" s="1"/>
  <c r="E17" i="87"/>
  <c r="H15" i="87"/>
  <c r="J15" i="87" s="1"/>
  <c r="G15" i="87"/>
  <c r="H13" i="87"/>
  <c r="J13" i="87" s="1"/>
  <c r="G13" i="87"/>
  <c r="H12" i="87"/>
  <c r="J12" i="87" s="1"/>
  <c r="G12" i="87"/>
  <c r="H9" i="87"/>
  <c r="J9" i="87" s="1"/>
  <c r="G9" i="87"/>
  <c r="H8" i="87"/>
  <c r="J8" i="87" s="1"/>
  <c r="G8" i="87"/>
  <c r="C8" i="87"/>
  <c r="E8" i="87" s="1"/>
  <c r="B8" i="87"/>
  <c r="H7" i="87"/>
  <c r="J7" i="87" s="1"/>
  <c r="G7" i="87"/>
  <c r="C7" i="87"/>
  <c r="E7" i="87" s="1"/>
  <c r="B7" i="87"/>
  <c r="H6" i="87"/>
  <c r="J6" i="87" s="1"/>
  <c r="G6" i="87"/>
  <c r="C6" i="87"/>
  <c r="E6" i="87" s="1"/>
  <c r="B6" i="87"/>
  <c r="B16" i="87" s="1"/>
  <c r="P12" i="89" l="1"/>
  <c r="P14" i="89"/>
  <c r="P18" i="89"/>
  <c r="G11" i="88"/>
  <c r="H10" i="87"/>
  <c r="H16" i="87" s="1"/>
  <c r="O31" i="89"/>
  <c r="C66" i="88"/>
  <c r="E7" i="88"/>
  <c r="E9" i="88"/>
  <c r="C68" i="88"/>
  <c r="E68" i="88" s="1"/>
  <c r="E10" i="88"/>
  <c r="C69" i="88"/>
  <c r="E69" i="88" s="1"/>
  <c r="H18" i="87"/>
  <c r="J18" i="87" s="1"/>
  <c r="J19" i="87"/>
  <c r="J39" i="87"/>
  <c r="J58" i="87" s="1"/>
  <c r="E41" i="87"/>
  <c r="E61" i="87" s="1"/>
  <c r="J10" i="87"/>
  <c r="I16" i="87"/>
  <c r="C18" i="87"/>
  <c r="E19" i="87"/>
  <c r="D52" i="87"/>
  <c r="D54" i="87" s="1"/>
  <c r="D62" i="87" s="1"/>
  <c r="D24" i="87"/>
  <c r="C39" i="87"/>
  <c r="E39" i="87" s="1"/>
  <c r="E40" i="87"/>
  <c r="B58" i="88"/>
  <c r="B61" i="88" s="1"/>
  <c r="E52" i="88"/>
  <c r="E59" i="88"/>
  <c r="G28" i="88"/>
  <c r="G30" i="88" s="1"/>
  <c r="C28" i="88"/>
  <c r="C30" i="88" s="1"/>
  <c r="E30" i="88" s="1"/>
  <c r="H11" i="88"/>
  <c r="J11" i="88" s="1"/>
  <c r="E8" i="88"/>
  <c r="E51" i="88"/>
  <c r="B20" i="87"/>
  <c r="B60" i="87" s="1"/>
  <c r="C20" i="87"/>
  <c r="J22" i="87"/>
  <c r="H37" i="87"/>
  <c r="H44" i="87" s="1"/>
  <c r="J44" i="87" s="1"/>
  <c r="E29" i="87"/>
  <c r="E30" i="87"/>
  <c r="E23" i="88"/>
  <c r="O27" i="89"/>
  <c r="O32" i="89" s="1"/>
  <c r="O34" i="89" s="1"/>
  <c r="P33" i="89"/>
  <c r="E21" i="87"/>
  <c r="E31" i="87"/>
  <c r="C16" i="87"/>
  <c r="G17" i="88"/>
  <c r="G19" i="88" s="1"/>
  <c r="H28" i="88"/>
  <c r="J28" i="88" s="1"/>
  <c r="C58" i="88"/>
  <c r="C61" i="88" s="1"/>
  <c r="O11" i="89"/>
  <c r="O16" i="89" s="1"/>
  <c r="O19" i="89" s="1"/>
  <c r="O36" i="89" s="1"/>
  <c r="P8" i="89"/>
  <c r="P15" i="89"/>
  <c r="P20" i="89"/>
  <c r="P21" i="89"/>
  <c r="P22" i="89"/>
  <c r="P23" i="89"/>
  <c r="P29" i="89"/>
  <c r="B37" i="87"/>
  <c r="B53" i="87" s="1"/>
  <c r="B17" i="88"/>
  <c r="B19" i="88" s="1"/>
  <c r="P17" i="89"/>
  <c r="K32" i="89"/>
  <c r="K34" i="89" s="1"/>
  <c r="N31" i="89"/>
  <c r="P31" i="89" s="1"/>
  <c r="M32" i="89"/>
  <c r="M34" i="89" s="1"/>
  <c r="N11" i="89"/>
  <c r="B16" i="89"/>
  <c r="G27" i="89"/>
  <c r="N27" i="89" s="1"/>
  <c r="N25" i="89"/>
  <c r="P25" i="89" s="1"/>
  <c r="N28" i="89"/>
  <c r="P28" i="89" s="1"/>
  <c r="B32" i="89"/>
  <c r="N7" i="89"/>
  <c r="P7" i="89" s="1"/>
  <c r="E48" i="88"/>
  <c r="J61" i="88"/>
  <c r="C17" i="88"/>
  <c r="E17" i="88" s="1"/>
  <c r="B22" i="88"/>
  <c r="E22" i="88" s="1"/>
  <c r="E46" i="88"/>
  <c r="J59" i="88"/>
  <c r="H48" i="88"/>
  <c r="J48" i="88" s="1"/>
  <c r="H17" i="88"/>
  <c r="J17" i="88" s="1"/>
  <c r="B52" i="87"/>
  <c r="G37" i="87"/>
  <c r="H58" i="87"/>
  <c r="B61" i="87"/>
  <c r="G10" i="87"/>
  <c r="G16" i="87" s="1"/>
  <c r="G18" i="87"/>
  <c r="G57" i="87" s="1"/>
  <c r="G56" i="87" s="1"/>
  <c r="C37" i="87"/>
  <c r="B39" i="87"/>
  <c r="C24" i="87" l="1"/>
  <c r="C52" i="87"/>
  <c r="H17" i="87"/>
  <c r="E16" i="87"/>
  <c r="E66" i="88"/>
  <c r="E76" i="88" s="1"/>
  <c r="E78" i="88" s="1"/>
  <c r="C76" i="88"/>
  <c r="C78" i="88" s="1"/>
  <c r="P11" i="89"/>
  <c r="H38" i="87"/>
  <c r="H53" i="87"/>
  <c r="J53" i="87" s="1"/>
  <c r="G24" i="87"/>
  <c r="G17" i="87"/>
  <c r="B24" i="87"/>
  <c r="C60" i="87"/>
  <c r="C59" i="87" s="1"/>
  <c r="E20" i="87"/>
  <c r="E60" i="87" s="1"/>
  <c r="E59" i="87" s="1"/>
  <c r="E24" i="87"/>
  <c r="C57" i="87"/>
  <c r="C56" i="87" s="1"/>
  <c r="E18" i="87"/>
  <c r="E57" i="87" s="1"/>
  <c r="E56" i="87" s="1"/>
  <c r="H57" i="87"/>
  <c r="E52" i="87"/>
  <c r="I52" i="87"/>
  <c r="I54" i="87" s="1"/>
  <c r="J16" i="87"/>
  <c r="J24" i="87" s="1"/>
  <c r="I17" i="87"/>
  <c r="E58" i="88"/>
  <c r="G31" i="88"/>
  <c r="H30" i="88"/>
  <c r="J30" i="88" s="1"/>
  <c r="E61" i="88"/>
  <c r="B59" i="87"/>
  <c r="H24" i="87"/>
  <c r="H52" i="87"/>
  <c r="G88" i="88"/>
  <c r="P27" i="89"/>
  <c r="B34" i="89"/>
  <c r="B19" i="89"/>
  <c r="N16" i="89"/>
  <c r="G32" i="89"/>
  <c r="G34" i="89" s="1"/>
  <c r="C19" i="88"/>
  <c r="E19" i="88" s="1"/>
  <c r="B28" i="88"/>
  <c r="H19" i="88"/>
  <c r="J19" i="88" s="1"/>
  <c r="G52" i="87"/>
  <c r="B44" i="87"/>
  <c r="H56" i="87"/>
  <c r="E37" i="87"/>
  <c r="E53" i="87" s="1"/>
  <c r="C53" i="87"/>
  <c r="C54" i="87" s="1"/>
  <c r="C44" i="87"/>
  <c r="E44" i="87" s="1"/>
  <c r="G53" i="87"/>
  <c r="G44" i="87"/>
  <c r="G38" i="87"/>
  <c r="J38" i="87" s="1"/>
  <c r="B54" i="87"/>
  <c r="J37" i="87"/>
  <c r="B62" i="87" l="1"/>
  <c r="J17" i="87"/>
  <c r="H54" i="87"/>
  <c r="H55" i="87" s="1"/>
  <c r="J52" i="87"/>
  <c r="J54" i="87" s="1"/>
  <c r="H62" i="87"/>
  <c r="E54" i="87"/>
  <c r="E62" i="87" s="1"/>
  <c r="G54" i="87"/>
  <c r="G62" i="87" s="1"/>
  <c r="G63" i="87" s="1"/>
  <c r="C31" i="88"/>
  <c r="C88" i="88"/>
  <c r="J31" i="88"/>
  <c r="J88" i="88"/>
  <c r="N32" i="89"/>
  <c r="P32" i="89" s="1"/>
  <c r="N34" i="89"/>
  <c r="P34" i="89" s="1"/>
  <c r="P16" i="89"/>
  <c r="N19" i="89"/>
  <c r="P19" i="89" s="1"/>
  <c r="C6" i="89"/>
  <c r="C36" i="89" s="1"/>
  <c r="D6" i="89" s="1"/>
  <c r="D36" i="89" s="1"/>
  <c r="E6" i="89" s="1"/>
  <c r="E36" i="89" s="1"/>
  <c r="F6" i="89" s="1"/>
  <c r="F36" i="89" s="1"/>
  <c r="G6" i="89" s="1"/>
  <c r="G36" i="89" s="1"/>
  <c r="H6" i="89" s="1"/>
  <c r="H36" i="89" s="1"/>
  <c r="I6" i="89" s="1"/>
  <c r="I36" i="89" s="1"/>
  <c r="J6" i="89" s="1"/>
  <c r="J36" i="89" s="1"/>
  <c r="K6" i="89" s="1"/>
  <c r="K36" i="89" s="1"/>
  <c r="L6" i="89" s="1"/>
  <c r="L36" i="89" s="1"/>
  <c r="M6" i="89" s="1"/>
  <c r="M36" i="89" s="1"/>
  <c r="H31" i="88"/>
  <c r="B30" i="88"/>
  <c r="E28" i="88"/>
  <c r="H88" i="88"/>
  <c r="C62" i="87"/>
  <c r="H63" i="87" s="1"/>
  <c r="J57" i="87"/>
  <c r="J56" i="87" s="1"/>
  <c r="J62" i="87" s="1"/>
  <c r="J63" i="87" s="1"/>
  <c r="G55" i="87" l="1"/>
  <c r="N36" i="89"/>
  <c r="B31" i="88"/>
  <c r="B88" i="88"/>
  <c r="J55" i="87"/>
  <c r="E31" i="88" l="1"/>
  <c r="E88" i="88"/>
  <c r="E17" i="41" l="1"/>
  <c r="E18" i="41"/>
  <c r="D18" i="41"/>
  <c r="F36" i="40"/>
  <c r="D26" i="42"/>
  <c r="E14" i="42" l="1"/>
  <c r="E69" i="41"/>
  <c r="E71" i="41" l="1"/>
  <c r="D71" i="41"/>
  <c r="E67" i="41"/>
  <c r="E66" i="41"/>
  <c r="D7" i="40"/>
  <c r="D6" i="40"/>
  <c r="E6" i="40" s="1"/>
  <c r="E19" i="41" l="1"/>
  <c r="C26" i="42" l="1"/>
  <c r="E26" i="42" s="1"/>
  <c r="E27" i="42"/>
  <c r="E28" i="42"/>
  <c r="D20" i="50"/>
  <c r="E16" i="41"/>
  <c r="D16" i="41"/>
  <c r="G50" i="82"/>
  <c r="F50" i="82"/>
  <c r="D10" i="41"/>
  <c r="E10" i="41" s="1"/>
  <c r="G34" i="82"/>
  <c r="G6" i="82"/>
  <c r="E8" i="40"/>
  <c r="D8" i="40"/>
  <c r="E28" i="40"/>
  <c r="D4" i="50"/>
  <c r="C36" i="40"/>
  <c r="D40" i="41" l="1"/>
  <c r="E23" i="40"/>
  <c r="E17" i="40"/>
  <c r="E16" i="40"/>
  <c r="C17" i="40"/>
  <c r="E22" i="40"/>
  <c r="D22" i="40"/>
  <c r="E24" i="83"/>
  <c r="D24" i="83"/>
  <c r="D32" i="40"/>
  <c r="D28" i="40" s="1"/>
  <c r="C32" i="40"/>
  <c r="D35" i="40"/>
  <c r="D69" i="41"/>
  <c r="E32" i="40" l="1"/>
  <c r="D66" i="41"/>
  <c r="D72" i="41" s="1"/>
  <c r="D61" i="41"/>
  <c r="D11" i="42" s="1"/>
  <c r="C57" i="41"/>
  <c r="D57" i="41"/>
  <c r="D52" i="41"/>
  <c r="D9" i="42" s="1"/>
  <c r="D35" i="41"/>
  <c r="D32" i="41"/>
  <c r="D28" i="41"/>
  <c r="D32" i="42"/>
  <c r="D31" i="42"/>
  <c r="D30" i="42"/>
  <c r="C30" i="42"/>
  <c r="D25" i="42"/>
  <c r="D14" i="42"/>
  <c r="D13" i="42"/>
  <c r="D10" i="42"/>
  <c r="D8" i="42"/>
  <c r="D21" i="41"/>
  <c r="D20" i="41" s="1"/>
  <c r="D6" i="42" s="1"/>
  <c r="D9" i="41"/>
  <c r="D8" i="41"/>
  <c r="G44" i="82"/>
  <c r="G38" i="82"/>
  <c r="G35" i="82"/>
  <c r="G25" i="82"/>
  <c r="G22" i="82"/>
  <c r="G19" i="82"/>
  <c r="G10" i="82"/>
  <c r="E8" i="83"/>
  <c r="E7" i="83"/>
  <c r="D21" i="42"/>
  <c r="E5" i="50"/>
  <c r="E24" i="50"/>
  <c r="D23" i="50"/>
  <c r="D23" i="42" s="1"/>
  <c r="E20" i="50"/>
  <c r="D17" i="50"/>
  <c r="D22" i="42" s="1"/>
  <c r="D20" i="42" l="1"/>
  <c r="D29" i="50"/>
  <c r="D33" i="42"/>
  <c r="D15" i="42"/>
  <c r="D31" i="41"/>
  <c r="D27" i="41" s="1"/>
  <c r="D4" i="83"/>
  <c r="E4" i="83" s="1"/>
  <c r="E13" i="83"/>
  <c r="E12" i="83"/>
  <c r="E11" i="83"/>
  <c r="D11" i="83"/>
  <c r="E5" i="83"/>
  <c r="D5" i="83"/>
  <c r="D24" i="40"/>
  <c r="D7" i="42" l="1"/>
  <c r="E8" i="50"/>
  <c r="E9" i="50"/>
  <c r="E10" i="50"/>
  <c r="E11" i="50"/>
  <c r="E12" i="50"/>
  <c r="E13" i="50"/>
  <c r="E14" i="50"/>
  <c r="E15" i="50"/>
  <c r="E16" i="50"/>
  <c r="E6" i="50"/>
  <c r="B4" i="50"/>
  <c r="C18" i="41" l="1"/>
  <c r="B8" i="40" l="1"/>
  <c r="C71" i="41" l="1"/>
  <c r="C16" i="41"/>
  <c r="E26" i="40"/>
  <c r="E25" i="40"/>
  <c r="C24" i="40"/>
  <c r="C16" i="40"/>
  <c r="C8" i="40" s="1"/>
  <c r="C7" i="40"/>
  <c r="E7" i="40" s="1"/>
  <c r="C6" i="40"/>
  <c r="C12" i="83"/>
  <c r="C11" i="83" s="1"/>
  <c r="E9" i="83"/>
  <c r="C5" i="83"/>
  <c r="C28" i="50"/>
  <c r="E28" i="50" s="1"/>
  <c r="C23" i="50"/>
  <c r="E23" i="50" s="1"/>
  <c r="E19" i="50"/>
  <c r="E18" i="50"/>
  <c r="C7" i="50"/>
  <c r="E7" i="50" s="1"/>
  <c r="I10" i="86"/>
  <c r="I7" i="86"/>
  <c r="I8" i="86"/>
  <c r="I6" i="86"/>
  <c r="I4" i="86"/>
  <c r="H4" i="86"/>
  <c r="H10" i="86" s="1"/>
  <c r="I3" i="86"/>
  <c r="H7" i="86"/>
  <c r="H6" i="86"/>
  <c r="H8" i="86"/>
  <c r="H3" i="86"/>
  <c r="F10" i="86"/>
  <c r="E10" i="86"/>
  <c r="D10" i="86"/>
  <c r="C10" i="86"/>
  <c r="E36" i="40" l="1"/>
  <c r="D36" i="40"/>
  <c r="D19" i="42" s="1"/>
  <c r="C4" i="83"/>
  <c r="B10" i="86"/>
  <c r="D18" i="42" l="1"/>
  <c r="B24" i="40"/>
  <c r="C17" i="50"/>
  <c r="E17" i="50" s="1"/>
  <c r="C4" i="50"/>
  <c r="B17" i="50"/>
  <c r="D29" i="42" l="1"/>
  <c r="E4" i="50"/>
  <c r="D34" i="42" l="1"/>
  <c r="B69" i="41"/>
  <c r="B14" i="42" s="1"/>
  <c r="B13" i="42" l="1"/>
  <c r="C31" i="42"/>
  <c r="C25" i="42"/>
  <c r="E25" i="42" s="1"/>
  <c r="C10" i="42"/>
  <c r="C61" i="41"/>
  <c r="C11" i="42" s="1"/>
  <c r="C52" i="41"/>
  <c r="C40" i="41"/>
  <c r="C35" i="41"/>
  <c r="C32" i="41"/>
  <c r="C28" i="41"/>
  <c r="C21" i="41"/>
  <c r="C20" i="41" s="1"/>
  <c r="E11" i="41"/>
  <c r="E12" i="41"/>
  <c r="E13" i="41"/>
  <c r="E14" i="41"/>
  <c r="E15" i="41"/>
  <c r="E22" i="41"/>
  <c r="E23" i="41"/>
  <c r="E24" i="41"/>
  <c r="E25" i="41"/>
  <c r="E26" i="41"/>
  <c r="E29" i="41"/>
  <c r="E30" i="41"/>
  <c r="E33" i="41"/>
  <c r="E34" i="41"/>
  <c r="E36" i="41"/>
  <c r="E37" i="41"/>
  <c r="E38" i="41"/>
  <c r="E39" i="41"/>
  <c r="E41" i="41"/>
  <c r="E42" i="41"/>
  <c r="E43" i="41"/>
  <c r="E44" i="41"/>
  <c r="E46" i="41"/>
  <c r="E47" i="41"/>
  <c r="E48" i="41"/>
  <c r="E49" i="41"/>
  <c r="E50" i="41"/>
  <c r="E51" i="41"/>
  <c r="E9" i="40"/>
  <c r="E10" i="40"/>
  <c r="E11" i="40"/>
  <c r="E12" i="40"/>
  <c r="E13" i="40"/>
  <c r="E14" i="40"/>
  <c r="E15" i="40"/>
  <c r="E19" i="40"/>
  <c r="E20" i="40"/>
  <c r="E21" i="40"/>
  <c r="E27" i="40"/>
  <c r="E30" i="40"/>
  <c r="E31" i="40"/>
  <c r="E33" i="40"/>
  <c r="E34" i="40"/>
  <c r="E6" i="83"/>
  <c r="E10" i="83"/>
  <c r="E16" i="83"/>
  <c r="E21" i="50"/>
  <c r="E22" i="50"/>
  <c r="E26" i="50"/>
  <c r="E27" i="50"/>
  <c r="C69" i="41" l="1"/>
  <c r="C14" i="42" s="1"/>
  <c r="C66" i="41"/>
  <c r="C9" i="42"/>
  <c r="C25" i="50"/>
  <c r="C29" i="50" s="1"/>
  <c r="E29" i="50" s="1"/>
  <c r="C6" i="42"/>
  <c r="C8" i="42"/>
  <c r="C13" i="42"/>
  <c r="E13" i="42" s="1"/>
  <c r="C35" i="40"/>
  <c r="C22" i="42"/>
  <c r="E22" i="42" s="1"/>
  <c r="C32" i="42"/>
  <c r="C21" i="42"/>
  <c r="E21" i="42" s="1"/>
  <c r="C23" i="42"/>
  <c r="E23" i="42" s="1"/>
  <c r="C31" i="41"/>
  <c r="F44" i="82"/>
  <c r="C9" i="41" s="1"/>
  <c r="F38" i="82"/>
  <c r="F35" i="82"/>
  <c r="F25" i="82"/>
  <c r="F22" i="82"/>
  <c r="F19" i="82"/>
  <c r="F10" i="82"/>
  <c r="C33" i="42" l="1"/>
  <c r="E33" i="42" s="1"/>
  <c r="E32" i="42"/>
  <c r="E35" i="40"/>
  <c r="F34" i="82"/>
  <c r="C8" i="41" s="1"/>
  <c r="E8" i="41" s="1"/>
  <c r="E25" i="50"/>
  <c r="C72" i="41"/>
  <c r="C15" i="42"/>
  <c r="E15" i="42" s="1"/>
  <c r="C20" i="42"/>
  <c r="E20" i="42" s="1"/>
  <c r="C24" i="83"/>
  <c r="C27" i="41"/>
  <c r="C7" i="42" l="1"/>
  <c r="C28" i="40"/>
  <c r="C19" i="42" l="1"/>
  <c r="C18" i="42" l="1"/>
  <c r="E19" i="42"/>
  <c r="B35" i="41"/>
  <c r="E35" i="41" s="1"/>
  <c r="B25" i="42"/>
  <c r="B32" i="42"/>
  <c r="B31" i="42"/>
  <c r="B30" i="42"/>
  <c r="B25" i="50"/>
  <c r="B22" i="42"/>
  <c r="B66" i="41"/>
  <c r="B61" i="41"/>
  <c r="E61" i="41" s="1"/>
  <c r="B52" i="41"/>
  <c r="B32" i="41"/>
  <c r="B28" i="41"/>
  <c r="E28" i="41" s="1"/>
  <c r="B21" i="41"/>
  <c r="E25" i="82"/>
  <c r="C29" i="42" l="1"/>
  <c r="E18" i="42"/>
  <c r="B21" i="42"/>
  <c r="E24" i="40"/>
  <c r="B40" i="41"/>
  <c r="E40" i="41" s="1"/>
  <c r="E45" i="41"/>
  <c r="B20" i="41"/>
  <c r="B6" i="42" s="1"/>
  <c r="E6" i="42" s="1"/>
  <c r="E21" i="41"/>
  <c r="B31" i="41"/>
  <c r="E31" i="41" s="1"/>
  <c r="E32" i="41"/>
  <c r="E52" i="41"/>
  <c r="F72" i="41"/>
  <c r="B33" i="42"/>
  <c r="E30" i="42"/>
  <c r="E31" i="42"/>
  <c r="B11" i="42"/>
  <c r="B9" i="42"/>
  <c r="E9" i="42" s="1"/>
  <c r="B15" i="42"/>
  <c r="B72" i="41"/>
  <c r="E72" i="41" s="1"/>
  <c r="C34" i="42" l="1"/>
  <c r="E34" i="42" s="1"/>
  <c r="E29" i="42"/>
  <c r="E11" i="42"/>
  <c r="B27" i="41"/>
  <c r="E27" i="41" s="1"/>
  <c r="B8" i="42"/>
  <c r="E20" i="41"/>
  <c r="B7" i="42"/>
  <c r="E8" i="42" l="1"/>
  <c r="E7" i="42"/>
  <c r="B11" i="83" l="1"/>
  <c r="B35" i="40" l="1"/>
  <c r="B23" i="50" l="1"/>
  <c r="B4" i="83"/>
  <c r="B32" i="40" s="1"/>
  <c r="B24" i="83" l="1"/>
  <c r="B23" i="42"/>
  <c r="B29" i="50"/>
  <c r="B28" i="40" l="1"/>
  <c r="E29" i="40"/>
  <c r="E38" i="82"/>
  <c r="B36" i="40" l="1"/>
  <c r="B19" i="42" s="1"/>
  <c r="E8" i="82"/>
  <c r="G8" i="82" l="1"/>
  <c r="G7" i="82" s="1"/>
  <c r="G5" i="82" s="1"/>
  <c r="B18" i="42"/>
  <c r="E7" i="82"/>
  <c r="F8" i="82"/>
  <c r="F7" i="82" s="1"/>
  <c r="F6" i="82" s="1"/>
  <c r="F5" i="82" s="1"/>
  <c r="C7" i="41" s="1"/>
  <c r="E44" i="82"/>
  <c r="B9" i="41" s="1"/>
  <c r="E9" i="41" s="1"/>
  <c r="E35" i="82"/>
  <c r="E34" i="82" s="1"/>
  <c r="B8" i="41" s="1"/>
  <c r="E22" i="82"/>
  <c r="E19" i="82"/>
  <c r="E10" i="82"/>
  <c r="D7" i="41" l="1"/>
  <c r="D6" i="41" s="1"/>
  <c r="H50" i="82"/>
  <c r="E6" i="82"/>
  <c r="E5" i="82" s="1"/>
  <c r="B7" i="41" s="1"/>
  <c r="B6" i="41" s="1"/>
  <c r="B5" i="41" s="1"/>
  <c r="D5" i="41" l="1"/>
  <c r="E50" i="82"/>
  <c r="E7" i="41"/>
  <c r="C6" i="41"/>
  <c r="E6" i="41" s="1"/>
  <c r="B5" i="42"/>
  <c r="D5" i="42" l="1"/>
  <c r="D65" i="41"/>
  <c r="D73" i="41" s="1"/>
  <c r="F5" i="41"/>
  <c r="C5" i="41"/>
  <c r="E5" i="41" s="1"/>
  <c r="F73" i="41" s="1"/>
  <c r="D12" i="42" l="1"/>
  <c r="C5" i="42"/>
  <c r="E5" i="42" s="1"/>
  <c r="C65" i="41"/>
  <c r="B57" i="41"/>
  <c r="E57" i="41" s="1"/>
  <c r="B20" i="42"/>
  <c r="D16" i="42" l="1"/>
  <c r="C12" i="42"/>
  <c r="C16" i="42" s="1"/>
  <c r="C35" i="42" s="1"/>
  <c r="C73" i="41"/>
  <c r="E73" i="41" s="1"/>
  <c r="B29" i="42"/>
  <c r="B10" i="42"/>
  <c r="B65" i="41"/>
  <c r="B73" i="41" s="1"/>
  <c r="E12" i="42" l="1"/>
  <c r="D35" i="42"/>
  <c r="E16" i="42"/>
  <c r="E35" i="42" s="1"/>
  <c r="E65" i="41"/>
  <c r="B34" i="42"/>
  <c r="B12" i="42"/>
  <c r="E10" i="42"/>
  <c r="B16" i="42" l="1"/>
  <c r="B35" i="42" l="1"/>
</calcChain>
</file>

<file path=xl/sharedStrings.xml><?xml version="1.0" encoding="utf-8"?>
<sst xmlns="http://schemas.openxmlformats.org/spreadsheetml/2006/main" count="570" uniqueCount="369">
  <si>
    <t xml:space="preserve"> 1.5. Helyi önk. Működési célú költségvetési támogatásai és kiegészítő támogatásai</t>
  </si>
  <si>
    <t xml:space="preserve"> 1.6. Elszámolásból származó bevételek</t>
  </si>
  <si>
    <t>1. Települési önkormányzatok működésének támogatása</t>
  </si>
  <si>
    <t>7. Működési célú visszatérítendő támogatások, kölcsönök nyújtása áh-n kívülre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</si>
  <si>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</si>
  <si>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</si>
  <si>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</si>
  <si>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</si>
  <si>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</si>
  <si>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</si>
  <si>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</si>
  <si>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</si>
  <si>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</si>
  <si>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</si>
  <si>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</si>
  <si>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</si>
  <si>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</si>
  <si>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</si>
  <si>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</si>
  <si>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Cél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</si>
  <si>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</si>
  <si>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</si>
  <si>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</si>
  <si>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</si>
  <si>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</si>
  <si>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</si>
  <si>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</si>
  <si>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</si>
  <si>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</si>
  <si>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</si>
  <si>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</si>
  <si>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</si>
  <si>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</si>
  <si>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</si>
  <si>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</si>
  <si>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</si>
  <si>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</si>
  <si>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</si>
  <si>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</si>
  <si>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</si>
  <si>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</si>
  <si>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</si>
  <si>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</si>
  <si>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</si>
  <si>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</si>
  <si>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</si>
  <si>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</si>
  <si>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</si>
  <si>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</si>
  <si>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</si>
  <si>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</si>
  <si>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</si>
  <si>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</si>
  <si>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</si>
  <si>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</si>
  <si>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</si>
  <si>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</si>
  <si>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</si>
  <si>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</si>
  <si>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</si>
  <si>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</si>
  <si>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</si>
  <si>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</si>
  <si>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</si>
  <si>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</si>
  <si>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</si>
  <si>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</si>
  <si>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</si>
  <si>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</si>
  <si>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Önkormányzati hivatal működtetésének támogatás (beszámítás után)</t>
  </si>
  <si>
    <t>Önkormányzati hivatal működtetésének támogatás elismert hivatali létsz.</t>
  </si>
  <si>
    <t>Zöldterület-gazdálk-al kapcsolatos feladatok ellátásának támog.</t>
  </si>
  <si>
    <t>Beszámítás összege</t>
  </si>
  <si>
    <t>Közvilágítás fenntartásának támogatás</t>
  </si>
  <si>
    <t>Köztemető fenntartással kapcsolatos feladatok támog.</t>
  </si>
  <si>
    <t>Közutak fenntartásának támogatás</t>
  </si>
  <si>
    <t xml:space="preserve">Pénzbeli szociális juttatások </t>
  </si>
  <si>
    <t>Egyes szoc.és gyermekjólétii felad.támog.</t>
  </si>
  <si>
    <t>Gyermekétkeztetés támogatása</t>
  </si>
  <si>
    <t>Kulturális feladatok támogatása</t>
  </si>
  <si>
    <t>Nyilvános könyvtári és közművelődési feladatok támogatása</t>
  </si>
  <si>
    <t>Lakott külterületekkel kapcsolatos feladatok támogatása</t>
  </si>
  <si>
    <t>Összesen</t>
  </si>
  <si>
    <t>Összesen:</t>
  </si>
  <si>
    <t>1. Személyi juttatás</t>
  </si>
  <si>
    <t>2. Munkaadót terhelő járulékok</t>
  </si>
  <si>
    <t>3. Dologi kiadások</t>
  </si>
  <si>
    <t>5. Egyéb működési célú kiadások</t>
  </si>
  <si>
    <t>3. Működési célú visszatérítendő támogatások, kölcsönök nyújtása áh-n belülre</t>
  </si>
  <si>
    <t>4. Működési célú visszatérítendő támogatások, kölcsönök törlesztése áh-n belülre</t>
  </si>
  <si>
    <t>5. Egyéb működési célú támogatások áh-n belülre</t>
  </si>
  <si>
    <t>6. Működési célú garancia- és kezességvállalásból származó kifizetés államháztartáson kívülre</t>
  </si>
  <si>
    <t>8. Egyéb működési célú támogatások áh-n kívülre</t>
  </si>
  <si>
    <t>Önkormányzati működési kiadások  összesen:</t>
  </si>
  <si>
    <t>Forgatási célú értékpapír vásárlás</t>
  </si>
  <si>
    <t>Ebből: bérleti díjak</t>
  </si>
  <si>
    <t>IV. Finanszírozási kiadások</t>
  </si>
  <si>
    <t>Hitel törlesztés</t>
  </si>
  <si>
    <t>Felhalmozási kiadások összesen: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</si>
  <si>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</si>
  <si>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</si>
  <si>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</si>
  <si>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</si>
  <si>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</si>
  <si>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Egyéb önkormányzati feladatok támogatása</t>
  </si>
  <si>
    <t>Települési önkormányzatok szociális feladatainak egyéb támogatása</t>
  </si>
  <si>
    <t>Pénzbeli szociális ellátások kiegészítése</t>
  </si>
  <si>
    <t>1. Költségvetési hiány belső finanszírozására szolgáló finanszírozási  bevételek</t>
  </si>
  <si>
    <t>I. HELYI ÖNKORMÁNYZATOK MŰKÖDÉSÉNEK ÁLT.TÁMOGATÁSA</t>
  </si>
  <si>
    <t>III. SZOCIÁLIS, GYERMEKJÓLÉTI  ÉS GYERMEKÉTKEZTETÉSI FELADATAI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</si>
  <si>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</si>
  <si>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</si>
  <si>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</si>
  <si>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</si>
  <si>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Település üzemeltetéséhez kapcsolódó feladatellát.támog.(beszámítás után)</t>
  </si>
  <si>
    <t>Egyéb önkormányzati feladatok támogatása (beszámítás után)</t>
  </si>
  <si>
    <t>Lakott külterületekkel kapcsolatos feladatok támogatása(beszámítás után)</t>
  </si>
  <si>
    <t>Üdülőhelyi feladatok támogatása (beszámitás után)</t>
  </si>
  <si>
    <t xml:space="preserve">Üdülőhelyi feladatok támogatása </t>
  </si>
  <si>
    <t>II. EGYES KÖZNEVELÉSI FELADATOK TÁMOGATÁSA</t>
  </si>
  <si>
    <t>4.1. Üzemeltetési díjak</t>
  </si>
  <si>
    <t>Informatikai szolg.igénybevétele</t>
  </si>
  <si>
    <t>Egyéb kommunikációs szolg.</t>
  </si>
  <si>
    <t>Közüzemi díjak</t>
  </si>
  <si>
    <t>Vásárolt élelmezés</t>
  </si>
  <si>
    <t>Karbantartási szolg.</t>
  </si>
  <si>
    <t>Szakmai tevékenységet segítő szolg.</t>
  </si>
  <si>
    <t>Működési célú előzetesen felsz.áfa</t>
  </si>
  <si>
    <t>Fizetendő áfa</t>
  </si>
  <si>
    <t>Egyéb dologi kiadások</t>
  </si>
  <si>
    <t>Egyéb szolgáltatások</t>
  </si>
  <si>
    <t>I.   Önkormányzati Hivatal költségvetése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</si>
  <si>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</si>
  <si>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</si>
  <si>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</si>
  <si>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3. Működési célú visszatérítendő támogatások, kölcsönök nyújtása, törlesztése</t>
  </si>
  <si>
    <t>Egyéb működési célú kiadások összesen:</t>
  </si>
  <si>
    <t>Bf. Többcélú Társulás</t>
  </si>
  <si>
    <t>Egyéb felhalmozási kiadások</t>
  </si>
  <si>
    <t xml:space="preserve">     Szakmai anyagok beszerzése</t>
  </si>
  <si>
    <t xml:space="preserve">     Üzemeltetési anyagok beszerzése</t>
  </si>
  <si>
    <t>Önkormányzati feladatok</t>
  </si>
  <si>
    <t>Reklám és propaganda</t>
  </si>
  <si>
    <t>4.  Ellátottak pénzbeli juttatásai</t>
  </si>
  <si>
    <t>1. Működési célú garancia- és kezességvállalásból származó kifizetés áh-n belülre</t>
  </si>
  <si>
    <t>Falugondnoki vagy tanyagondnoki</t>
  </si>
  <si>
    <t>2.1. Forgatási célú értékpapír beváltása</t>
  </si>
  <si>
    <t>2.4. Államháztartáson belüli megelőlegezések</t>
  </si>
  <si>
    <t>2016. évről áthúzódó bérkompenzáció támogatása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</si>
  <si>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</si>
  <si>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Szociális ágazati pótlék 2017</t>
  </si>
  <si>
    <t>Közfoglalkoztatott támogatás előleg 2018.év</t>
  </si>
  <si>
    <t>Új telkek közművesítése</t>
  </si>
  <si>
    <t>Gép-és eszközvásárlás</t>
  </si>
  <si>
    <t>Buszmegálló</t>
  </si>
  <si>
    <t>Falubuszra gumigarnitúra vásárlás</t>
  </si>
  <si>
    <t>Falugondnoki autó pályázati önrész</t>
  </si>
  <si>
    <t>Napelemes lámpa beszerzése (tó, templom)</t>
  </si>
  <si>
    <t>Új telkek aszfaltozása</t>
  </si>
  <si>
    <t>Kisértékű eszközök beszerzése</t>
  </si>
  <si>
    <t>Könyvbeszerzés könyvtárba</t>
  </si>
  <si>
    <t>Sátor vásárlás</t>
  </si>
  <si>
    <t>Közvilágítás korszerűsítése</t>
  </si>
  <si>
    <t xml:space="preserve">Könyvtárajtó felújítás  </t>
  </si>
  <si>
    <t>Víziszínpad felújítása</t>
  </si>
  <si>
    <t>Kultúrház felújítása</t>
  </si>
  <si>
    <t>Belterületi utak felújítása</t>
  </si>
  <si>
    <t>Pécselyi iskolatető javítása</t>
  </si>
  <si>
    <t xml:space="preserve">Önkormányzati támogatás, Átmeneti segély </t>
  </si>
  <si>
    <t>Születési segély</t>
  </si>
  <si>
    <t>Temetési segély</t>
  </si>
  <si>
    <t xml:space="preserve"> 1.1. Felhalmozási célú központosított támogatások</t>
  </si>
  <si>
    <t xml:space="preserve">      1.2. Magánszemélyek kommunális adója</t>
  </si>
  <si>
    <t>Tihany Iskola Alapítvány támogatása</t>
  </si>
  <si>
    <t xml:space="preserve">         NKA Vászoly Községről szóló köny kiadásának támogatása</t>
  </si>
  <si>
    <t xml:space="preserve">      Közfoglalkoztatottak támogatás</t>
  </si>
  <si>
    <t>NÉV</t>
  </si>
  <si>
    <t>BRUTTÓ</t>
  </si>
  <si>
    <t>EHO</t>
  </si>
  <si>
    <t>Kifizetői adó (SZJA)</t>
  </si>
  <si>
    <t>Rózsahegyi Tibor</t>
  </si>
  <si>
    <t>Léman András</t>
  </si>
  <si>
    <t>Zab Zoltán</t>
  </si>
  <si>
    <t>Szilágyi Alma Anda CSED</t>
  </si>
  <si>
    <t>Punk Imre</t>
  </si>
  <si>
    <t>REPI</t>
  </si>
  <si>
    <t>CAF.</t>
  </si>
  <si>
    <t>Szochó</t>
  </si>
  <si>
    <t>SZEMÉLYI JUTTATÁS</t>
  </si>
  <si>
    <t>JÁRULÉK</t>
  </si>
  <si>
    <t>Közoktatási Intézményfenntartó Társulás Pécsely  Óvoda felhalm. támogatás</t>
  </si>
  <si>
    <t>AZ ÖNKORMÁNYZAT FŐÖSSZESÍTŐJE</t>
  </si>
  <si>
    <t>BEVÉTELEK ELŐIRÁNYZATA</t>
  </si>
  <si>
    <t>ÁLLAMI TÁMOGATÁSOK 2017. ÉV</t>
  </si>
  <si>
    <t>MŰKÖDÉSI KIADÁSOK 2017. ÉV</t>
  </si>
  <si>
    <t>FELHALMOZÁSI KIADÁSOK 2017. ÉV</t>
  </si>
  <si>
    <t>II. Módosítás</t>
  </si>
  <si>
    <t>I. Módosítás</t>
  </si>
  <si>
    <t>2017. évi eredeti</t>
  </si>
  <si>
    <t>Balatonfüredi Önkéntes Tűzoltóság 2017. évi tagdíja</t>
  </si>
  <si>
    <t>Immateriális javak beszerzése</t>
  </si>
  <si>
    <t>Eltérés</t>
  </si>
  <si>
    <t>Balatonfüredi Közös Önkormányzati Hivatal</t>
  </si>
  <si>
    <t>Pénzeszköz átadás Védőnői szolgálatra</t>
  </si>
  <si>
    <t>Pénzeszköz átadás Fogorvosi szolgálatra</t>
  </si>
  <si>
    <t>Bursa Hungarica ösztöndíj átutalás</t>
  </si>
  <si>
    <t>Előirányzat</t>
  </si>
  <si>
    <t>Fajlagos</t>
  </si>
  <si>
    <t>Mutató</t>
  </si>
  <si>
    <t>Létszám</t>
  </si>
  <si>
    <t>A település arculati kézikönyv támogatása</t>
  </si>
  <si>
    <t>Polgármesteri illetmény és tiszteletdíj támogatása</t>
  </si>
  <si>
    <t>NKA Vászoly Községről szóló köny kiadása</t>
  </si>
  <si>
    <t>I. Berházások</t>
  </si>
  <si>
    <t>II. Felújítások</t>
  </si>
  <si>
    <t>III. Egyéb felhalmozási kiadások</t>
  </si>
  <si>
    <t>Pénzeszköz átadás Bfüredi Önk. Tűzoltóságnak</t>
  </si>
  <si>
    <t xml:space="preserve">     Diák munkabér támogatás</t>
  </si>
  <si>
    <t>Helyi önk. Működési célú költségvetési támogatásai és kiegészítő támogatásai</t>
  </si>
  <si>
    <t>Az Önkormányzat működési bevételei és kiadásai 2017. év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</si>
  <si>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</si>
  <si>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</si>
  <si>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</si>
  <si>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</si>
  <si>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</si>
  <si>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>2. Munkaadót terhelő járulékok és szoc.hj. Adó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</si>
  <si>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</si>
  <si>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</si>
  <si>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</si>
  <si>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</si>
  <si>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</si>
  <si>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</si>
  <si>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</si>
  <si>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</si>
  <si>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</si>
  <si>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</si>
  <si>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</si>
  <si>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</si>
  <si>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</si>
  <si>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</si>
  <si>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</si>
  <si>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</si>
  <si>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7. Állami támogatás megelőlegezés visszafizetése</t>
  </si>
  <si>
    <t>Költségvetési hiány külső finanszírozása működési célú</t>
  </si>
  <si>
    <t>8. Hitelek törlesztése</t>
  </si>
  <si>
    <t>6. Értékpapír beváltása</t>
  </si>
  <si>
    <t>9. Betét vásárlás</t>
  </si>
  <si>
    <t>7. Hitelfelvétel</t>
  </si>
  <si>
    <t>10. Forgatási célú értékpapír vás.</t>
  </si>
  <si>
    <t>8. Állami támogatás megelőlegezés visszafizetése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</si>
  <si>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</si>
  <si>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</si>
  <si>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</si>
  <si>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</si>
  <si>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</si>
  <si>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</si>
  <si>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 xml:space="preserve">2. Felhalmozási bev. 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</si>
  <si>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</si>
  <si>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</si>
  <si>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</si>
  <si>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</si>
  <si>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</si>
  <si>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</si>
  <si>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</si>
  <si>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</si>
  <si>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</si>
  <si>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</si>
  <si>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</si>
  <si>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</si>
  <si>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</si>
  <si>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</si>
  <si>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</si>
  <si>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</si>
  <si>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</si>
  <si>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</si>
  <si>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</si>
  <si>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Állami támogatás megelőlegezés visszafizetése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</si>
  <si>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</si>
  <si>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</si>
  <si>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</si>
  <si>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</si>
  <si>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</si>
  <si>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</si>
  <si>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</si>
  <si>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</si>
  <si>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</si>
  <si>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</si>
  <si>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</si>
  <si>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</si>
  <si>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</si>
  <si>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</si>
  <si>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</si>
  <si>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</si>
  <si>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</si>
  <si>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</si>
  <si>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 xml:space="preserve"> Az Önkormányzat kötelező feladatok bevételei és kiadásai 2017. év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</si>
  <si>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</si>
  <si>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</si>
  <si>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</si>
  <si>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</si>
  <si>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</si>
  <si>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</si>
  <si>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</si>
  <si>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</si>
  <si>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</si>
  <si>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</si>
  <si>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</si>
  <si>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</si>
  <si>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</si>
  <si>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</si>
  <si>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</si>
  <si>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</si>
  <si>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</si>
  <si>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</si>
  <si>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</si>
  <si>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</si>
  <si>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</si>
  <si>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</si>
  <si>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</si>
  <si>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</si>
  <si>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</si>
  <si>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</si>
  <si>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</si>
  <si>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</si>
  <si>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</si>
  <si>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</si>
  <si>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</si>
  <si>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</si>
  <si>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</si>
  <si>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r>
      <t>BEVÉTELEK ÉS KIADÁSOK ELŐIRÁNYZATÁNAK HAVI ÜTEMEZÉSE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2017.</t>
    </r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</si>
  <si>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</si>
  <si>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</si>
  <si>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</si>
  <si>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</si>
  <si>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</si>
  <si>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</si>
  <si>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</si>
  <si>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</si>
  <si>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</si>
  <si>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Szeptem-ber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</si>
  <si>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</si>
  <si>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</si>
  <si>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</si>
  <si>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</si>
  <si>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</si>
  <si>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</si>
  <si>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</si>
  <si>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</si>
  <si>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</si>
  <si>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</si>
  <si>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</si>
  <si>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</si>
  <si>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</si>
  <si>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</si>
  <si>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</si>
  <si>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</si>
  <si>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</si>
  <si>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</si>
  <si>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</si>
  <si>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</si>
  <si>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</si>
  <si>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</si>
  <si>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</si>
  <si>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</si>
  <si>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</si>
  <si>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Bevétele és kiadások mérlege 2017. év II. Módosítás</t>
  </si>
  <si>
    <t xml:space="preserve"> Az Önkormányzat felhalmozási bevételei és kiadásai  2017. év II. Módosítás</t>
  </si>
  <si>
    <t xml:space="preserve"> Az Önkormányzat önként vállalt feladatok bevételei és kiadásai  2017. év II. Módosítás</t>
  </si>
  <si>
    <t xml:space="preserve"> Az Önkormányzat állami (államigazgatási) feladatok bevételei és kiadásai  2017. év II. Módosítás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</si>
</sst>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mmm\ d/"/>
    <numFmt numFmtId="165" formatCode="#,##0.0"/>
  </numFmts>
  <fonts count="39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Times New Roman"/>
      <family val="1"/>
    </font>
    <font>
      <b/>
      <sz val="12"/>
      <color indexed="8"/>
      <name val="Calibri"/>
      <family val="2"/>
      <charset val="238"/>
    </font>
    <font>
      <sz val="12"/>
      <name val="Arial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sz val="12"/>
      <color indexed="1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8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14" fillId="0" borderId="0"/>
    <xf numFmtId="0" fontId="21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2" fillId="0" borderId="0" applyFill="0" applyBorder="0" applyAlignment="0" applyProtection="0"/>
    <xf numFmtId="0" fontId="21" fillId="0" borderId="0"/>
    <xf numFmtId="0" fontId="23" fillId="0" borderId="0"/>
    <xf numFmtId="0" fontId="21" fillId="0" borderId="0"/>
    <xf numFmtId="0" fontId="14" fillId="0" borderId="0"/>
    <xf numFmtId="0" fontId="21" fillId="0" borderId="0"/>
  </cellStyleXfs>
  <cellXfs count="393">
    <xf numFmtId="0" fontId="0" fillId="0" borderId="0" xfId="0"/>
    <xf numFmtId="0" fontId="24" fillId="0" borderId="0" xfId="48" applyFont="1" applyAlignment="1">
      <alignment horizontal="center" wrapText="1"/>
    </xf>
    <xf numFmtId="0" fontId="25" fillId="0" borderId="0" xfId="48" applyFont="1"/>
    <xf numFmtId="0" fontId="25" fillId="0" borderId="12" xfId="48" applyFont="1" applyBorder="1"/>
    <xf numFmtId="3" fontId="24" fillId="0" borderId="12" xfId="48" applyNumberFormat="1" applyFont="1" applyBorder="1" applyAlignment="1">
      <alignment horizontal="right" wrapText="1"/>
    </xf>
    <xf numFmtId="3" fontId="25" fillId="0" borderId="12" xfId="48" applyNumberFormat="1" applyFont="1" applyBorder="1"/>
    <xf numFmtId="3" fontId="24" fillId="29" borderId="12" xfId="48" applyNumberFormat="1" applyFont="1" applyFill="1" applyBorder="1" applyAlignment="1">
      <alignment horizontal="right" wrapText="1"/>
    </xf>
    <xf numFmtId="0" fontId="24" fillId="0" borderId="12" xfId="48" applyFont="1" applyBorder="1"/>
    <xf numFmtId="3" fontId="24" fillId="0" borderId="12" xfId="48" applyNumberFormat="1" applyFont="1" applyBorder="1"/>
    <xf numFmtId="0" fontId="24" fillId="0" borderId="19" xfId="48" applyFont="1" applyBorder="1" applyAlignment="1">
      <alignment horizontal="center" vertical="center" wrapText="1"/>
    </xf>
    <xf numFmtId="0" fontId="24" fillId="0" borderId="20" xfId="48" applyFont="1" applyBorder="1" applyAlignment="1">
      <alignment horizontal="center" vertical="center" wrapText="1"/>
    </xf>
    <xf numFmtId="0" fontId="25" fillId="0" borderId="14" xfId="48" applyFont="1" applyBorder="1" applyAlignment="1">
      <alignment horizontal="left" wrapText="1"/>
    </xf>
    <xf numFmtId="3" fontId="25" fillId="0" borderId="15" xfId="48" applyNumberFormat="1" applyFont="1" applyBorder="1"/>
    <xf numFmtId="0" fontId="24" fillId="0" borderId="14" xfId="48" applyFont="1" applyBorder="1" applyAlignment="1">
      <alignment horizontal="left" wrapText="1"/>
    </xf>
    <xf numFmtId="3" fontId="24" fillId="0" borderId="15" xfId="48" applyNumberFormat="1" applyFont="1" applyBorder="1"/>
    <xf numFmtId="0" fontId="24" fillId="29" borderId="14" xfId="48" applyFont="1" applyFill="1" applyBorder="1" applyAlignment="1">
      <alignment horizontal="left" wrapText="1"/>
    </xf>
    <xf numFmtId="0" fontId="24" fillId="0" borderId="20" xfId="48" applyFont="1" applyBorder="1" applyAlignment="1">
      <alignment horizontal="center" vertical="center"/>
    </xf>
    <xf numFmtId="0" fontId="24" fillId="0" borderId="12" xfId="48" applyFont="1" applyBorder="1" applyAlignment="1">
      <alignment horizontal="center" vertical="center"/>
    </xf>
    <xf numFmtId="0" fontId="25" fillId="29" borderId="14" xfId="47" applyFont="1" applyFill="1" applyBorder="1" applyAlignment="1">
      <alignment wrapText="1"/>
    </xf>
    <xf numFmtId="3" fontId="25" fillId="0" borderId="14" xfId="43" applyNumberFormat="1" applyFont="1" applyFill="1" applyBorder="1" applyAlignment="1">
      <alignment wrapText="1"/>
    </xf>
    <xf numFmtId="0" fontId="25" fillId="0" borderId="0" xfId="48" applyFont="1" applyAlignment="1">
      <alignment horizontal="center" vertical="center"/>
    </xf>
    <xf numFmtId="0" fontId="24" fillId="0" borderId="0" xfId="48" applyFont="1"/>
    <xf numFmtId="0" fontId="24" fillId="0" borderId="0" xfId="48" applyFont="1" applyBorder="1"/>
    <xf numFmtId="0" fontId="24" fillId="29" borderId="0" xfId="48" applyFont="1" applyFill="1" applyBorder="1"/>
    <xf numFmtId="0" fontId="24" fillId="29" borderId="0" xfId="48" applyFont="1" applyFill="1"/>
    <xf numFmtId="0" fontId="25" fillId="0" borderId="0" xfId="48" applyFont="1" applyAlignment="1">
      <alignment wrapText="1"/>
    </xf>
    <xf numFmtId="0" fontId="24" fillId="0" borderId="12" xfId="48" applyFont="1" applyBorder="1" applyAlignment="1">
      <alignment horizontal="center" vertical="center" wrapText="1"/>
    </xf>
    <xf numFmtId="0" fontId="25" fillId="0" borderId="11" xfId="48" applyFont="1" applyBorder="1"/>
    <xf numFmtId="0" fontId="25" fillId="0" borderId="13" xfId="48" applyFont="1" applyBorder="1"/>
    <xf numFmtId="0" fontId="25" fillId="0" borderId="0" xfId="48" applyFont="1" applyBorder="1"/>
    <xf numFmtId="0" fontId="25" fillId="0" borderId="10" xfId="48" applyFont="1" applyBorder="1"/>
    <xf numFmtId="0" fontId="25" fillId="29" borderId="0" xfId="48" applyFont="1" applyFill="1" applyBorder="1"/>
    <xf numFmtId="0" fontId="24" fillId="29" borderId="14" xfId="48" applyFont="1" applyFill="1" applyBorder="1" applyAlignment="1">
      <alignment wrapText="1"/>
    </xf>
    <xf numFmtId="0" fontId="25" fillId="29" borderId="14" xfId="48" applyFont="1" applyFill="1" applyBorder="1" applyAlignment="1">
      <alignment wrapText="1"/>
    </xf>
    <xf numFmtId="0" fontId="26" fillId="29" borderId="0" xfId="48" applyFont="1" applyFill="1" applyBorder="1"/>
    <xf numFmtId="164" fontId="25" fillId="29" borderId="14" xfId="47" applyNumberFormat="1" applyFont="1" applyFill="1" applyBorder="1" applyAlignment="1">
      <alignment wrapText="1"/>
    </xf>
    <xf numFmtId="3" fontId="25" fillId="29" borderId="12" xfId="48" applyNumberFormat="1" applyFont="1" applyFill="1" applyBorder="1" applyAlignment="1">
      <alignment horizontal="right" wrapText="1"/>
    </xf>
    <xf numFmtId="0" fontId="27" fillId="29" borderId="0" xfId="48" applyFont="1" applyFill="1" applyBorder="1"/>
    <xf numFmtId="3" fontId="25" fillId="0" borderId="12" xfId="48" applyNumberFormat="1" applyFont="1" applyFill="1" applyBorder="1" applyAlignment="1">
      <alignment horizontal="right" wrapText="1"/>
    </xf>
    <xf numFmtId="0" fontId="24" fillId="29" borderId="0" xfId="48" applyFont="1" applyFill="1" applyBorder="1" applyAlignment="1">
      <alignment vertical="center"/>
    </xf>
    <xf numFmtId="0" fontId="25" fillId="29" borderId="0" xfId="48" applyFont="1" applyFill="1" applyBorder="1" applyAlignment="1">
      <alignment vertical="center" wrapText="1"/>
    </xf>
    <xf numFmtId="0" fontId="25" fillId="29" borderId="0" xfId="48" applyFont="1" applyFill="1" applyBorder="1" applyAlignment="1">
      <alignment vertical="center"/>
    </xf>
    <xf numFmtId="164" fontId="25" fillId="29" borderId="14" xfId="48" applyNumberFormat="1" applyFont="1" applyFill="1" applyBorder="1" applyAlignment="1">
      <alignment wrapText="1"/>
    </xf>
    <xf numFmtId="0" fontId="25" fillId="29" borderId="14" xfId="47" applyFont="1" applyFill="1" applyBorder="1" applyAlignment="1">
      <alignment horizontal="left" wrapText="1"/>
    </xf>
    <xf numFmtId="0" fontId="24" fillId="29" borderId="14" xfId="47" applyFont="1" applyFill="1" applyBorder="1" applyAlignment="1">
      <alignment wrapText="1"/>
    </xf>
    <xf numFmtId="3" fontId="24" fillId="29" borderId="0" xfId="48" applyNumberFormat="1" applyFont="1" applyFill="1" applyBorder="1" applyAlignment="1">
      <alignment vertical="center"/>
    </xf>
    <xf numFmtId="0" fontId="25" fillId="0" borderId="14" xfId="48" applyFont="1" applyBorder="1"/>
    <xf numFmtId="0" fontId="25" fillId="0" borderId="16" xfId="48" applyFont="1" applyBorder="1"/>
    <xf numFmtId="3" fontId="25" fillId="0" borderId="0" xfId="48" applyNumberFormat="1" applyFont="1" applyBorder="1"/>
    <xf numFmtId="0" fontId="25" fillId="0" borderId="14" xfId="48" applyFont="1" applyBorder="1" applyAlignment="1">
      <alignment wrapText="1"/>
    </xf>
    <xf numFmtId="0" fontId="25" fillId="0" borderId="16" xfId="48" applyFont="1" applyBorder="1" applyAlignment="1">
      <alignment wrapText="1"/>
    </xf>
    <xf numFmtId="3" fontId="25" fillId="0" borderId="17" xfId="48" applyNumberFormat="1" applyFont="1" applyBorder="1"/>
    <xf numFmtId="0" fontId="25" fillId="0" borderId="17" xfId="48" applyFont="1" applyBorder="1"/>
    <xf numFmtId="0" fontId="25" fillId="0" borderId="18" xfId="48" applyFont="1" applyBorder="1"/>
    <xf numFmtId="3" fontId="25" fillId="29" borderId="0" xfId="48" applyNumberFormat="1" applyFont="1" applyFill="1" applyBorder="1" applyAlignment="1">
      <alignment horizontal="right" wrapText="1"/>
    </xf>
    <xf numFmtId="3" fontId="24" fillId="29" borderId="0" xfId="48" applyNumberFormat="1" applyFont="1" applyFill="1" applyBorder="1"/>
    <xf numFmtId="3" fontId="24" fillId="0" borderId="0" xfId="48" applyNumberFormat="1" applyFont="1"/>
    <xf numFmtId="3" fontId="25" fillId="0" borderId="0" xfId="48" applyNumberFormat="1" applyFont="1"/>
    <xf numFmtId="3" fontId="24" fillId="0" borderId="15" xfId="83" applyNumberFormat="1" applyFont="1" applyBorder="1" applyAlignment="1">
      <alignment horizontal="right"/>
    </xf>
    <xf numFmtId="3" fontId="25" fillId="0" borderId="0" xfId="83" applyNumberFormat="1" applyFont="1" applyBorder="1" applyAlignment="1">
      <alignment horizontal="center"/>
    </xf>
    <xf numFmtId="0" fontId="25" fillId="0" borderId="0" xfId="83" applyFont="1" applyBorder="1"/>
    <xf numFmtId="3" fontId="25" fillId="0" borderId="14" xfId="83" applyNumberFormat="1" applyFont="1" applyBorder="1" applyAlignment="1">
      <alignment horizontal="left" wrapText="1"/>
    </xf>
    <xf numFmtId="3" fontId="25" fillId="0" borderId="12" xfId="83" applyNumberFormat="1" applyFont="1" applyBorder="1" applyAlignment="1">
      <alignment horizontal="right"/>
    </xf>
    <xf numFmtId="3" fontId="25" fillId="0" borderId="15" xfId="83" applyNumberFormat="1" applyFont="1" applyBorder="1" applyAlignment="1">
      <alignment horizontal="right"/>
    </xf>
    <xf numFmtId="3" fontId="25" fillId="0" borderId="0" xfId="83" applyNumberFormat="1" applyFont="1" applyFill="1" applyBorder="1" applyAlignment="1">
      <alignment horizontal="center"/>
    </xf>
    <xf numFmtId="0" fontId="25" fillId="0" borderId="0" xfId="83" applyFont="1" applyFill="1" applyBorder="1"/>
    <xf numFmtId="3" fontId="25" fillId="30" borderId="12" xfId="47" applyNumberFormat="1" applyFont="1" applyFill="1" applyBorder="1" applyAlignment="1">
      <alignment horizontal="right" wrapText="1"/>
    </xf>
    <xf numFmtId="0" fontId="24" fillId="0" borderId="14" xfId="0" applyFont="1" applyFill="1" applyBorder="1" applyAlignment="1">
      <alignment horizontal="left" wrapText="1"/>
    </xf>
    <xf numFmtId="3" fontId="24" fillId="0" borderId="12" xfId="83" applyNumberFormat="1" applyFont="1" applyFill="1" applyBorder="1" applyAlignment="1">
      <alignment horizontal="right"/>
    </xf>
    <xf numFmtId="3" fontId="25" fillId="0" borderId="12" xfId="83" applyNumberFormat="1" applyFont="1" applyFill="1" applyBorder="1" applyAlignment="1">
      <alignment horizontal="right"/>
    </xf>
    <xf numFmtId="3" fontId="25" fillId="0" borderId="12" xfId="83" quotePrefix="1" applyNumberFormat="1" applyFont="1" applyFill="1" applyBorder="1" applyAlignment="1">
      <alignment horizontal="right"/>
    </xf>
    <xf numFmtId="3" fontId="24" fillId="0" borderId="14" xfId="43" applyNumberFormat="1" applyFont="1" applyBorder="1" applyAlignment="1">
      <alignment wrapText="1"/>
    </xf>
    <xf numFmtId="3" fontId="24" fillId="0" borderId="12" xfId="43" applyNumberFormat="1" applyFont="1" applyFill="1" applyBorder="1" applyAlignment="1">
      <alignment horizontal="right"/>
    </xf>
    <xf numFmtId="3" fontId="25" fillId="0" borderId="12" xfId="43" applyNumberFormat="1" applyFont="1" applyFill="1" applyBorder="1" applyAlignment="1">
      <alignment horizontal="right"/>
    </xf>
    <xf numFmtId="3" fontId="25" fillId="0" borderId="0" xfId="43" applyNumberFormat="1" applyFont="1" applyAlignment="1">
      <alignment wrapText="1"/>
    </xf>
    <xf numFmtId="3" fontId="25" fillId="0" borderId="0" xfId="43" applyNumberFormat="1" applyFont="1"/>
    <xf numFmtId="3" fontId="25" fillId="0" borderId="0" xfId="43" applyNumberFormat="1" applyFont="1" applyAlignment="1">
      <alignment horizontal="center"/>
    </xf>
    <xf numFmtId="0" fontId="25" fillId="0" borderId="0" xfId="43" applyFont="1"/>
    <xf numFmtId="0" fontId="25" fillId="0" borderId="14" xfId="82" applyFont="1" applyFill="1" applyBorder="1" applyAlignment="1">
      <alignment wrapText="1"/>
    </xf>
    <xf numFmtId="3" fontId="24" fillId="0" borderId="0" xfId="43" applyNumberFormat="1" applyFont="1" applyFill="1" applyAlignment="1">
      <alignment horizontal="center"/>
    </xf>
    <xf numFmtId="0" fontId="24" fillId="0" borderId="0" xfId="43" applyFont="1" applyFill="1"/>
    <xf numFmtId="3" fontId="24" fillId="0" borderId="0" xfId="43" applyNumberFormat="1" applyFont="1" applyAlignment="1">
      <alignment horizontal="center"/>
    </xf>
    <xf numFmtId="0" fontId="24" fillId="0" borderId="0" xfId="43" applyFont="1"/>
    <xf numFmtId="3" fontId="25" fillId="0" borderId="12" xfId="43" applyNumberFormat="1" applyFont="1" applyBorder="1" applyAlignment="1">
      <alignment horizontal="right"/>
    </xf>
    <xf numFmtId="0" fontId="25" fillId="0" borderId="0" xfId="82" applyFont="1" applyFill="1"/>
    <xf numFmtId="0" fontId="25" fillId="0" borderId="0" xfId="0" applyFont="1"/>
    <xf numFmtId="0" fontId="24" fillId="0" borderId="19" xfId="82" applyFont="1" applyFill="1" applyBorder="1" applyAlignment="1">
      <alignment horizontal="center" vertical="center" wrapText="1"/>
    </xf>
    <xf numFmtId="0" fontId="24" fillId="0" borderId="14" xfId="82" applyFont="1" applyFill="1" applyBorder="1" applyAlignment="1">
      <alignment horizontal="left" vertical="center" wrapText="1"/>
    </xf>
    <xf numFmtId="3" fontId="25" fillId="0" borderId="0" xfId="0" applyNumberFormat="1" applyFont="1"/>
    <xf numFmtId="0" fontId="25" fillId="0" borderId="14" xfId="82" applyFont="1" applyFill="1" applyBorder="1"/>
    <xf numFmtId="0" fontId="24" fillId="0" borderId="0" xfId="82" applyFont="1" applyFill="1"/>
    <xf numFmtId="3" fontId="25" fillId="0" borderId="0" xfId="82" applyNumberFormat="1" applyFont="1" applyFill="1"/>
    <xf numFmtId="3" fontId="24" fillId="0" borderId="12" xfId="47" applyNumberFormat="1" applyFont="1" applyFill="1" applyBorder="1" applyAlignment="1">
      <alignment horizontal="right" wrapText="1"/>
    </xf>
    <xf numFmtId="3" fontId="24" fillId="0" borderId="15" xfId="0" applyNumberFormat="1" applyFont="1" applyBorder="1" applyAlignment="1">
      <alignment horizontal="right"/>
    </xf>
    <xf numFmtId="3" fontId="25" fillId="0" borderId="12" xfId="0" applyNumberFormat="1" applyFont="1" applyFill="1" applyBorder="1" applyAlignment="1">
      <alignment horizontal="right"/>
    </xf>
    <xf numFmtId="3" fontId="25" fillId="0" borderId="12" xfId="0" applyNumberFormat="1" applyFont="1" applyBorder="1" applyAlignment="1">
      <alignment horizontal="right"/>
    </xf>
    <xf numFmtId="3" fontId="25" fillId="0" borderId="15" xfId="0" applyNumberFormat="1" applyFont="1" applyBorder="1" applyAlignment="1">
      <alignment horizontal="right"/>
    </xf>
    <xf numFmtId="3" fontId="24" fillId="0" borderId="12" xfId="0" applyNumberFormat="1" applyFont="1" applyFill="1" applyBorder="1" applyAlignment="1">
      <alignment horizontal="right"/>
    </xf>
    <xf numFmtId="3" fontId="25" fillId="0" borderId="12" xfId="48" applyNumberFormat="1" applyFont="1" applyFill="1" applyBorder="1"/>
    <xf numFmtId="0" fontId="24" fillId="0" borderId="14" xfId="48" applyFont="1" applyFill="1" applyBorder="1" applyAlignment="1">
      <alignment horizontal="left" vertical="center" wrapText="1" indent="2"/>
    </xf>
    <xf numFmtId="3" fontId="24" fillId="0" borderId="12" xfId="48" applyNumberFormat="1" applyFont="1" applyFill="1" applyBorder="1" applyAlignment="1">
      <alignment horizontal="right" wrapText="1"/>
    </xf>
    <xf numFmtId="0" fontId="25" fillId="0" borderId="14" xfId="48" applyFont="1" applyFill="1" applyBorder="1"/>
    <xf numFmtId="0" fontId="25" fillId="0" borderId="14" xfId="48" applyFont="1" applyFill="1" applyBorder="1" applyAlignment="1">
      <alignment horizontal="left" vertical="center" wrapText="1" indent="2"/>
    </xf>
    <xf numFmtId="0" fontId="24" fillId="0" borderId="0" xfId="48" applyFont="1" applyFill="1" applyBorder="1" applyAlignment="1">
      <alignment horizontal="left" vertical="center" wrapText="1" indent="1"/>
    </xf>
    <xf numFmtId="0" fontId="25" fillId="0" borderId="14" xfId="48" applyFont="1" applyFill="1" applyBorder="1" applyAlignment="1">
      <alignment horizontal="left" vertical="center" wrapText="1" indent="1"/>
    </xf>
    <xf numFmtId="0" fontId="25" fillId="0" borderId="0" xfId="48" applyFont="1" applyFill="1" applyBorder="1" applyAlignment="1">
      <alignment horizontal="left" vertical="center" wrapText="1" indent="2"/>
    </xf>
    <xf numFmtId="3" fontId="25" fillId="0" borderId="0" xfId="48" applyNumberFormat="1" applyFont="1" applyFill="1" applyBorder="1" applyAlignment="1">
      <alignment horizontal="right" wrapText="1"/>
    </xf>
    <xf numFmtId="3" fontId="24" fillId="0" borderId="0" xfId="48" applyNumberFormat="1" applyFont="1" applyFill="1" applyBorder="1" applyAlignment="1">
      <alignment horizontal="left" vertical="center" wrapText="1" indent="2"/>
    </xf>
    <xf numFmtId="3" fontId="24" fillId="0" borderId="0" xfId="48" applyNumberFormat="1" applyFont="1" applyFill="1" applyBorder="1" applyAlignment="1">
      <alignment horizontal="right" wrapText="1"/>
    </xf>
    <xf numFmtId="0" fontId="25" fillId="0" borderId="0" xfId="44" applyFont="1"/>
    <xf numFmtId="0" fontId="25" fillId="0" borderId="12" xfId="44" applyFont="1" applyBorder="1"/>
    <xf numFmtId="3" fontId="24" fillId="0" borderId="12" xfId="44" applyNumberFormat="1" applyFont="1" applyBorder="1"/>
    <xf numFmtId="3" fontId="24" fillId="0" borderId="15" xfId="44" applyNumberFormat="1" applyFont="1" applyBorder="1"/>
    <xf numFmtId="0" fontId="24" fillId="0" borderId="0" xfId="44" applyFont="1"/>
    <xf numFmtId="3" fontId="24" fillId="0" borderId="12" xfId="0" applyNumberFormat="1" applyFont="1" applyBorder="1"/>
    <xf numFmtId="3" fontId="24" fillId="0" borderId="0" xfId="44" applyNumberFormat="1" applyFont="1"/>
    <xf numFmtId="3" fontId="25" fillId="0" borderId="12" xfId="0" applyNumberFormat="1" applyFont="1" applyBorder="1"/>
    <xf numFmtId="3" fontId="25" fillId="0" borderId="15" xfId="44" applyNumberFormat="1" applyFont="1" applyBorder="1"/>
    <xf numFmtId="0" fontId="24" fillId="0" borderId="0" xfId="48" applyFont="1" applyFill="1" applyBorder="1"/>
    <xf numFmtId="0" fontId="25" fillId="0" borderId="0" xfId="48" applyFont="1" applyFill="1" applyBorder="1"/>
    <xf numFmtId="3" fontId="25" fillId="0" borderId="12" xfId="44" applyNumberFormat="1" applyFont="1" applyBorder="1"/>
    <xf numFmtId="0" fontId="25" fillId="0" borderId="12" xfId="48" applyFont="1" applyFill="1" applyBorder="1"/>
    <xf numFmtId="3" fontId="24" fillId="29" borderId="15" xfId="48" applyNumberFormat="1" applyFont="1" applyFill="1" applyBorder="1" applyAlignment="1">
      <alignment horizontal="right"/>
    </xf>
    <xf numFmtId="3" fontId="25" fillId="29" borderId="15" xfId="48" applyNumberFormat="1" applyFont="1" applyFill="1" applyBorder="1" applyAlignment="1">
      <alignment horizontal="right"/>
    </xf>
    <xf numFmtId="3" fontId="24" fillId="29" borderId="12" xfId="48" applyNumberFormat="1" applyFont="1" applyFill="1" applyBorder="1" applyAlignment="1">
      <alignment horizontal="right"/>
    </xf>
    <xf numFmtId="3" fontId="25" fillId="29" borderId="12" xfId="48" applyNumberFormat="1" applyFont="1" applyFill="1" applyBorder="1" applyAlignment="1">
      <alignment horizontal="right"/>
    </xf>
    <xf numFmtId="3" fontId="24" fillId="29" borderId="22" xfId="48" applyNumberFormat="1" applyFont="1" applyFill="1" applyBorder="1" applyAlignment="1">
      <alignment horizontal="right"/>
    </xf>
    <xf numFmtId="3" fontId="25" fillId="29" borderId="22" xfId="48" applyNumberFormat="1" applyFont="1" applyFill="1" applyBorder="1" applyAlignment="1">
      <alignment horizontal="right"/>
    </xf>
    <xf numFmtId="3" fontId="24" fillId="29" borderId="17" xfId="48" applyNumberFormat="1" applyFont="1" applyFill="1" applyBorder="1" applyAlignment="1">
      <alignment horizontal="right"/>
    </xf>
    <xf numFmtId="3" fontId="24" fillId="29" borderId="18" xfId="48" applyNumberFormat="1" applyFont="1" applyFill="1" applyBorder="1" applyAlignment="1">
      <alignment horizontal="right"/>
    </xf>
    <xf numFmtId="0" fontId="24" fillId="0" borderId="0" xfId="48" applyFont="1" applyFill="1"/>
    <xf numFmtId="0" fontId="25" fillId="0" borderId="14" xfId="48" applyFont="1" applyFill="1" applyBorder="1" applyAlignment="1">
      <alignment horizontal="left" wrapText="1"/>
    </xf>
    <xf numFmtId="0" fontId="24" fillId="0" borderId="14" xfId="48" applyFont="1" applyFill="1" applyBorder="1" applyAlignment="1">
      <alignment horizontal="left" wrapText="1"/>
    </xf>
    <xf numFmtId="3" fontId="24" fillId="0" borderId="15" xfId="48" applyNumberFormat="1" applyFont="1" applyFill="1" applyBorder="1"/>
    <xf numFmtId="3" fontId="24" fillId="0" borderId="0" xfId="48" applyNumberFormat="1" applyFont="1" applyFill="1"/>
    <xf numFmtId="0" fontId="19" fillId="0" borderId="14" xfId="82" applyFont="1" applyFill="1" applyBorder="1"/>
    <xf numFmtId="0" fontId="24" fillId="0" borderId="21" xfId="48" applyFont="1" applyBorder="1" applyAlignment="1">
      <alignment horizontal="center" vertical="center"/>
    </xf>
    <xf numFmtId="0" fontId="29" fillId="0" borderId="24" xfId="47" applyFont="1" applyFill="1" applyBorder="1" applyAlignment="1">
      <alignment horizontal="left" vertical="center" wrapText="1" indent="2"/>
    </xf>
    <xf numFmtId="0" fontId="0" fillId="29" borderId="25" xfId="47" applyFont="1" applyFill="1" applyBorder="1" applyAlignment="1">
      <alignment wrapText="1"/>
    </xf>
    <xf numFmtId="0" fontId="26" fillId="29" borderId="14" xfId="47" applyFont="1" applyFill="1" applyBorder="1" applyAlignment="1">
      <alignment wrapText="1"/>
    </xf>
    <xf numFmtId="3" fontId="26" fillId="29" borderId="12" xfId="48" applyNumberFormat="1" applyFont="1" applyFill="1" applyBorder="1" applyAlignment="1">
      <alignment horizontal="right" wrapText="1"/>
    </xf>
    <xf numFmtId="3" fontId="26" fillId="0" borderId="12" xfId="48" applyNumberFormat="1" applyFont="1" applyFill="1" applyBorder="1" applyAlignment="1">
      <alignment horizontal="right" wrapText="1"/>
    </xf>
    <xf numFmtId="0" fontId="28" fillId="0" borderId="12" xfId="42" applyFont="1" applyFill="1" applyBorder="1"/>
    <xf numFmtId="0" fontId="30" fillId="0" borderId="12" xfId="0" applyFont="1" applyFill="1" applyBorder="1"/>
    <xf numFmtId="0" fontId="30" fillId="0" borderId="12" xfId="0" applyFont="1" applyFill="1" applyBorder="1" applyAlignment="1">
      <alignment wrapText="1"/>
    </xf>
    <xf numFmtId="0" fontId="31" fillId="0" borderId="12" xfId="0" applyFont="1" applyFill="1" applyBorder="1"/>
    <xf numFmtId="0" fontId="31" fillId="0" borderId="0" xfId="0" applyFont="1" applyFill="1"/>
    <xf numFmtId="0" fontId="28" fillId="0" borderId="12" xfId="42" applyFont="1" applyFill="1" applyBorder="1" applyAlignment="1">
      <alignment wrapText="1"/>
    </xf>
    <xf numFmtId="3" fontId="30" fillId="0" borderId="12" xfId="0" applyNumberFormat="1" applyFont="1" applyFill="1" applyBorder="1"/>
    <xf numFmtId="3" fontId="32" fillId="0" borderId="12" xfId="0" applyNumberFormat="1" applyFont="1" applyFill="1" applyBorder="1"/>
    <xf numFmtId="3" fontId="31" fillId="0" borderId="12" xfId="0" applyNumberFormat="1" applyFont="1" applyFill="1" applyBorder="1"/>
    <xf numFmtId="0" fontId="31" fillId="0" borderId="12" xfId="42" applyFont="1" applyFill="1" applyBorder="1" applyAlignment="1">
      <alignment wrapText="1"/>
    </xf>
    <xf numFmtId="3" fontId="33" fillId="0" borderId="12" xfId="0" applyNumberFormat="1" applyFont="1" applyFill="1" applyBorder="1"/>
    <xf numFmtId="0" fontId="33" fillId="0" borderId="12" xfId="0" applyFont="1" applyFill="1" applyBorder="1"/>
    <xf numFmtId="49" fontId="31" fillId="0" borderId="12" xfId="42" applyNumberFormat="1" applyFont="1" applyFill="1" applyBorder="1" applyAlignment="1">
      <alignment horizontal="left" wrapText="1"/>
    </xf>
    <xf numFmtId="3" fontId="34" fillId="0" borderId="12" xfId="0" applyNumberFormat="1" applyFont="1" applyFill="1" applyBorder="1"/>
    <xf numFmtId="0" fontId="34" fillId="0" borderId="12" xfId="0" applyFont="1" applyFill="1" applyBorder="1"/>
    <xf numFmtId="3" fontId="31" fillId="0" borderId="0" xfId="0" applyNumberFormat="1" applyFont="1" applyFill="1"/>
    <xf numFmtId="3" fontId="35" fillId="0" borderId="0" xfId="0" applyNumberFormat="1" applyFont="1" applyFill="1"/>
    <xf numFmtId="49" fontId="28" fillId="0" borderId="0" xfId="0" applyNumberFormat="1" applyFont="1" applyFill="1" applyAlignment="1">
      <alignment wrapText="1"/>
    </xf>
    <xf numFmtId="3" fontId="28" fillId="0" borderId="0" xfId="0" applyNumberFormat="1" applyFont="1" applyFill="1"/>
    <xf numFmtId="3" fontId="25" fillId="0" borderId="12" xfId="47" applyNumberFormat="1" applyFont="1" applyFill="1" applyBorder="1" applyAlignment="1">
      <alignment horizontal="right" wrapText="1"/>
    </xf>
    <xf numFmtId="3" fontId="26" fillId="0" borderId="12" xfId="0" applyNumberFormat="1" applyFont="1" applyBorder="1"/>
    <xf numFmtId="0" fontId="25" fillId="0" borderId="14" xfId="0" applyFont="1" applyFill="1" applyBorder="1" applyAlignment="1">
      <alignment horizontal="left" wrapText="1"/>
    </xf>
    <xf numFmtId="0" fontId="25" fillId="0" borderId="0" xfId="82" applyFont="1" applyFill="1" applyBorder="1"/>
    <xf numFmtId="0" fontId="25" fillId="0" borderId="0" xfId="0" applyFont="1" applyBorder="1"/>
    <xf numFmtId="3" fontId="24" fillId="0" borderId="12" xfId="0" applyNumberFormat="1" applyFont="1" applyBorder="1" applyAlignment="1">
      <alignment horizontal="right"/>
    </xf>
    <xf numFmtId="0" fontId="24" fillId="0" borderId="14" xfId="45" applyFont="1" applyFill="1" applyBorder="1"/>
    <xf numFmtId="0" fontId="24" fillId="0" borderId="12" xfId="45" applyFont="1" applyFill="1" applyBorder="1"/>
    <xf numFmtId="3" fontId="24" fillId="0" borderId="12" xfId="45" applyNumberFormat="1" applyFont="1" applyFill="1" applyBorder="1"/>
    <xf numFmtId="3" fontId="24" fillId="29" borderId="12" xfId="45" applyNumberFormat="1" applyFont="1" applyFill="1" applyBorder="1"/>
    <xf numFmtId="3" fontId="24" fillId="29" borderId="12" xfId="45" applyNumberFormat="1" applyFont="1" applyFill="1" applyBorder="1" applyAlignment="1">
      <alignment horizontal="right"/>
    </xf>
    <xf numFmtId="4" fontId="24" fillId="0" borderId="12" xfId="45" applyNumberFormat="1" applyFont="1" applyFill="1" applyBorder="1"/>
    <xf numFmtId="0" fontId="25" fillId="0" borderId="14" xfId="45" applyFont="1" applyFill="1" applyBorder="1"/>
    <xf numFmtId="4" fontId="25" fillId="0" borderId="12" xfId="45" applyNumberFormat="1" applyFont="1" applyFill="1" applyBorder="1"/>
    <xf numFmtId="3" fontId="25" fillId="29" borderId="12" xfId="45" applyNumberFormat="1" applyFont="1" applyFill="1" applyBorder="1"/>
    <xf numFmtId="3" fontId="25" fillId="29" borderId="12" xfId="45" applyNumberFormat="1" applyFont="1" applyFill="1" applyBorder="1" applyAlignment="1">
      <alignment horizontal="right"/>
    </xf>
    <xf numFmtId="0" fontId="24" fillId="0" borderId="14" xfId="46" applyFont="1" applyFill="1" applyBorder="1"/>
    <xf numFmtId="0" fontId="25" fillId="0" borderId="14" xfId="46" applyFont="1" applyFill="1" applyBorder="1"/>
    <xf numFmtId="0" fontId="25" fillId="0" borderId="12" xfId="45" applyFont="1" applyFill="1" applyBorder="1"/>
    <xf numFmtId="3" fontId="25" fillId="0" borderId="12" xfId="45" applyNumberFormat="1" applyFont="1" applyFill="1" applyBorder="1"/>
    <xf numFmtId="165" fontId="25" fillId="29" borderId="12" xfId="45" applyNumberFormat="1" applyFont="1" applyFill="1" applyBorder="1"/>
    <xf numFmtId="3" fontId="25" fillId="0" borderId="12" xfId="45" applyNumberFormat="1" applyFont="1" applyBorder="1"/>
    <xf numFmtId="165" fontId="24" fillId="29" borderId="12" xfId="45" applyNumberFormat="1" applyFont="1" applyFill="1" applyBorder="1"/>
    <xf numFmtId="0" fontId="24" fillId="0" borderId="14" xfId="0" applyFont="1" applyBorder="1"/>
    <xf numFmtId="3" fontId="24" fillId="0" borderId="12" xfId="45" applyNumberFormat="1" applyFont="1" applyBorder="1"/>
    <xf numFmtId="0" fontId="25" fillId="0" borderId="14" xfId="0" applyFont="1" applyBorder="1"/>
    <xf numFmtId="0" fontId="25" fillId="0" borderId="14" xfId="45" applyFont="1" applyFill="1" applyBorder="1" applyAlignment="1">
      <alignment wrapText="1"/>
    </xf>
    <xf numFmtId="2" fontId="24" fillId="0" borderId="12" xfId="45" applyNumberFormat="1" applyFont="1" applyFill="1" applyBorder="1"/>
    <xf numFmtId="0" fontId="25" fillId="0" borderId="0" xfId="0" applyFont="1" applyFill="1"/>
    <xf numFmtId="0" fontId="25" fillId="0" borderId="12" xfId="45" applyFont="1" applyBorder="1"/>
    <xf numFmtId="3" fontId="24" fillId="0" borderId="14" xfId="45" applyNumberFormat="1" applyFont="1" applyFill="1" applyBorder="1"/>
    <xf numFmtId="0" fontId="24" fillId="0" borderId="12" xfId="45" applyFont="1" applyBorder="1"/>
    <xf numFmtId="3" fontId="25" fillId="0" borderId="14" xfId="45" applyNumberFormat="1" applyFont="1" applyFill="1" applyBorder="1"/>
    <xf numFmtId="3" fontId="24" fillId="29" borderId="17" xfId="48" applyNumberFormat="1" applyFont="1" applyFill="1" applyBorder="1" applyAlignment="1">
      <alignment horizontal="right" wrapText="1"/>
    </xf>
    <xf numFmtId="0" fontId="25" fillId="0" borderId="26" xfId="48" applyFont="1" applyBorder="1" applyAlignment="1">
      <alignment wrapText="1"/>
    </xf>
    <xf numFmtId="3" fontId="25" fillId="0" borderId="27" xfId="48" applyNumberFormat="1" applyFont="1" applyBorder="1"/>
    <xf numFmtId="0" fontId="24" fillId="29" borderId="16" xfId="48" applyFont="1" applyFill="1" applyBorder="1" applyAlignment="1">
      <alignment horizontal="left" wrapText="1"/>
    </xf>
    <xf numFmtId="3" fontId="24" fillId="0" borderId="18" xfId="48" applyNumberFormat="1" applyFont="1" applyBorder="1"/>
    <xf numFmtId="0" fontId="24" fillId="29" borderId="12" xfId="48" applyFont="1" applyFill="1" applyBorder="1" applyAlignment="1">
      <alignment horizontal="center" vertical="center" wrapText="1"/>
    </xf>
    <xf numFmtId="0" fontId="24" fillId="0" borderId="33" xfId="48" applyFont="1" applyBorder="1" applyAlignment="1">
      <alignment horizontal="center" vertical="center"/>
    </xf>
    <xf numFmtId="0" fontId="25" fillId="0" borderId="22" xfId="44" applyFont="1" applyBorder="1"/>
    <xf numFmtId="3" fontId="24" fillId="0" borderId="22" xfId="44" applyNumberFormat="1" applyFont="1" applyBorder="1"/>
    <xf numFmtId="3" fontId="24" fillId="0" borderId="22" xfId="0" applyNumberFormat="1" applyFont="1" applyBorder="1"/>
    <xf numFmtId="3" fontId="25" fillId="0" borderId="22" xfId="0" applyNumberFormat="1" applyFont="1" applyBorder="1"/>
    <xf numFmtId="3" fontId="26" fillId="0" borderId="22" xfId="0" applyNumberFormat="1" applyFont="1" applyBorder="1"/>
    <xf numFmtId="3" fontId="25" fillId="0" borderId="22" xfId="48" applyNumberFormat="1" applyFont="1" applyFill="1" applyBorder="1" applyAlignment="1">
      <alignment horizontal="right" wrapText="1"/>
    </xf>
    <xf numFmtId="3" fontId="25" fillId="0" borderId="22" xfId="44" applyNumberFormat="1" applyFont="1" applyBorder="1"/>
    <xf numFmtId="3" fontId="24" fillId="0" borderId="22" xfId="47" applyNumberFormat="1" applyFont="1" applyFill="1" applyBorder="1" applyAlignment="1">
      <alignment horizontal="right" wrapText="1"/>
    </xf>
    <xf numFmtId="3" fontId="25" fillId="0" borderId="22" xfId="0" applyNumberFormat="1" applyFont="1" applyBorder="1" applyAlignment="1">
      <alignment horizontal="right"/>
    </xf>
    <xf numFmtId="3" fontId="24" fillId="0" borderId="22" xfId="0" applyNumberFormat="1" applyFont="1" applyBorder="1" applyAlignment="1">
      <alignment horizontal="right"/>
    </xf>
    <xf numFmtId="0" fontId="25" fillId="0" borderId="24" xfId="47" applyFont="1" applyFill="1" applyBorder="1" applyAlignment="1">
      <alignment horizontal="left" vertical="center" wrapText="1" indent="2"/>
    </xf>
    <xf numFmtId="0" fontId="24" fillId="0" borderId="22" xfId="48" applyFont="1" applyBorder="1"/>
    <xf numFmtId="0" fontId="25" fillId="0" borderId="22" xfId="48" applyFont="1" applyBorder="1"/>
    <xf numFmtId="0" fontId="25" fillId="0" borderId="34" xfId="48" applyFont="1" applyBorder="1"/>
    <xf numFmtId="0" fontId="0" fillId="0" borderId="14" xfId="82" applyFont="1" applyFill="1" applyBorder="1" applyAlignment="1">
      <alignment wrapText="1"/>
    </xf>
    <xf numFmtId="0" fontId="0" fillId="0" borderId="14" xfId="82" applyFont="1" applyBorder="1" applyAlignment="1">
      <alignment wrapText="1"/>
    </xf>
    <xf numFmtId="3" fontId="24" fillId="0" borderId="12" xfId="0" applyNumberFormat="1" applyFont="1" applyFill="1" applyBorder="1"/>
    <xf numFmtId="3" fontId="25" fillId="29" borderId="22" xfId="48" applyNumberFormat="1" applyFont="1" applyFill="1" applyBorder="1" applyAlignment="1">
      <alignment horizontal="right" wrapText="1"/>
    </xf>
    <xf numFmtId="0" fontId="26" fillId="0" borderId="35" xfId="48" applyFont="1" applyFill="1" applyBorder="1" applyAlignment="1">
      <alignment horizontal="left" vertical="center" wrapText="1" indent="2"/>
    </xf>
    <xf numFmtId="3" fontId="26" fillId="0" borderId="37" xfId="48" applyNumberFormat="1" applyFont="1" applyFill="1" applyBorder="1" applyAlignment="1">
      <alignment horizontal="right" wrapText="1"/>
    </xf>
    <xf numFmtId="3" fontId="26" fillId="0" borderId="37" xfId="0" applyNumberFormat="1" applyFont="1" applyFill="1" applyBorder="1"/>
    <xf numFmtId="3" fontId="26" fillId="0" borderId="36" xfId="0" applyNumberFormat="1" applyFont="1" applyFill="1" applyBorder="1"/>
    <xf numFmtId="3" fontId="26" fillId="0" borderId="15" xfId="44" applyNumberFormat="1" applyFont="1" applyBorder="1"/>
    <xf numFmtId="3" fontId="26" fillId="29" borderId="12" xfId="48" applyNumberFormat="1" applyFont="1" applyFill="1" applyBorder="1" applyAlignment="1">
      <alignment horizontal="right"/>
    </xf>
    <xf numFmtId="3" fontId="25" fillId="0" borderId="12" xfId="48" applyNumberFormat="1" applyFont="1" applyBorder="1" applyAlignment="1">
      <alignment horizontal="right" wrapText="1"/>
    </xf>
    <xf numFmtId="3" fontId="26" fillId="29" borderId="22" xfId="48" applyNumberFormat="1" applyFont="1" applyFill="1" applyBorder="1" applyAlignment="1">
      <alignment horizontal="right" wrapText="1"/>
    </xf>
    <xf numFmtId="3" fontId="26" fillId="29" borderId="22" xfId="48" applyNumberFormat="1" applyFont="1" applyFill="1" applyBorder="1" applyAlignment="1">
      <alignment horizontal="right"/>
    </xf>
    <xf numFmtId="3" fontId="25" fillId="30" borderId="15" xfId="47" applyNumberFormat="1" applyFont="1" applyFill="1" applyBorder="1" applyAlignment="1">
      <alignment horizontal="right" wrapText="1"/>
    </xf>
    <xf numFmtId="3" fontId="24" fillId="0" borderId="26" xfId="83" applyNumberFormat="1" applyFont="1" applyBorder="1" applyAlignment="1">
      <alignment horizontal="left" wrapText="1"/>
    </xf>
    <xf numFmtId="3" fontId="24" fillId="30" borderId="27" xfId="47" applyNumberFormat="1" applyFont="1" applyFill="1" applyBorder="1" applyAlignment="1">
      <alignment horizontal="right" wrapText="1"/>
    </xf>
    <xf numFmtId="3" fontId="24" fillId="0" borderId="38" xfId="83" applyNumberFormat="1" applyFont="1" applyBorder="1" applyAlignment="1">
      <alignment horizontal="right"/>
    </xf>
    <xf numFmtId="3" fontId="24" fillId="0" borderId="39" xfId="43" applyNumberFormat="1" applyFont="1" applyBorder="1" applyAlignment="1">
      <alignment horizontal="center" vertical="center" wrapText="1"/>
    </xf>
    <xf numFmtId="0" fontId="24" fillId="0" borderId="40" xfId="48" applyFont="1" applyBorder="1" applyAlignment="1">
      <alignment horizontal="center" vertical="center" wrapText="1"/>
    </xf>
    <xf numFmtId="0" fontId="24" fillId="0" borderId="40" xfId="48" applyFont="1" applyBorder="1" applyAlignment="1">
      <alignment horizontal="center" vertical="center"/>
    </xf>
    <xf numFmtId="0" fontId="24" fillId="0" borderId="41" xfId="48" applyFont="1" applyBorder="1" applyAlignment="1">
      <alignment horizontal="center" vertical="center"/>
    </xf>
    <xf numFmtId="3" fontId="25" fillId="0" borderId="42" xfId="43" applyNumberFormat="1" applyFont="1" applyFill="1" applyBorder="1" applyAlignment="1">
      <alignment wrapText="1"/>
    </xf>
    <xf numFmtId="3" fontId="25" fillId="0" borderId="43" xfId="43" applyNumberFormat="1" applyFont="1" applyFill="1" applyBorder="1" applyAlignment="1">
      <alignment horizontal="right"/>
    </xf>
    <xf numFmtId="3" fontId="25" fillId="0" borderId="43" xfId="43" applyNumberFormat="1" applyFont="1" applyBorder="1" applyAlignment="1">
      <alignment horizontal="right"/>
    </xf>
    <xf numFmtId="3" fontId="25" fillId="0" borderId="44" xfId="83" applyNumberFormat="1" applyFont="1" applyBorder="1" applyAlignment="1">
      <alignment horizontal="right"/>
    </xf>
    <xf numFmtId="3" fontId="24" fillId="0" borderId="39" xfId="43" applyNumberFormat="1" applyFont="1" applyBorder="1" applyAlignment="1">
      <alignment vertical="center" wrapText="1"/>
    </xf>
    <xf numFmtId="3" fontId="24" fillId="0" borderId="40" xfId="43" applyNumberFormat="1" applyFont="1" applyBorder="1" applyAlignment="1">
      <alignment horizontal="right"/>
    </xf>
    <xf numFmtId="3" fontId="24" fillId="0" borderId="41" xfId="83" applyNumberFormat="1" applyFont="1" applyBorder="1" applyAlignment="1">
      <alignment horizontal="right"/>
    </xf>
    <xf numFmtId="0" fontId="24" fillId="0" borderId="14" xfId="47" applyFont="1" applyFill="1" applyBorder="1" applyAlignment="1">
      <alignment horizontal="left" vertical="center" wrapText="1"/>
    </xf>
    <xf numFmtId="0" fontId="24" fillId="0" borderId="14" xfId="82" applyFont="1" applyFill="1" applyBorder="1" applyAlignment="1">
      <alignment vertical="center" wrapText="1"/>
    </xf>
    <xf numFmtId="0" fontId="24" fillId="0" borderId="16" xfId="82" applyFont="1" applyFill="1" applyBorder="1" applyAlignment="1">
      <alignment vertical="center"/>
    </xf>
    <xf numFmtId="3" fontId="24" fillId="0" borderId="17" xfId="82" applyNumberFormat="1" applyFont="1" applyFill="1" applyBorder="1" applyAlignment="1">
      <alignment horizontal="right" vertical="center"/>
    </xf>
    <xf numFmtId="3" fontId="24" fillId="0" borderId="18" xfId="0" applyNumberFormat="1" applyFont="1" applyBorder="1" applyAlignment="1">
      <alignment horizontal="right" vertical="center"/>
    </xf>
    <xf numFmtId="3" fontId="24" fillId="29" borderId="15" xfId="45" applyNumberFormat="1" applyFont="1" applyFill="1" applyBorder="1" applyAlignment="1">
      <alignment horizontal="right"/>
    </xf>
    <xf numFmtId="3" fontId="25" fillId="0" borderId="15" xfId="0" applyNumberFormat="1" applyFont="1" applyBorder="1"/>
    <xf numFmtId="3" fontId="24" fillId="0" borderId="15" xfId="45" applyNumberFormat="1" applyFont="1" applyBorder="1"/>
    <xf numFmtId="3" fontId="24" fillId="29" borderId="15" xfId="45" applyNumberFormat="1" applyFont="1" applyFill="1" applyBorder="1"/>
    <xf numFmtId="3" fontId="24" fillId="0" borderId="15" xfId="0" applyNumberFormat="1" applyFont="1" applyFill="1" applyBorder="1"/>
    <xf numFmtId="0" fontId="24" fillId="0" borderId="16" xfId="45" applyFont="1" applyFill="1" applyBorder="1"/>
    <xf numFmtId="0" fontId="25" fillId="0" borderId="17" xfId="45" applyFont="1" applyBorder="1"/>
    <xf numFmtId="3" fontId="24" fillId="0" borderId="17" xfId="45" applyNumberFormat="1" applyFont="1" applyBorder="1"/>
    <xf numFmtId="3" fontId="24" fillId="0" borderId="18" xfId="45" applyNumberFormat="1" applyFont="1" applyBorder="1"/>
    <xf numFmtId="0" fontId="24" fillId="0" borderId="26" xfId="45" applyFont="1" applyFill="1" applyBorder="1"/>
    <xf numFmtId="0" fontId="24" fillId="0" borderId="27" xfId="45" applyFont="1" applyFill="1" applyBorder="1"/>
    <xf numFmtId="3" fontId="24" fillId="0" borderId="27" xfId="45" applyNumberFormat="1" applyFont="1" applyFill="1" applyBorder="1"/>
    <xf numFmtId="3" fontId="24" fillId="29" borderId="27" xfId="45" applyNumberFormat="1" applyFont="1" applyFill="1" applyBorder="1"/>
    <xf numFmtId="3" fontId="24" fillId="29" borderId="27" xfId="45" applyNumberFormat="1" applyFont="1" applyFill="1" applyBorder="1" applyAlignment="1">
      <alignment horizontal="right"/>
    </xf>
    <xf numFmtId="3" fontId="24" fillId="29" borderId="38" xfId="45" applyNumberFormat="1" applyFont="1" applyFill="1" applyBorder="1" applyAlignment="1">
      <alignment horizontal="right"/>
    </xf>
    <xf numFmtId="0" fontId="25" fillId="0" borderId="42" xfId="48" applyFont="1" applyFill="1" applyBorder="1" applyAlignment="1">
      <alignment horizontal="left" vertical="center" wrapText="1" indent="1"/>
    </xf>
    <xf numFmtId="3" fontId="25" fillId="0" borderId="43" xfId="48" applyNumberFormat="1" applyFont="1" applyFill="1" applyBorder="1" applyAlignment="1">
      <alignment horizontal="right" wrapText="1"/>
    </xf>
    <xf numFmtId="3" fontId="25" fillId="0" borderId="44" xfId="44" applyNumberFormat="1" applyFont="1" applyBorder="1"/>
    <xf numFmtId="0" fontId="24" fillId="0" borderId="39" xfId="48" applyFont="1" applyFill="1" applyBorder="1" applyAlignment="1">
      <alignment horizontal="left" vertical="center" wrapText="1" indent="1"/>
    </xf>
    <xf numFmtId="3" fontId="24" fillId="0" borderId="40" xfId="48" applyNumberFormat="1" applyFont="1" applyFill="1" applyBorder="1" applyAlignment="1">
      <alignment horizontal="right" wrapText="1"/>
    </xf>
    <xf numFmtId="3" fontId="24" fillId="0" borderId="41" xfId="48" applyNumberFormat="1" applyFont="1" applyFill="1" applyBorder="1" applyAlignment="1">
      <alignment horizontal="right" wrapText="1"/>
    </xf>
    <xf numFmtId="0" fontId="24" fillId="0" borderId="26" xfId="48" applyFont="1" applyFill="1" applyBorder="1" applyAlignment="1">
      <alignment horizontal="left" vertical="center" wrapText="1" indent="1"/>
    </xf>
    <xf numFmtId="3" fontId="25" fillId="0" borderId="27" xfId="48" applyNumberFormat="1" applyFont="1" applyFill="1" applyBorder="1"/>
    <xf numFmtId="0" fontId="25" fillId="0" borderId="27" xfId="44" applyFont="1" applyBorder="1"/>
    <xf numFmtId="0" fontId="25" fillId="0" borderId="45" xfId="44" applyFont="1" applyBorder="1"/>
    <xf numFmtId="0" fontId="25" fillId="0" borderId="38" xfId="44" applyFont="1" applyBorder="1"/>
    <xf numFmtId="0" fontId="24" fillId="0" borderId="39" xfId="48" applyFont="1" applyFill="1" applyBorder="1" applyAlignment="1">
      <alignment horizontal="center" vertical="center" wrapText="1"/>
    </xf>
    <xf numFmtId="0" fontId="24" fillId="0" borderId="46" xfId="48" applyFont="1" applyBorder="1" applyAlignment="1">
      <alignment horizontal="center" vertical="center"/>
    </xf>
    <xf numFmtId="0" fontId="24" fillId="0" borderId="21" xfId="48" applyFont="1" applyBorder="1" applyAlignment="1">
      <alignment horizontal="center" vertical="center"/>
    </xf>
    <xf numFmtId="0" fontId="24" fillId="0" borderId="20" xfId="48" applyFont="1" applyBorder="1" applyAlignment="1">
      <alignment horizontal="center" vertical="center"/>
    </xf>
    <xf numFmtId="3" fontId="25" fillId="0" borderId="0" xfId="44" applyNumberFormat="1" applyFont="1"/>
    <xf numFmtId="3" fontId="25" fillId="0" borderId="0" xfId="44" applyNumberFormat="1" applyFont="1" applyAlignment="1">
      <alignment wrapText="1"/>
    </xf>
    <xf numFmtId="3" fontId="24" fillId="0" borderId="19" xfId="44" applyNumberFormat="1" applyFont="1" applyBorder="1" applyAlignment="1">
      <alignment wrapText="1"/>
    </xf>
    <xf numFmtId="3" fontId="24" fillId="0" borderId="20" xfId="44" applyNumberFormat="1" applyFont="1" applyBorder="1" applyAlignment="1">
      <alignment wrapText="1"/>
    </xf>
    <xf numFmtId="3" fontId="25" fillId="29" borderId="14" xfId="48" applyNumberFormat="1" applyFont="1" applyFill="1" applyBorder="1" applyAlignment="1">
      <alignment wrapText="1"/>
    </xf>
    <xf numFmtId="3" fontId="25" fillId="0" borderId="12" xfId="44" applyNumberFormat="1" applyFont="1" applyBorder="1" applyAlignment="1">
      <alignment wrapText="1"/>
    </xf>
    <xf numFmtId="3" fontId="25" fillId="0" borderId="14" xfId="44" applyNumberFormat="1" applyFont="1" applyBorder="1" applyAlignment="1">
      <alignment wrapText="1"/>
    </xf>
    <xf numFmtId="3" fontId="25" fillId="0" borderId="0" xfId="44" applyNumberFormat="1" applyFont="1" applyFill="1" applyBorder="1"/>
    <xf numFmtId="3" fontId="25" fillId="29" borderId="14" xfId="47" applyNumberFormat="1" applyFont="1" applyFill="1" applyBorder="1" applyAlignment="1">
      <alignment wrapText="1"/>
    </xf>
    <xf numFmtId="3" fontId="24" fillId="0" borderId="14" xfId="44" applyNumberFormat="1" applyFont="1" applyBorder="1" applyAlignment="1">
      <alignment wrapText="1"/>
    </xf>
    <xf numFmtId="3" fontId="24" fillId="0" borderId="12" xfId="44" applyNumberFormat="1" applyFont="1" applyBorder="1" applyAlignment="1">
      <alignment wrapText="1"/>
    </xf>
    <xf numFmtId="3" fontId="24" fillId="0" borderId="16" xfId="44" applyNumberFormat="1" applyFont="1" applyBorder="1" applyAlignment="1">
      <alignment wrapText="1"/>
    </xf>
    <xf numFmtId="3" fontId="24" fillId="0" borderId="17" xfId="44" applyNumberFormat="1" applyFont="1" applyBorder="1"/>
    <xf numFmtId="3" fontId="24" fillId="0" borderId="17" xfId="44" applyNumberFormat="1" applyFont="1" applyBorder="1" applyAlignment="1">
      <alignment wrapText="1"/>
    </xf>
    <xf numFmtId="3" fontId="24" fillId="0" borderId="18" xfId="44" applyNumberFormat="1" applyFont="1" applyBorder="1"/>
    <xf numFmtId="3" fontId="25" fillId="0" borderId="12" xfId="44" applyNumberFormat="1" applyFont="1" applyFill="1" applyBorder="1" applyAlignment="1">
      <alignment wrapText="1"/>
    </xf>
    <xf numFmtId="3" fontId="25" fillId="0" borderId="12" xfId="44" applyNumberFormat="1" applyFont="1" applyFill="1" applyBorder="1"/>
    <xf numFmtId="3" fontId="24" fillId="0" borderId="0" xfId="44" applyNumberFormat="1" applyFont="1" applyBorder="1" applyAlignment="1">
      <alignment wrapText="1"/>
    </xf>
    <xf numFmtId="3" fontId="24" fillId="0" borderId="0" xfId="44" applyNumberFormat="1" applyFont="1" applyBorder="1"/>
    <xf numFmtId="3" fontId="24" fillId="0" borderId="15" xfId="44" applyNumberFormat="1" applyFont="1" applyBorder="1" applyAlignment="1">
      <alignment wrapText="1"/>
    </xf>
    <xf numFmtId="3" fontId="25" fillId="0" borderId="0" xfId="84" applyNumberFormat="1" applyFont="1" applyAlignment="1">
      <alignment wrapText="1"/>
    </xf>
    <xf numFmtId="3" fontId="25" fillId="0" borderId="0" xfId="84" applyNumberFormat="1" applyFont="1"/>
    <xf numFmtId="3" fontId="25" fillId="0" borderId="0" xfId="84" applyNumberFormat="1" applyFont="1" applyAlignment="1">
      <alignment horizontal="right"/>
    </xf>
    <xf numFmtId="3" fontId="24" fillId="0" borderId="19" xfId="84" applyNumberFormat="1" applyFont="1" applyBorder="1" applyAlignment="1">
      <alignment wrapText="1"/>
    </xf>
    <xf numFmtId="3" fontId="24" fillId="0" borderId="20" xfId="84" applyNumberFormat="1" applyFont="1" applyBorder="1" applyAlignment="1">
      <alignment wrapText="1"/>
    </xf>
    <xf numFmtId="3" fontId="24" fillId="0" borderId="14" xfId="84" applyNumberFormat="1" applyFont="1" applyBorder="1" applyAlignment="1">
      <alignment wrapText="1"/>
    </xf>
    <xf numFmtId="3" fontId="24" fillId="29" borderId="12" xfId="85" applyNumberFormat="1" applyFont="1" applyFill="1" applyBorder="1" applyAlignment="1">
      <alignment horizontal="center" vertical="center" wrapText="1"/>
    </xf>
    <xf numFmtId="3" fontId="24" fillId="0" borderId="12" xfId="84" applyNumberFormat="1" applyFont="1" applyBorder="1" applyAlignment="1">
      <alignment wrapText="1"/>
    </xf>
    <xf numFmtId="3" fontId="25" fillId="0" borderId="12" xfId="84" applyNumberFormat="1" applyFont="1" applyBorder="1" applyAlignment="1">
      <alignment wrapText="1"/>
    </xf>
    <xf numFmtId="3" fontId="25" fillId="0" borderId="15" xfId="84" applyNumberFormat="1" applyFont="1" applyBorder="1" applyAlignment="1">
      <alignment wrapText="1"/>
    </xf>
    <xf numFmtId="3" fontId="25" fillId="0" borderId="14" xfId="48" applyNumberFormat="1" applyFont="1" applyBorder="1" applyAlignment="1">
      <alignment horizontal="left" wrapText="1"/>
    </xf>
    <xf numFmtId="3" fontId="25" fillId="0" borderId="12" xfId="84" applyNumberFormat="1" applyFont="1" applyBorder="1"/>
    <xf numFmtId="3" fontId="25" fillId="0" borderId="12" xfId="86" applyNumberFormat="1" applyFont="1" applyBorder="1" applyAlignment="1">
      <alignment wrapText="1"/>
    </xf>
    <xf numFmtId="3" fontId="25" fillId="0" borderId="15" xfId="84" applyNumberFormat="1" applyFont="1" applyBorder="1"/>
    <xf numFmtId="3" fontId="25" fillId="0" borderId="14" xfId="86" applyNumberFormat="1" applyFont="1" applyBorder="1" applyAlignment="1">
      <alignment wrapText="1"/>
    </xf>
    <xf numFmtId="3" fontId="25" fillId="29" borderId="12" xfId="85" applyNumberFormat="1" applyFont="1" applyFill="1" applyBorder="1" applyAlignment="1">
      <alignment horizontal="right" wrapText="1"/>
    </xf>
    <xf numFmtId="3" fontId="24" fillId="0" borderId="12" xfId="84" applyNumberFormat="1" applyFont="1" applyBorder="1"/>
    <xf numFmtId="3" fontId="24" fillId="0" borderId="15" xfId="84" applyNumberFormat="1" applyFont="1" applyBorder="1"/>
    <xf numFmtId="3" fontId="24" fillId="0" borderId="0" xfId="84" applyNumberFormat="1" applyFont="1"/>
    <xf numFmtId="3" fontId="25" fillId="0" borderId="14" xfId="84" applyNumberFormat="1" applyFont="1" applyBorder="1" applyAlignment="1">
      <alignment wrapText="1"/>
    </xf>
    <xf numFmtId="3" fontId="25" fillId="0" borderId="12" xfId="86" applyNumberFormat="1" applyFont="1" applyFill="1" applyBorder="1" applyAlignment="1">
      <alignment wrapText="1"/>
    </xf>
    <xf numFmtId="3" fontId="24" fillId="0" borderId="16" xfId="84" applyNumberFormat="1" applyFont="1" applyBorder="1" applyAlignment="1">
      <alignment wrapText="1"/>
    </xf>
    <xf numFmtId="3" fontId="24" fillId="0" borderId="17" xfId="84" applyNumberFormat="1" applyFont="1" applyBorder="1"/>
    <xf numFmtId="3" fontId="25" fillId="0" borderId="17" xfId="84" applyNumberFormat="1" applyFont="1" applyBorder="1"/>
    <xf numFmtId="3" fontId="24" fillId="0" borderId="17" xfId="84" applyNumberFormat="1" applyFont="1" applyBorder="1" applyAlignment="1">
      <alignment wrapText="1"/>
    </xf>
    <xf numFmtId="3" fontId="24" fillId="0" borderId="18" xfId="84" applyNumberFormat="1" applyFont="1" applyBorder="1"/>
    <xf numFmtId="49" fontId="0" fillId="0" borderId="0" xfId="0" applyNumberFormat="1" applyFont="1" applyFill="1" applyAlignment="1">
      <alignment horizontal="left" wrapText="1"/>
    </xf>
    <xf numFmtId="0" fontId="0" fillId="0" borderId="0" xfId="0" applyFont="1" applyFill="1"/>
    <xf numFmtId="0" fontId="36" fillId="0" borderId="0" xfId="0" applyFont="1" applyFill="1"/>
    <xf numFmtId="0" fontId="0" fillId="0" borderId="0" xfId="0" applyFont="1"/>
    <xf numFmtId="49" fontId="0" fillId="0" borderId="14" xfId="0" applyNumberFormat="1" applyFont="1" applyFill="1" applyBorder="1" applyAlignment="1">
      <alignment horizontal="left" wrapText="1"/>
    </xf>
    <xf numFmtId="0" fontId="0" fillId="0" borderId="12" xfId="0" applyFont="1" applyFill="1" applyBorder="1"/>
    <xf numFmtId="0" fontId="36" fillId="0" borderId="15" xfId="0" applyFont="1" applyFill="1" applyBorder="1" applyAlignment="1">
      <alignment horizontal="right"/>
    </xf>
    <xf numFmtId="49" fontId="36" fillId="0" borderId="14" xfId="0" applyNumberFormat="1" applyFont="1" applyFill="1" applyBorder="1" applyAlignment="1">
      <alignment horizontal="left" wrapText="1"/>
    </xf>
    <xf numFmtId="0" fontId="36" fillId="0" borderId="12" xfId="0" applyFont="1" applyFill="1" applyBorder="1" applyAlignment="1">
      <alignment horizontal="center" wrapText="1"/>
    </xf>
    <xf numFmtId="0" fontId="36" fillId="0" borderId="15" xfId="0" applyFont="1" applyFill="1" applyBorder="1" applyAlignment="1">
      <alignment horizontal="center" wrapText="1"/>
    </xf>
    <xf numFmtId="0" fontId="36" fillId="0" borderId="0" xfId="0" applyFont="1"/>
    <xf numFmtId="3" fontId="36" fillId="0" borderId="12" xfId="0" applyNumberFormat="1" applyFont="1" applyFill="1" applyBorder="1" applyAlignment="1">
      <alignment horizontal="right" wrapText="1"/>
    </xf>
    <xf numFmtId="3" fontId="36" fillId="0" borderId="15" xfId="0" applyNumberFormat="1" applyFont="1" applyFill="1" applyBorder="1" applyAlignment="1">
      <alignment horizontal="right" wrapText="1"/>
    </xf>
    <xf numFmtId="3" fontId="0" fillId="0" borderId="12" xfId="0" applyNumberFormat="1" applyFont="1" applyFill="1" applyBorder="1" applyAlignment="1">
      <alignment horizontal="right" wrapText="1"/>
    </xf>
    <xf numFmtId="3" fontId="0" fillId="0" borderId="0" xfId="0" applyNumberFormat="1" applyFont="1"/>
    <xf numFmtId="3" fontId="0" fillId="0" borderId="12" xfId="0" applyNumberFormat="1" applyFont="1" applyFill="1" applyBorder="1"/>
    <xf numFmtId="3" fontId="0" fillId="0" borderId="47" xfId="0" applyNumberFormat="1" applyFont="1" applyFill="1" applyBorder="1"/>
    <xf numFmtId="49" fontId="37" fillId="0" borderId="14" xfId="0" applyNumberFormat="1" applyFont="1" applyFill="1" applyBorder="1" applyAlignment="1">
      <alignment horizontal="left" wrapText="1"/>
    </xf>
    <xf numFmtId="3" fontId="37" fillId="0" borderId="12" xfId="0" applyNumberFormat="1" applyFont="1" applyFill="1" applyBorder="1"/>
    <xf numFmtId="3" fontId="36" fillId="0" borderId="0" xfId="0" applyNumberFormat="1" applyFont="1"/>
    <xf numFmtId="3" fontId="38" fillId="0" borderId="47" xfId="0" applyNumberFormat="1" applyFont="1" applyFill="1" applyBorder="1"/>
    <xf numFmtId="3" fontId="36" fillId="0" borderId="12" xfId="0" applyNumberFormat="1" applyFont="1" applyFill="1" applyBorder="1"/>
    <xf numFmtId="3" fontId="36" fillId="0" borderId="12" xfId="0" applyNumberFormat="1" applyFont="1" applyFill="1" applyBorder="1" applyAlignment="1">
      <alignment horizontal="right"/>
    </xf>
    <xf numFmtId="3" fontId="36" fillId="0" borderId="15" xfId="0" applyNumberFormat="1" applyFont="1" applyFill="1" applyBorder="1" applyAlignment="1">
      <alignment horizontal="right"/>
    </xf>
    <xf numFmtId="3" fontId="36" fillId="0" borderId="15" xfId="0" applyNumberFormat="1" applyFont="1" applyFill="1" applyBorder="1"/>
    <xf numFmtId="3" fontId="0" fillId="0" borderId="0" xfId="0" applyNumberFormat="1" applyFont="1" applyFill="1" applyBorder="1"/>
    <xf numFmtId="49" fontId="36" fillId="0" borderId="16" xfId="0" applyNumberFormat="1" applyFont="1" applyFill="1" applyBorder="1" applyAlignment="1">
      <alignment horizontal="left" wrapText="1"/>
    </xf>
    <xf numFmtId="3" fontId="36" fillId="0" borderId="17" xfId="0" applyNumberFormat="1" applyFont="1" applyFill="1" applyBorder="1"/>
    <xf numFmtId="3" fontId="36" fillId="0" borderId="18" xfId="0" applyNumberFormat="1" applyFont="1" applyFill="1" applyBorder="1"/>
    <xf numFmtId="49" fontId="0" fillId="0" borderId="0" xfId="0" applyNumberFormat="1" applyFont="1" applyAlignment="1">
      <alignment horizontal="left" wrapText="1"/>
    </xf>
    <xf numFmtId="3" fontId="25" fillId="0" borderId="22" xfId="44" applyNumberFormat="1" applyFont="1" applyBorder="1" applyAlignment="1">
      <alignment wrapText="1"/>
    </xf>
    <xf numFmtId="3" fontId="25" fillId="0" borderId="22" xfId="44" applyNumberFormat="1" applyFont="1" applyFill="1" applyBorder="1"/>
    <xf numFmtId="3" fontId="24" fillId="0" borderId="22" xfId="44" applyNumberFormat="1" applyFont="1" applyBorder="1" applyAlignment="1">
      <alignment wrapText="1"/>
    </xf>
    <xf numFmtId="0" fontId="24" fillId="0" borderId="33" xfId="48" applyFont="1" applyBorder="1" applyAlignment="1">
      <alignment horizontal="center" vertical="center" wrapText="1"/>
    </xf>
    <xf numFmtId="3" fontId="25" fillId="0" borderId="22" xfId="84" applyNumberFormat="1" applyFont="1" applyBorder="1" applyAlignment="1">
      <alignment wrapText="1"/>
    </xf>
    <xf numFmtId="3" fontId="25" fillId="0" borderId="22" xfId="84" applyNumberFormat="1" applyFont="1" applyBorder="1"/>
    <xf numFmtId="3" fontId="24" fillId="0" borderId="22" xfId="84" applyNumberFormat="1" applyFont="1" applyBorder="1"/>
    <xf numFmtId="3" fontId="24" fillId="0" borderId="34" xfId="84" applyNumberFormat="1" applyFont="1" applyBorder="1"/>
    <xf numFmtId="0" fontId="24" fillId="0" borderId="28" xfId="48" applyFont="1" applyBorder="1" applyAlignment="1">
      <alignment horizontal="center" vertical="center" wrapText="1"/>
    </xf>
    <xf numFmtId="0" fontId="24" fillId="29" borderId="0" xfId="48" applyFont="1" applyFill="1" applyBorder="1" applyAlignment="1">
      <alignment horizontal="center" vertical="center" wrapText="1"/>
    </xf>
    <xf numFmtId="0" fontId="24" fillId="0" borderId="21" xfId="48" applyFont="1" applyBorder="1" applyAlignment="1">
      <alignment horizontal="center" vertical="center"/>
    </xf>
    <xf numFmtId="0" fontId="24" fillId="0" borderId="18" xfId="48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20" xfId="48" applyFont="1" applyBorder="1" applyAlignment="1">
      <alignment horizontal="center" vertical="center"/>
    </xf>
    <xf numFmtId="0" fontId="24" fillId="0" borderId="17" xfId="48" applyFont="1" applyBorder="1" applyAlignment="1">
      <alignment horizontal="center" vertical="center"/>
    </xf>
    <xf numFmtId="0" fontId="24" fillId="0" borderId="19" xfId="45" applyFont="1" applyFill="1" applyBorder="1" applyAlignment="1">
      <alignment horizontal="center" vertical="center"/>
    </xf>
    <xf numFmtId="0" fontId="24" fillId="0" borderId="16" xfId="45" applyFont="1" applyFill="1" applyBorder="1" applyAlignment="1">
      <alignment horizontal="center" vertical="center"/>
    </xf>
    <xf numFmtId="0" fontId="24" fillId="0" borderId="20" xfId="45" applyFont="1" applyBorder="1" applyAlignment="1">
      <alignment horizontal="center" vertical="center"/>
    </xf>
    <xf numFmtId="0" fontId="24" fillId="0" borderId="17" xfId="45" applyFont="1" applyBorder="1" applyAlignment="1">
      <alignment horizontal="center" vertical="center"/>
    </xf>
    <xf numFmtId="0" fontId="24" fillId="0" borderId="20" xfId="45" applyFont="1" applyFill="1" applyBorder="1" applyAlignment="1">
      <alignment horizontal="center" vertical="center"/>
    </xf>
    <xf numFmtId="0" fontId="24" fillId="0" borderId="17" xfId="45" applyFont="1" applyFill="1" applyBorder="1" applyAlignment="1">
      <alignment horizontal="center" vertical="center"/>
    </xf>
    <xf numFmtId="0" fontId="24" fillId="29" borderId="20" xfId="45" applyFont="1" applyFill="1" applyBorder="1" applyAlignment="1">
      <alignment horizontal="center" vertical="center"/>
    </xf>
    <xf numFmtId="0" fontId="24" fillId="29" borderId="17" xfId="45" applyFont="1" applyFill="1" applyBorder="1" applyAlignment="1">
      <alignment horizontal="center" vertical="center"/>
    </xf>
    <xf numFmtId="0" fontId="24" fillId="0" borderId="29" xfId="44" applyFont="1" applyBorder="1" applyAlignment="1">
      <alignment horizontal="center" vertical="center" wrapText="1"/>
    </xf>
    <xf numFmtId="0" fontId="24" fillId="0" borderId="23" xfId="44" applyFont="1" applyBorder="1" applyAlignment="1">
      <alignment horizontal="center" vertical="center" wrapText="1"/>
    </xf>
    <xf numFmtId="0" fontId="24" fillId="0" borderId="30" xfId="44" applyFont="1" applyBorder="1" applyAlignment="1">
      <alignment horizontal="center" vertical="center" wrapText="1"/>
    </xf>
    <xf numFmtId="0" fontId="24" fillId="0" borderId="31" xfId="44" applyFont="1" applyBorder="1" applyAlignment="1">
      <alignment horizontal="center" vertical="center" wrapText="1"/>
    </xf>
    <xf numFmtId="0" fontId="24" fillId="0" borderId="28" xfId="44" applyFont="1" applyBorder="1" applyAlignment="1">
      <alignment horizontal="center" vertical="center" wrapText="1"/>
    </xf>
    <xf numFmtId="0" fontId="24" fillId="0" borderId="32" xfId="44" applyFont="1" applyBorder="1" applyAlignment="1">
      <alignment horizontal="center" vertical="center" wrapText="1"/>
    </xf>
    <xf numFmtId="0" fontId="24" fillId="0" borderId="0" xfId="82" applyFont="1" applyFill="1" applyAlignment="1">
      <alignment horizontal="center" vertical="center" wrapText="1"/>
    </xf>
    <xf numFmtId="3" fontId="24" fillId="0" borderId="0" xfId="43" applyNumberFormat="1" applyFont="1" applyAlignment="1">
      <alignment horizontal="center" vertical="center" wrapText="1"/>
    </xf>
    <xf numFmtId="3" fontId="24" fillId="0" borderId="0" xfId="44" applyNumberFormat="1" applyFont="1" applyBorder="1" applyAlignment="1">
      <alignment horizontal="center"/>
    </xf>
    <xf numFmtId="3" fontId="24" fillId="0" borderId="0" xfId="44" applyNumberFormat="1" applyFont="1" applyBorder="1" applyAlignment="1">
      <alignment horizontal="center" vertical="center"/>
    </xf>
    <xf numFmtId="3" fontId="24" fillId="0" borderId="0" xfId="84" applyNumberFormat="1" applyFont="1" applyBorder="1" applyAlignment="1">
      <alignment horizontal="center"/>
    </xf>
    <xf numFmtId="3" fontId="24" fillId="0" borderId="23" xfId="84" applyNumberFormat="1" applyFont="1" applyBorder="1" applyAlignment="1">
      <alignment horizontal="center"/>
    </xf>
    <xf numFmtId="0" fontId="0" fillId="0" borderId="0" xfId="0" applyFont="1" applyFill="1" applyAlignment="1">
      <alignment horizontal="right"/>
    </xf>
    <xf numFmtId="0" fontId="36" fillId="0" borderId="19" xfId="0" applyFont="1" applyFill="1" applyBorder="1" applyAlignment="1">
      <alignment horizontal="center"/>
    </xf>
    <xf numFmtId="0" fontId="36" fillId="0" borderId="20" xfId="0" applyFont="1" applyFill="1" applyBorder="1" applyAlignment="1">
      <alignment horizontal="center"/>
    </xf>
    <xf numFmtId="0" fontId="36" fillId="0" borderId="21" xfId="0" applyFont="1" applyFill="1" applyBorder="1" applyAlignment="1">
      <alignment horizontal="center"/>
    </xf>
  </cellXfs>
  <cellStyles count="8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50"/>
    <cellStyle name="20% - Accent2" xfId="51"/>
    <cellStyle name="20% - Accent3" xfId="52"/>
    <cellStyle name="20% - Accent4" xfId="53"/>
    <cellStyle name="20% - Accent5" xfId="54"/>
    <cellStyle name="20% - Accent6" xfId="55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6"/>
    <cellStyle name="40% - Accent2" xfId="57"/>
    <cellStyle name="40% - Accent3" xfId="58"/>
    <cellStyle name="40% - Accent4" xfId="59"/>
    <cellStyle name="40% - Accent5" xfId="60"/>
    <cellStyle name="40% - Accent6" xfId="6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2"/>
    <cellStyle name="60% - Accent2" xfId="63"/>
    <cellStyle name="60% - Accent3" xfId="64"/>
    <cellStyle name="60% - Accent4" xfId="65"/>
    <cellStyle name="60% - Accent5" xfId="66"/>
    <cellStyle name="60% - Accent6" xfId="67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81"/>
    <cellStyle name="Figyelmeztetés" xfId="36" builtinId="11" customBuiltin="1"/>
    <cellStyle name="Good" xfId="37"/>
    <cellStyle name="Heading 1" xfId="68"/>
    <cellStyle name="Heading 2" xfId="69"/>
    <cellStyle name="Heading 3" xfId="70"/>
    <cellStyle name="Heading 4" xfId="71"/>
    <cellStyle name="Hivatkozott cella" xfId="38" builtinId="24" customBuiltin="1"/>
    <cellStyle name="Input" xfId="72"/>
    <cellStyle name="Jegyzet" xfId="39" builtinId="10" customBuiltin="1"/>
    <cellStyle name="Kimenet" xfId="40" builtinId="21" customBuiltin="1"/>
    <cellStyle name="Linked Cell" xfId="73"/>
    <cellStyle name="Neutral" xfId="41"/>
    <cellStyle name="Normál" xfId="0" builtinId="0"/>
    <cellStyle name="Normál 2" xfId="42"/>
    <cellStyle name="Normál_2007_Koncepció táblák" xfId="83"/>
    <cellStyle name="Normál_2007_Koncepció táblák_2013. évi költségvetés I." xfId="43"/>
    <cellStyle name="Normál_2013. évi költségvetés I." xfId="44"/>
    <cellStyle name="Normál_2013. évi költségvetés I._2013. évi költségvetés előirányzat nyilvántartás" xfId="45"/>
    <cellStyle name="Normál_2013. évi költségvetés I._2013. évi költségvetés II. forduló testületi előterjesztés" xfId="86"/>
    <cellStyle name="Normál_2013. évi költségvetés I._iNTÉZMÉNYI NORMATÍVA 2014" xfId="46"/>
    <cellStyle name="Normál_2013. évi költségvetés II. forduló testületi előterjesztés" xfId="84"/>
    <cellStyle name="Normal_KARSZJ3" xfId="74"/>
    <cellStyle name="Normál_költségvetés10melléklet" xfId="82"/>
    <cellStyle name="Normal_KTRSZJ" xfId="75"/>
    <cellStyle name="Normál_Másolat eredetijeKÖLTSÉGVETÉS2005új1" xfId="47"/>
    <cellStyle name="Normál_Másolat eredetijeKÖLTSÉGVETÉS2005új1_2013. évi költségvetés I." xfId="48"/>
    <cellStyle name="Normál_Másolat eredetijeKÖLTSÉGVETÉS2005új1_2013. évi költségvetés II. forduló testületi előterjesztés" xfId="85"/>
    <cellStyle name="Note" xfId="76"/>
    <cellStyle name="Output" xfId="77"/>
    <cellStyle name="Összesen" xfId="49" builtinId="25" customBuiltin="1"/>
    <cellStyle name="Title" xfId="78"/>
    <cellStyle name="Total" xfId="79"/>
    <cellStyle name="Warning Text" xfId="8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V&#225;szoly%202017%20I.%20m&#243;dos&#237;t&#225;s/V&#225;szoly%202017_&#233;vi_I.m&#243;dos&#237;t&#225;s%20rendelet%20tervezethe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/>
      <sheetData sheetId="1">
        <row r="5">
          <cell r="B5">
            <v>21955111</v>
          </cell>
          <cell r="C5">
            <v>23846951</v>
          </cell>
        </row>
        <row r="6">
          <cell r="C6">
            <v>75000000</v>
          </cell>
        </row>
        <row r="7">
          <cell r="B7">
            <v>10650000</v>
          </cell>
          <cell r="C7">
            <v>10650000</v>
          </cell>
        </row>
        <row r="8">
          <cell r="B8">
            <v>4852500</v>
          </cell>
          <cell r="C8">
            <v>4852500</v>
          </cell>
        </row>
        <row r="9">
          <cell r="C9">
            <v>0</v>
          </cell>
        </row>
        <row r="11">
          <cell r="B11">
            <v>0</v>
          </cell>
          <cell r="C11">
            <v>0</v>
          </cell>
        </row>
        <row r="13">
          <cell r="C13">
            <v>37329264</v>
          </cell>
        </row>
        <row r="14">
          <cell r="C14">
            <v>1058076</v>
          </cell>
        </row>
        <row r="26">
          <cell r="B26">
            <v>1595420</v>
          </cell>
          <cell r="C26">
            <v>3097542</v>
          </cell>
        </row>
      </sheetData>
      <sheetData sheetId="2">
        <row r="20">
          <cell r="B20">
            <v>75000000</v>
          </cell>
          <cell r="C20">
            <v>75000000</v>
          </cell>
        </row>
        <row r="52">
          <cell r="B52">
            <v>0</v>
          </cell>
          <cell r="C52">
            <v>0</v>
          </cell>
        </row>
        <row r="54">
          <cell r="B54"/>
          <cell r="C54"/>
        </row>
        <row r="63">
          <cell r="B63"/>
          <cell r="C63"/>
        </row>
        <row r="66">
          <cell r="B66">
            <v>36000000</v>
          </cell>
          <cell r="C66">
            <v>37329264</v>
          </cell>
        </row>
        <row r="67">
          <cell r="B67">
            <v>36000000</v>
          </cell>
          <cell r="C67">
            <v>37329264</v>
          </cell>
        </row>
        <row r="70">
          <cell r="B70"/>
          <cell r="C70"/>
        </row>
        <row r="71">
          <cell r="B71">
            <v>405000</v>
          </cell>
          <cell r="C71">
            <v>1058076</v>
          </cell>
        </row>
      </sheetData>
      <sheetData sheetId="3"/>
      <sheetData sheetId="4">
        <row r="6">
          <cell r="B6">
            <v>6405000</v>
          </cell>
          <cell r="C6">
            <v>7872540</v>
          </cell>
        </row>
        <row r="7">
          <cell r="B7">
            <v>1614700</v>
          </cell>
          <cell r="C7">
            <v>1776142</v>
          </cell>
        </row>
        <row r="8">
          <cell r="B8">
            <v>13500000</v>
          </cell>
          <cell r="C8">
            <v>13500000</v>
          </cell>
        </row>
        <row r="23">
          <cell r="B23">
            <v>1943000</v>
          </cell>
          <cell r="C23">
            <v>1943000</v>
          </cell>
        </row>
        <row r="31">
          <cell r="B31">
            <v>7550491</v>
          </cell>
          <cell r="C31">
            <v>7522891</v>
          </cell>
        </row>
        <row r="34">
          <cell r="B34">
            <v>140000</v>
          </cell>
          <cell r="C34">
            <v>230000</v>
          </cell>
        </row>
      </sheetData>
      <sheetData sheetId="5">
        <row r="4">
          <cell r="C4">
            <v>7522891</v>
          </cell>
        </row>
        <row r="10">
          <cell r="C10">
            <v>230000</v>
          </cell>
        </row>
      </sheetData>
      <sheetData sheetId="6">
        <row r="4">
          <cell r="B4">
            <v>24270000</v>
          </cell>
          <cell r="C4">
            <v>20770000</v>
          </cell>
        </row>
        <row r="16">
          <cell r="B16">
            <v>90704000</v>
          </cell>
          <cell r="C16">
            <v>94204000</v>
          </cell>
        </row>
        <row r="23">
          <cell r="B23">
            <v>0</v>
          </cell>
          <cell r="C23">
            <v>27600</v>
          </cell>
        </row>
        <row r="25">
          <cell r="C25">
            <v>1793076</v>
          </cell>
        </row>
        <row r="27">
          <cell r="B27"/>
          <cell r="C27"/>
        </row>
        <row r="28">
          <cell r="B28">
            <v>1140000</v>
          </cell>
          <cell r="C28">
            <v>1793076</v>
          </cell>
        </row>
      </sheetData>
      <sheetData sheetId="7">
        <row r="6">
          <cell r="B6">
            <v>21955111</v>
          </cell>
          <cell r="C6">
            <v>23846951</v>
          </cell>
          <cell r="F6">
            <v>6405000</v>
          </cell>
          <cell r="G6">
            <v>7872540</v>
          </cell>
        </row>
        <row r="7">
          <cell r="B7">
            <v>10650000</v>
          </cell>
          <cell r="C7">
            <v>10650000</v>
          </cell>
          <cell r="F7">
            <v>1614700</v>
          </cell>
          <cell r="G7">
            <v>1776142</v>
          </cell>
        </row>
        <row r="8">
          <cell r="B8">
            <v>4852500</v>
          </cell>
          <cell r="C8">
            <v>4852500</v>
          </cell>
          <cell r="F8">
            <v>13500000</v>
          </cell>
          <cell r="G8">
            <v>13500000</v>
          </cell>
        </row>
        <row r="9">
          <cell r="B9"/>
          <cell r="C9"/>
          <cell r="F9">
            <v>1943000</v>
          </cell>
          <cell r="G9">
            <v>1943000</v>
          </cell>
        </row>
        <row r="11">
          <cell r="F11"/>
          <cell r="G11"/>
        </row>
        <row r="12">
          <cell r="F12">
            <v>7550491</v>
          </cell>
          <cell r="G12">
            <v>7522891</v>
          </cell>
        </row>
        <row r="13">
          <cell r="F13">
            <v>140000</v>
          </cell>
          <cell r="G13">
            <v>230000</v>
          </cell>
        </row>
        <row r="14">
          <cell r="F14"/>
          <cell r="G14"/>
        </row>
        <row r="15">
          <cell r="F15">
            <v>1595420</v>
          </cell>
          <cell r="G15">
            <v>3097542</v>
          </cell>
        </row>
        <row r="18">
          <cell r="F18">
            <v>1140000</v>
          </cell>
          <cell r="G18">
            <v>1793076</v>
          </cell>
        </row>
        <row r="20">
          <cell r="B20">
            <v>405000</v>
          </cell>
          <cell r="C20">
            <v>1058076</v>
          </cell>
        </row>
        <row r="29">
          <cell r="B29">
            <v>75000000</v>
          </cell>
          <cell r="C29">
            <v>75000000</v>
          </cell>
          <cell r="F29">
            <v>24270000</v>
          </cell>
          <cell r="G29">
            <v>20770000</v>
          </cell>
        </row>
        <row r="30">
          <cell r="B30">
            <v>0</v>
          </cell>
          <cell r="C30">
            <v>0</v>
          </cell>
        </row>
        <row r="31">
          <cell r="B31">
            <v>0</v>
          </cell>
          <cell r="C31">
            <v>0</v>
          </cell>
          <cell r="F31">
            <v>90704000</v>
          </cell>
          <cell r="G31">
            <v>94204000</v>
          </cell>
        </row>
        <row r="32">
          <cell r="F32">
            <v>0</v>
          </cell>
          <cell r="G32">
            <v>27600</v>
          </cell>
        </row>
        <row r="39">
          <cell r="F39">
            <v>0</v>
          </cell>
          <cell r="G39">
            <v>0</v>
          </cell>
          <cell r="H39">
            <v>0</v>
          </cell>
        </row>
        <row r="56">
          <cell r="B56">
            <v>36000000</v>
          </cell>
          <cell r="C56">
            <v>37329264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P14" sqref="P14"/>
    </sheetView>
  </sheetViews>
  <sheetFormatPr defaultRowHeight="15" x14ac:dyDescent="0.2"/>
  <cols>
    <col min="1" max="1" width="20.85546875" style="146" customWidth="1"/>
    <col min="2" max="3" width="9.5703125" style="146" bestFit="1" customWidth="1"/>
    <col min="4" max="5" width="8.28515625" style="146" bestFit="1" customWidth="1"/>
    <col min="6" max="6" width="8.85546875" style="146" bestFit="1" customWidth="1"/>
    <col min="7" max="7" width="9.140625" style="146"/>
    <col min="8" max="8" width="14.28515625" style="157" customWidth="1"/>
    <col min="9" max="9" width="13.85546875" style="157" customWidth="1"/>
    <col min="10" max="10" width="9.140625" style="157"/>
    <col min="11" max="247" width="9.140625" style="146"/>
    <col min="248" max="248" width="8" style="146" customWidth="1"/>
    <col min="249" max="249" width="11" style="146" customWidth="1"/>
    <col min="250" max="251" width="9.140625" style="146"/>
    <col min="252" max="252" width="5.28515625" style="146" customWidth="1"/>
    <col min="253" max="255" width="9.140625" style="146"/>
    <col min="256" max="256" width="6.28515625" style="146" customWidth="1"/>
    <col min="257" max="257" width="9.42578125" style="146" bestFit="1" customWidth="1"/>
    <col min="258" max="503" width="9.140625" style="146"/>
    <col min="504" max="504" width="8" style="146" customWidth="1"/>
    <col min="505" max="505" width="11" style="146" customWidth="1"/>
    <col min="506" max="507" width="9.140625" style="146"/>
    <col min="508" max="508" width="5.28515625" style="146" customWidth="1"/>
    <col min="509" max="511" width="9.140625" style="146"/>
    <col min="512" max="512" width="6.28515625" style="146" customWidth="1"/>
    <col min="513" max="513" width="9.42578125" style="146" bestFit="1" customWidth="1"/>
    <col min="514" max="759" width="9.140625" style="146"/>
    <col min="760" max="760" width="8" style="146" customWidth="1"/>
    <col min="761" max="761" width="11" style="146" customWidth="1"/>
    <col min="762" max="763" width="9.140625" style="146"/>
    <col min="764" max="764" width="5.28515625" style="146" customWidth="1"/>
    <col min="765" max="767" width="9.140625" style="146"/>
    <col min="768" max="768" width="6.28515625" style="146" customWidth="1"/>
    <col min="769" max="769" width="9.42578125" style="146" bestFit="1" customWidth="1"/>
    <col min="770" max="1015" width="9.140625" style="146"/>
    <col min="1016" max="1016" width="8" style="146" customWidth="1"/>
    <col min="1017" max="1017" width="11" style="146" customWidth="1"/>
    <col min="1018" max="1019" width="9.140625" style="146"/>
    <col min="1020" max="1020" width="5.28515625" style="146" customWidth="1"/>
    <col min="1021" max="1023" width="9.140625" style="146"/>
    <col min="1024" max="1024" width="6.28515625" style="146" customWidth="1"/>
    <col min="1025" max="1025" width="9.42578125" style="146" bestFit="1" customWidth="1"/>
    <col min="1026" max="1271" width="9.140625" style="146"/>
    <col min="1272" max="1272" width="8" style="146" customWidth="1"/>
    <col min="1273" max="1273" width="11" style="146" customWidth="1"/>
    <col min="1274" max="1275" width="9.140625" style="146"/>
    <col min="1276" max="1276" width="5.28515625" style="146" customWidth="1"/>
    <col min="1277" max="1279" width="9.140625" style="146"/>
    <col min="1280" max="1280" width="6.28515625" style="146" customWidth="1"/>
    <col min="1281" max="1281" width="9.42578125" style="146" bestFit="1" customWidth="1"/>
    <col min="1282" max="1527" width="9.140625" style="146"/>
    <col min="1528" max="1528" width="8" style="146" customWidth="1"/>
    <col min="1529" max="1529" width="11" style="146" customWidth="1"/>
    <col min="1530" max="1531" width="9.140625" style="146"/>
    <col min="1532" max="1532" width="5.28515625" style="146" customWidth="1"/>
    <col min="1533" max="1535" width="9.140625" style="146"/>
    <col min="1536" max="1536" width="6.28515625" style="146" customWidth="1"/>
    <col min="1537" max="1537" width="9.42578125" style="146" bestFit="1" customWidth="1"/>
    <col min="1538" max="1783" width="9.140625" style="146"/>
    <col min="1784" max="1784" width="8" style="146" customWidth="1"/>
    <col min="1785" max="1785" width="11" style="146" customWidth="1"/>
    <col min="1786" max="1787" width="9.140625" style="146"/>
    <col min="1788" max="1788" width="5.28515625" style="146" customWidth="1"/>
    <col min="1789" max="1791" width="9.140625" style="146"/>
    <col min="1792" max="1792" width="6.28515625" style="146" customWidth="1"/>
    <col min="1793" max="1793" width="9.42578125" style="146" bestFit="1" customWidth="1"/>
    <col min="1794" max="2039" width="9.140625" style="146"/>
    <col min="2040" max="2040" width="8" style="146" customWidth="1"/>
    <col min="2041" max="2041" width="11" style="146" customWidth="1"/>
    <col min="2042" max="2043" width="9.140625" style="146"/>
    <col min="2044" max="2044" width="5.28515625" style="146" customWidth="1"/>
    <col min="2045" max="2047" width="9.140625" style="146"/>
    <col min="2048" max="2048" width="6.28515625" style="146" customWidth="1"/>
    <col min="2049" max="2049" width="9.42578125" style="146" bestFit="1" customWidth="1"/>
    <col min="2050" max="2295" width="9.140625" style="146"/>
    <col min="2296" max="2296" width="8" style="146" customWidth="1"/>
    <col min="2297" max="2297" width="11" style="146" customWidth="1"/>
    <col min="2298" max="2299" width="9.140625" style="146"/>
    <col min="2300" max="2300" width="5.28515625" style="146" customWidth="1"/>
    <col min="2301" max="2303" width="9.140625" style="146"/>
    <col min="2304" max="2304" width="6.28515625" style="146" customWidth="1"/>
    <col min="2305" max="2305" width="9.42578125" style="146" bestFit="1" customWidth="1"/>
    <col min="2306" max="2551" width="9.140625" style="146"/>
    <col min="2552" max="2552" width="8" style="146" customWidth="1"/>
    <col min="2553" max="2553" width="11" style="146" customWidth="1"/>
    <col min="2554" max="2555" width="9.140625" style="146"/>
    <col min="2556" max="2556" width="5.28515625" style="146" customWidth="1"/>
    <col min="2557" max="2559" width="9.140625" style="146"/>
    <col min="2560" max="2560" width="6.28515625" style="146" customWidth="1"/>
    <col min="2561" max="2561" width="9.42578125" style="146" bestFit="1" customWidth="1"/>
    <col min="2562" max="2807" width="9.140625" style="146"/>
    <col min="2808" max="2808" width="8" style="146" customWidth="1"/>
    <col min="2809" max="2809" width="11" style="146" customWidth="1"/>
    <col min="2810" max="2811" width="9.140625" style="146"/>
    <col min="2812" max="2812" width="5.28515625" style="146" customWidth="1"/>
    <col min="2813" max="2815" width="9.140625" style="146"/>
    <col min="2816" max="2816" width="6.28515625" style="146" customWidth="1"/>
    <col min="2817" max="2817" width="9.42578125" style="146" bestFit="1" customWidth="1"/>
    <col min="2818" max="3063" width="9.140625" style="146"/>
    <col min="3064" max="3064" width="8" style="146" customWidth="1"/>
    <col min="3065" max="3065" width="11" style="146" customWidth="1"/>
    <col min="3066" max="3067" width="9.140625" style="146"/>
    <col min="3068" max="3068" width="5.28515625" style="146" customWidth="1"/>
    <col min="3069" max="3071" width="9.140625" style="146"/>
    <col min="3072" max="3072" width="6.28515625" style="146" customWidth="1"/>
    <col min="3073" max="3073" width="9.42578125" style="146" bestFit="1" customWidth="1"/>
    <col min="3074" max="3319" width="9.140625" style="146"/>
    <col min="3320" max="3320" width="8" style="146" customWidth="1"/>
    <col min="3321" max="3321" width="11" style="146" customWidth="1"/>
    <col min="3322" max="3323" width="9.140625" style="146"/>
    <col min="3324" max="3324" width="5.28515625" style="146" customWidth="1"/>
    <col min="3325" max="3327" width="9.140625" style="146"/>
    <col min="3328" max="3328" width="6.28515625" style="146" customWidth="1"/>
    <col min="3329" max="3329" width="9.42578125" style="146" bestFit="1" customWidth="1"/>
    <col min="3330" max="3575" width="9.140625" style="146"/>
    <col min="3576" max="3576" width="8" style="146" customWidth="1"/>
    <col min="3577" max="3577" width="11" style="146" customWidth="1"/>
    <col min="3578" max="3579" width="9.140625" style="146"/>
    <col min="3580" max="3580" width="5.28515625" style="146" customWidth="1"/>
    <col min="3581" max="3583" width="9.140625" style="146"/>
    <col min="3584" max="3584" width="6.28515625" style="146" customWidth="1"/>
    <col min="3585" max="3585" width="9.42578125" style="146" bestFit="1" customWidth="1"/>
    <col min="3586" max="3831" width="9.140625" style="146"/>
    <col min="3832" max="3832" width="8" style="146" customWidth="1"/>
    <col min="3833" max="3833" width="11" style="146" customWidth="1"/>
    <col min="3834" max="3835" width="9.140625" style="146"/>
    <col min="3836" max="3836" width="5.28515625" style="146" customWidth="1"/>
    <col min="3837" max="3839" width="9.140625" style="146"/>
    <col min="3840" max="3840" width="6.28515625" style="146" customWidth="1"/>
    <col min="3841" max="3841" width="9.42578125" style="146" bestFit="1" customWidth="1"/>
    <col min="3842" max="4087" width="9.140625" style="146"/>
    <col min="4088" max="4088" width="8" style="146" customWidth="1"/>
    <col min="4089" max="4089" width="11" style="146" customWidth="1"/>
    <col min="4090" max="4091" width="9.140625" style="146"/>
    <col min="4092" max="4092" width="5.28515625" style="146" customWidth="1"/>
    <col min="4093" max="4095" width="9.140625" style="146"/>
    <col min="4096" max="4096" width="6.28515625" style="146" customWidth="1"/>
    <col min="4097" max="4097" width="9.42578125" style="146" bestFit="1" customWidth="1"/>
    <col min="4098" max="4343" width="9.140625" style="146"/>
    <col min="4344" max="4344" width="8" style="146" customWidth="1"/>
    <col min="4345" max="4345" width="11" style="146" customWidth="1"/>
    <col min="4346" max="4347" width="9.140625" style="146"/>
    <col min="4348" max="4348" width="5.28515625" style="146" customWidth="1"/>
    <col min="4349" max="4351" width="9.140625" style="146"/>
    <col min="4352" max="4352" width="6.28515625" style="146" customWidth="1"/>
    <col min="4353" max="4353" width="9.42578125" style="146" bestFit="1" customWidth="1"/>
    <col min="4354" max="4599" width="9.140625" style="146"/>
    <col min="4600" max="4600" width="8" style="146" customWidth="1"/>
    <col min="4601" max="4601" width="11" style="146" customWidth="1"/>
    <col min="4602" max="4603" width="9.140625" style="146"/>
    <col min="4604" max="4604" width="5.28515625" style="146" customWidth="1"/>
    <col min="4605" max="4607" width="9.140625" style="146"/>
    <col min="4608" max="4608" width="6.28515625" style="146" customWidth="1"/>
    <col min="4609" max="4609" width="9.42578125" style="146" bestFit="1" customWidth="1"/>
    <col min="4610" max="4855" width="9.140625" style="146"/>
    <col min="4856" max="4856" width="8" style="146" customWidth="1"/>
    <col min="4857" max="4857" width="11" style="146" customWidth="1"/>
    <col min="4858" max="4859" width="9.140625" style="146"/>
    <col min="4860" max="4860" width="5.28515625" style="146" customWidth="1"/>
    <col min="4861" max="4863" width="9.140625" style="146"/>
    <col min="4864" max="4864" width="6.28515625" style="146" customWidth="1"/>
    <col min="4865" max="4865" width="9.42578125" style="146" bestFit="1" customWidth="1"/>
    <col min="4866" max="5111" width="9.140625" style="146"/>
    <col min="5112" max="5112" width="8" style="146" customWidth="1"/>
    <col min="5113" max="5113" width="11" style="146" customWidth="1"/>
    <col min="5114" max="5115" width="9.140625" style="146"/>
    <col min="5116" max="5116" width="5.28515625" style="146" customWidth="1"/>
    <col min="5117" max="5119" width="9.140625" style="146"/>
    <col min="5120" max="5120" width="6.28515625" style="146" customWidth="1"/>
    <col min="5121" max="5121" width="9.42578125" style="146" bestFit="1" customWidth="1"/>
    <col min="5122" max="5367" width="9.140625" style="146"/>
    <col min="5368" max="5368" width="8" style="146" customWidth="1"/>
    <col min="5369" max="5369" width="11" style="146" customWidth="1"/>
    <col min="5370" max="5371" width="9.140625" style="146"/>
    <col min="5372" max="5372" width="5.28515625" style="146" customWidth="1"/>
    <col min="5373" max="5375" width="9.140625" style="146"/>
    <col min="5376" max="5376" width="6.28515625" style="146" customWidth="1"/>
    <col min="5377" max="5377" width="9.42578125" style="146" bestFit="1" customWidth="1"/>
    <col min="5378" max="5623" width="9.140625" style="146"/>
    <col min="5624" max="5624" width="8" style="146" customWidth="1"/>
    <col min="5625" max="5625" width="11" style="146" customWidth="1"/>
    <col min="5626" max="5627" width="9.140625" style="146"/>
    <col min="5628" max="5628" width="5.28515625" style="146" customWidth="1"/>
    <col min="5629" max="5631" width="9.140625" style="146"/>
    <col min="5632" max="5632" width="6.28515625" style="146" customWidth="1"/>
    <col min="5633" max="5633" width="9.42578125" style="146" bestFit="1" customWidth="1"/>
    <col min="5634" max="5879" width="9.140625" style="146"/>
    <col min="5880" max="5880" width="8" style="146" customWidth="1"/>
    <col min="5881" max="5881" width="11" style="146" customWidth="1"/>
    <col min="5882" max="5883" width="9.140625" style="146"/>
    <col min="5884" max="5884" width="5.28515625" style="146" customWidth="1"/>
    <col min="5885" max="5887" width="9.140625" style="146"/>
    <col min="5888" max="5888" width="6.28515625" style="146" customWidth="1"/>
    <col min="5889" max="5889" width="9.42578125" style="146" bestFit="1" customWidth="1"/>
    <col min="5890" max="6135" width="9.140625" style="146"/>
    <col min="6136" max="6136" width="8" style="146" customWidth="1"/>
    <col min="6137" max="6137" width="11" style="146" customWidth="1"/>
    <col min="6138" max="6139" width="9.140625" style="146"/>
    <col min="6140" max="6140" width="5.28515625" style="146" customWidth="1"/>
    <col min="6141" max="6143" width="9.140625" style="146"/>
    <col min="6144" max="6144" width="6.28515625" style="146" customWidth="1"/>
    <col min="6145" max="6145" width="9.42578125" style="146" bestFit="1" customWidth="1"/>
    <col min="6146" max="6391" width="9.140625" style="146"/>
    <col min="6392" max="6392" width="8" style="146" customWidth="1"/>
    <col min="6393" max="6393" width="11" style="146" customWidth="1"/>
    <col min="6394" max="6395" width="9.140625" style="146"/>
    <col min="6396" max="6396" width="5.28515625" style="146" customWidth="1"/>
    <col min="6397" max="6399" width="9.140625" style="146"/>
    <col min="6400" max="6400" width="6.28515625" style="146" customWidth="1"/>
    <col min="6401" max="6401" width="9.42578125" style="146" bestFit="1" customWidth="1"/>
    <col min="6402" max="6647" width="9.140625" style="146"/>
    <col min="6648" max="6648" width="8" style="146" customWidth="1"/>
    <col min="6649" max="6649" width="11" style="146" customWidth="1"/>
    <col min="6650" max="6651" width="9.140625" style="146"/>
    <col min="6652" max="6652" width="5.28515625" style="146" customWidth="1"/>
    <col min="6653" max="6655" width="9.140625" style="146"/>
    <col min="6656" max="6656" width="6.28515625" style="146" customWidth="1"/>
    <col min="6657" max="6657" width="9.42578125" style="146" bestFit="1" customWidth="1"/>
    <col min="6658" max="6903" width="9.140625" style="146"/>
    <col min="6904" max="6904" width="8" style="146" customWidth="1"/>
    <col min="6905" max="6905" width="11" style="146" customWidth="1"/>
    <col min="6906" max="6907" width="9.140625" style="146"/>
    <col min="6908" max="6908" width="5.28515625" style="146" customWidth="1"/>
    <col min="6909" max="6911" width="9.140625" style="146"/>
    <col min="6912" max="6912" width="6.28515625" style="146" customWidth="1"/>
    <col min="6913" max="6913" width="9.42578125" style="146" bestFit="1" customWidth="1"/>
    <col min="6914" max="7159" width="9.140625" style="146"/>
    <col min="7160" max="7160" width="8" style="146" customWidth="1"/>
    <col min="7161" max="7161" width="11" style="146" customWidth="1"/>
    <col min="7162" max="7163" width="9.140625" style="146"/>
    <col min="7164" max="7164" width="5.28515625" style="146" customWidth="1"/>
    <col min="7165" max="7167" width="9.140625" style="146"/>
    <col min="7168" max="7168" width="6.28515625" style="146" customWidth="1"/>
    <col min="7169" max="7169" width="9.42578125" style="146" bestFit="1" customWidth="1"/>
    <col min="7170" max="7415" width="9.140625" style="146"/>
    <col min="7416" max="7416" width="8" style="146" customWidth="1"/>
    <col min="7417" max="7417" width="11" style="146" customWidth="1"/>
    <col min="7418" max="7419" width="9.140625" style="146"/>
    <col min="7420" max="7420" width="5.28515625" style="146" customWidth="1"/>
    <col min="7421" max="7423" width="9.140625" style="146"/>
    <col min="7424" max="7424" width="6.28515625" style="146" customWidth="1"/>
    <col min="7425" max="7425" width="9.42578125" style="146" bestFit="1" customWidth="1"/>
    <col min="7426" max="7671" width="9.140625" style="146"/>
    <col min="7672" max="7672" width="8" style="146" customWidth="1"/>
    <col min="7673" max="7673" width="11" style="146" customWidth="1"/>
    <col min="7674" max="7675" width="9.140625" style="146"/>
    <col min="7676" max="7676" width="5.28515625" style="146" customWidth="1"/>
    <col min="7677" max="7679" width="9.140625" style="146"/>
    <col min="7680" max="7680" width="6.28515625" style="146" customWidth="1"/>
    <col min="7681" max="7681" width="9.42578125" style="146" bestFit="1" customWidth="1"/>
    <col min="7682" max="7927" width="9.140625" style="146"/>
    <col min="7928" max="7928" width="8" style="146" customWidth="1"/>
    <col min="7929" max="7929" width="11" style="146" customWidth="1"/>
    <col min="7930" max="7931" width="9.140625" style="146"/>
    <col min="7932" max="7932" width="5.28515625" style="146" customWidth="1"/>
    <col min="7933" max="7935" width="9.140625" style="146"/>
    <col min="7936" max="7936" width="6.28515625" style="146" customWidth="1"/>
    <col min="7937" max="7937" width="9.42578125" style="146" bestFit="1" customWidth="1"/>
    <col min="7938" max="8183" width="9.140625" style="146"/>
    <col min="8184" max="8184" width="8" style="146" customWidth="1"/>
    <col min="8185" max="8185" width="11" style="146" customWidth="1"/>
    <col min="8186" max="8187" width="9.140625" style="146"/>
    <col min="8188" max="8188" width="5.28515625" style="146" customWidth="1"/>
    <col min="8189" max="8191" width="9.140625" style="146"/>
    <col min="8192" max="8192" width="6.28515625" style="146" customWidth="1"/>
    <col min="8193" max="8193" width="9.42578125" style="146" bestFit="1" customWidth="1"/>
    <col min="8194" max="8439" width="9.140625" style="146"/>
    <col min="8440" max="8440" width="8" style="146" customWidth="1"/>
    <col min="8441" max="8441" width="11" style="146" customWidth="1"/>
    <col min="8442" max="8443" width="9.140625" style="146"/>
    <col min="8444" max="8444" width="5.28515625" style="146" customWidth="1"/>
    <col min="8445" max="8447" width="9.140625" style="146"/>
    <col min="8448" max="8448" width="6.28515625" style="146" customWidth="1"/>
    <col min="8449" max="8449" width="9.42578125" style="146" bestFit="1" customWidth="1"/>
    <col min="8450" max="8695" width="9.140625" style="146"/>
    <col min="8696" max="8696" width="8" style="146" customWidth="1"/>
    <col min="8697" max="8697" width="11" style="146" customWidth="1"/>
    <col min="8698" max="8699" width="9.140625" style="146"/>
    <col min="8700" max="8700" width="5.28515625" style="146" customWidth="1"/>
    <col min="8701" max="8703" width="9.140625" style="146"/>
    <col min="8704" max="8704" width="6.28515625" style="146" customWidth="1"/>
    <col min="8705" max="8705" width="9.42578125" style="146" bestFit="1" customWidth="1"/>
    <col min="8706" max="8951" width="9.140625" style="146"/>
    <col min="8952" max="8952" width="8" style="146" customWidth="1"/>
    <col min="8953" max="8953" width="11" style="146" customWidth="1"/>
    <col min="8954" max="8955" width="9.140625" style="146"/>
    <col min="8956" max="8956" width="5.28515625" style="146" customWidth="1"/>
    <col min="8957" max="8959" width="9.140625" style="146"/>
    <col min="8960" max="8960" width="6.28515625" style="146" customWidth="1"/>
    <col min="8961" max="8961" width="9.42578125" style="146" bestFit="1" customWidth="1"/>
    <col min="8962" max="9207" width="9.140625" style="146"/>
    <col min="9208" max="9208" width="8" style="146" customWidth="1"/>
    <col min="9209" max="9209" width="11" style="146" customWidth="1"/>
    <col min="9210" max="9211" width="9.140625" style="146"/>
    <col min="9212" max="9212" width="5.28515625" style="146" customWidth="1"/>
    <col min="9213" max="9215" width="9.140625" style="146"/>
    <col min="9216" max="9216" width="6.28515625" style="146" customWidth="1"/>
    <col min="9217" max="9217" width="9.42578125" style="146" bestFit="1" customWidth="1"/>
    <col min="9218" max="9463" width="9.140625" style="146"/>
    <col min="9464" max="9464" width="8" style="146" customWidth="1"/>
    <col min="9465" max="9465" width="11" style="146" customWidth="1"/>
    <col min="9466" max="9467" width="9.140625" style="146"/>
    <col min="9468" max="9468" width="5.28515625" style="146" customWidth="1"/>
    <col min="9469" max="9471" width="9.140625" style="146"/>
    <col min="9472" max="9472" width="6.28515625" style="146" customWidth="1"/>
    <col min="9473" max="9473" width="9.42578125" style="146" bestFit="1" customWidth="1"/>
    <col min="9474" max="9719" width="9.140625" style="146"/>
    <col min="9720" max="9720" width="8" style="146" customWidth="1"/>
    <col min="9721" max="9721" width="11" style="146" customWidth="1"/>
    <col min="9722" max="9723" width="9.140625" style="146"/>
    <col min="9724" max="9724" width="5.28515625" style="146" customWidth="1"/>
    <col min="9725" max="9727" width="9.140625" style="146"/>
    <col min="9728" max="9728" width="6.28515625" style="146" customWidth="1"/>
    <col min="9729" max="9729" width="9.42578125" style="146" bestFit="1" customWidth="1"/>
    <col min="9730" max="9975" width="9.140625" style="146"/>
    <col min="9976" max="9976" width="8" style="146" customWidth="1"/>
    <col min="9977" max="9977" width="11" style="146" customWidth="1"/>
    <col min="9978" max="9979" width="9.140625" style="146"/>
    <col min="9980" max="9980" width="5.28515625" style="146" customWidth="1"/>
    <col min="9981" max="9983" width="9.140625" style="146"/>
    <col min="9984" max="9984" width="6.28515625" style="146" customWidth="1"/>
    <col min="9985" max="9985" width="9.42578125" style="146" bestFit="1" customWidth="1"/>
    <col min="9986" max="10231" width="9.140625" style="146"/>
    <col min="10232" max="10232" width="8" style="146" customWidth="1"/>
    <col min="10233" max="10233" width="11" style="146" customWidth="1"/>
    <col min="10234" max="10235" width="9.140625" style="146"/>
    <col min="10236" max="10236" width="5.28515625" style="146" customWidth="1"/>
    <col min="10237" max="10239" width="9.140625" style="146"/>
    <col min="10240" max="10240" width="6.28515625" style="146" customWidth="1"/>
    <col min="10241" max="10241" width="9.42578125" style="146" bestFit="1" customWidth="1"/>
    <col min="10242" max="10487" width="9.140625" style="146"/>
    <col min="10488" max="10488" width="8" style="146" customWidth="1"/>
    <col min="10489" max="10489" width="11" style="146" customWidth="1"/>
    <col min="10490" max="10491" width="9.140625" style="146"/>
    <col min="10492" max="10492" width="5.28515625" style="146" customWidth="1"/>
    <col min="10493" max="10495" width="9.140625" style="146"/>
    <col min="10496" max="10496" width="6.28515625" style="146" customWidth="1"/>
    <col min="10497" max="10497" width="9.42578125" style="146" bestFit="1" customWidth="1"/>
    <col min="10498" max="10743" width="9.140625" style="146"/>
    <col min="10744" max="10744" width="8" style="146" customWidth="1"/>
    <col min="10745" max="10745" width="11" style="146" customWidth="1"/>
    <col min="10746" max="10747" width="9.140625" style="146"/>
    <col min="10748" max="10748" width="5.28515625" style="146" customWidth="1"/>
    <col min="10749" max="10751" width="9.140625" style="146"/>
    <col min="10752" max="10752" width="6.28515625" style="146" customWidth="1"/>
    <col min="10753" max="10753" width="9.42578125" style="146" bestFit="1" customWidth="1"/>
    <col min="10754" max="10999" width="9.140625" style="146"/>
    <col min="11000" max="11000" width="8" style="146" customWidth="1"/>
    <col min="11001" max="11001" width="11" style="146" customWidth="1"/>
    <col min="11002" max="11003" width="9.140625" style="146"/>
    <col min="11004" max="11004" width="5.28515625" style="146" customWidth="1"/>
    <col min="11005" max="11007" width="9.140625" style="146"/>
    <col min="11008" max="11008" width="6.28515625" style="146" customWidth="1"/>
    <col min="11009" max="11009" width="9.42578125" style="146" bestFit="1" customWidth="1"/>
    <col min="11010" max="11255" width="9.140625" style="146"/>
    <col min="11256" max="11256" width="8" style="146" customWidth="1"/>
    <col min="11257" max="11257" width="11" style="146" customWidth="1"/>
    <col min="11258" max="11259" width="9.140625" style="146"/>
    <col min="11260" max="11260" width="5.28515625" style="146" customWidth="1"/>
    <col min="11261" max="11263" width="9.140625" style="146"/>
    <col min="11264" max="11264" width="6.28515625" style="146" customWidth="1"/>
    <col min="11265" max="11265" width="9.42578125" style="146" bestFit="1" customWidth="1"/>
    <col min="11266" max="11511" width="9.140625" style="146"/>
    <col min="11512" max="11512" width="8" style="146" customWidth="1"/>
    <col min="11513" max="11513" width="11" style="146" customWidth="1"/>
    <col min="11514" max="11515" width="9.140625" style="146"/>
    <col min="11516" max="11516" width="5.28515625" style="146" customWidth="1"/>
    <col min="11517" max="11519" width="9.140625" style="146"/>
    <col min="11520" max="11520" width="6.28515625" style="146" customWidth="1"/>
    <col min="11521" max="11521" width="9.42578125" style="146" bestFit="1" customWidth="1"/>
    <col min="11522" max="11767" width="9.140625" style="146"/>
    <col min="11768" max="11768" width="8" style="146" customWidth="1"/>
    <col min="11769" max="11769" width="11" style="146" customWidth="1"/>
    <col min="11770" max="11771" width="9.140625" style="146"/>
    <col min="11772" max="11772" width="5.28515625" style="146" customWidth="1"/>
    <col min="11773" max="11775" width="9.140625" style="146"/>
    <col min="11776" max="11776" width="6.28515625" style="146" customWidth="1"/>
    <col min="11777" max="11777" width="9.42578125" style="146" bestFit="1" customWidth="1"/>
    <col min="11778" max="12023" width="9.140625" style="146"/>
    <col min="12024" max="12024" width="8" style="146" customWidth="1"/>
    <col min="12025" max="12025" width="11" style="146" customWidth="1"/>
    <col min="12026" max="12027" width="9.140625" style="146"/>
    <col min="12028" max="12028" width="5.28515625" style="146" customWidth="1"/>
    <col min="12029" max="12031" width="9.140625" style="146"/>
    <col min="12032" max="12032" width="6.28515625" style="146" customWidth="1"/>
    <col min="12033" max="12033" width="9.42578125" style="146" bestFit="1" customWidth="1"/>
    <col min="12034" max="12279" width="9.140625" style="146"/>
    <col min="12280" max="12280" width="8" style="146" customWidth="1"/>
    <col min="12281" max="12281" width="11" style="146" customWidth="1"/>
    <col min="12282" max="12283" width="9.140625" style="146"/>
    <col min="12284" max="12284" width="5.28515625" style="146" customWidth="1"/>
    <col min="12285" max="12287" width="9.140625" style="146"/>
    <col min="12288" max="12288" width="6.28515625" style="146" customWidth="1"/>
    <col min="12289" max="12289" width="9.42578125" style="146" bestFit="1" customWidth="1"/>
    <col min="12290" max="12535" width="9.140625" style="146"/>
    <col min="12536" max="12536" width="8" style="146" customWidth="1"/>
    <col min="12537" max="12537" width="11" style="146" customWidth="1"/>
    <col min="12538" max="12539" width="9.140625" style="146"/>
    <col min="12540" max="12540" width="5.28515625" style="146" customWidth="1"/>
    <col min="12541" max="12543" width="9.140625" style="146"/>
    <col min="12544" max="12544" width="6.28515625" style="146" customWidth="1"/>
    <col min="12545" max="12545" width="9.42578125" style="146" bestFit="1" customWidth="1"/>
    <col min="12546" max="12791" width="9.140625" style="146"/>
    <col min="12792" max="12792" width="8" style="146" customWidth="1"/>
    <col min="12793" max="12793" width="11" style="146" customWidth="1"/>
    <col min="12794" max="12795" width="9.140625" style="146"/>
    <col min="12796" max="12796" width="5.28515625" style="146" customWidth="1"/>
    <col min="12797" max="12799" width="9.140625" style="146"/>
    <col min="12800" max="12800" width="6.28515625" style="146" customWidth="1"/>
    <col min="12801" max="12801" width="9.42578125" style="146" bestFit="1" customWidth="1"/>
    <col min="12802" max="13047" width="9.140625" style="146"/>
    <col min="13048" max="13048" width="8" style="146" customWidth="1"/>
    <col min="13049" max="13049" width="11" style="146" customWidth="1"/>
    <col min="13050" max="13051" width="9.140625" style="146"/>
    <col min="13052" max="13052" width="5.28515625" style="146" customWidth="1"/>
    <col min="13053" max="13055" width="9.140625" style="146"/>
    <col min="13056" max="13056" width="6.28515625" style="146" customWidth="1"/>
    <col min="13057" max="13057" width="9.42578125" style="146" bestFit="1" customWidth="1"/>
    <col min="13058" max="13303" width="9.140625" style="146"/>
    <col min="13304" max="13304" width="8" style="146" customWidth="1"/>
    <col min="13305" max="13305" width="11" style="146" customWidth="1"/>
    <col min="13306" max="13307" width="9.140625" style="146"/>
    <col min="13308" max="13308" width="5.28515625" style="146" customWidth="1"/>
    <col min="13309" max="13311" width="9.140625" style="146"/>
    <col min="13312" max="13312" width="6.28515625" style="146" customWidth="1"/>
    <col min="13313" max="13313" width="9.42578125" style="146" bestFit="1" customWidth="1"/>
    <col min="13314" max="13559" width="9.140625" style="146"/>
    <col min="13560" max="13560" width="8" style="146" customWidth="1"/>
    <col min="13561" max="13561" width="11" style="146" customWidth="1"/>
    <col min="13562" max="13563" width="9.140625" style="146"/>
    <col min="13564" max="13564" width="5.28515625" style="146" customWidth="1"/>
    <col min="13565" max="13567" width="9.140625" style="146"/>
    <col min="13568" max="13568" width="6.28515625" style="146" customWidth="1"/>
    <col min="13569" max="13569" width="9.42578125" style="146" bestFit="1" customWidth="1"/>
    <col min="13570" max="13815" width="9.140625" style="146"/>
    <col min="13816" max="13816" width="8" style="146" customWidth="1"/>
    <col min="13817" max="13817" width="11" style="146" customWidth="1"/>
    <col min="13818" max="13819" width="9.140625" style="146"/>
    <col min="13820" max="13820" width="5.28515625" style="146" customWidth="1"/>
    <col min="13821" max="13823" width="9.140625" style="146"/>
    <col min="13824" max="13824" width="6.28515625" style="146" customWidth="1"/>
    <col min="13825" max="13825" width="9.42578125" style="146" bestFit="1" customWidth="1"/>
    <col min="13826" max="14071" width="9.140625" style="146"/>
    <col min="14072" max="14072" width="8" style="146" customWidth="1"/>
    <col min="14073" max="14073" width="11" style="146" customWidth="1"/>
    <col min="14074" max="14075" width="9.140625" style="146"/>
    <col min="14076" max="14076" width="5.28515625" style="146" customWidth="1"/>
    <col min="14077" max="14079" width="9.140625" style="146"/>
    <col min="14080" max="14080" width="6.28515625" style="146" customWidth="1"/>
    <col min="14081" max="14081" width="9.42578125" style="146" bestFit="1" customWidth="1"/>
    <col min="14082" max="14327" width="9.140625" style="146"/>
    <col min="14328" max="14328" width="8" style="146" customWidth="1"/>
    <col min="14329" max="14329" width="11" style="146" customWidth="1"/>
    <col min="14330" max="14331" width="9.140625" style="146"/>
    <col min="14332" max="14332" width="5.28515625" style="146" customWidth="1"/>
    <col min="14333" max="14335" width="9.140625" style="146"/>
    <col min="14336" max="14336" width="6.28515625" style="146" customWidth="1"/>
    <col min="14337" max="14337" width="9.42578125" style="146" bestFit="1" customWidth="1"/>
    <col min="14338" max="14583" width="9.140625" style="146"/>
    <col min="14584" max="14584" width="8" style="146" customWidth="1"/>
    <col min="14585" max="14585" width="11" style="146" customWidth="1"/>
    <col min="14586" max="14587" width="9.140625" style="146"/>
    <col min="14588" max="14588" width="5.28515625" style="146" customWidth="1"/>
    <col min="14589" max="14591" width="9.140625" style="146"/>
    <col min="14592" max="14592" width="6.28515625" style="146" customWidth="1"/>
    <col min="14593" max="14593" width="9.42578125" style="146" bestFit="1" customWidth="1"/>
    <col min="14594" max="14839" width="9.140625" style="146"/>
    <col min="14840" max="14840" width="8" style="146" customWidth="1"/>
    <col min="14841" max="14841" width="11" style="146" customWidth="1"/>
    <col min="14842" max="14843" width="9.140625" style="146"/>
    <col min="14844" max="14844" width="5.28515625" style="146" customWidth="1"/>
    <col min="14845" max="14847" width="9.140625" style="146"/>
    <col min="14848" max="14848" width="6.28515625" style="146" customWidth="1"/>
    <col min="14849" max="14849" width="9.42578125" style="146" bestFit="1" customWidth="1"/>
    <col min="14850" max="15095" width="9.140625" style="146"/>
    <col min="15096" max="15096" width="8" style="146" customWidth="1"/>
    <col min="15097" max="15097" width="11" style="146" customWidth="1"/>
    <col min="15098" max="15099" width="9.140625" style="146"/>
    <col min="15100" max="15100" width="5.28515625" style="146" customWidth="1"/>
    <col min="15101" max="15103" width="9.140625" style="146"/>
    <col min="15104" max="15104" width="6.28515625" style="146" customWidth="1"/>
    <col min="15105" max="15105" width="9.42578125" style="146" bestFit="1" customWidth="1"/>
    <col min="15106" max="15351" width="9.140625" style="146"/>
    <col min="15352" max="15352" width="8" style="146" customWidth="1"/>
    <col min="15353" max="15353" width="11" style="146" customWidth="1"/>
    <col min="15354" max="15355" width="9.140625" style="146"/>
    <col min="15356" max="15356" width="5.28515625" style="146" customWidth="1"/>
    <col min="15357" max="15359" width="9.140625" style="146"/>
    <col min="15360" max="15360" width="6.28515625" style="146" customWidth="1"/>
    <col min="15361" max="15361" width="9.42578125" style="146" bestFit="1" customWidth="1"/>
    <col min="15362" max="15607" width="9.140625" style="146"/>
    <col min="15608" max="15608" width="8" style="146" customWidth="1"/>
    <col min="15609" max="15609" width="11" style="146" customWidth="1"/>
    <col min="15610" max="15611" width="9.140625" style="146"/>
    <col min="15612" max="15612" width="5.28515625" style="146" customWidth="1"/>
    <col min="15613" max="15615" width="9.140625" style="146"/>
    <col min="15616" max="15616" width="6.28515625" style="146" customWidth="1"/>
    <col min="15617" max="15617" width="9.42578125" style="146" bestFit="1" customWidth="1"/>
    <col min="15618" max="15863" width="9.140625" style="146"/>
    <col min="15864" max="15864" width="8" style="146" customWidth="1"/>
    <col min="15865" max="15865" width="11" style="146" customWidth="1"/>
    <col min="15866" max="15867" width="9.140625" style="146"/>
    <col min="15868" max="15868" width="5.28515625" style="146" customWidth="1"/>
    <col min="15869" max="15871" width="9.140625" style="146"/>
    <col min="15872" max="15872" width="6.28515625" style="146" customWidth="1"/>
    <col min="15873" max="15873" width="9.42578125" style="146" bestFit="1" customWidth="1"/>
    <col min="15874" max="16119" width="9.140625" style="146"/>
    <col min="16120" max="16120" width="8" style="146" customWidth="1"/>
    <col min="16121" max="16121" width="11" style="146" customWidth="1"/>
    <col min="16122" max="16123" width="9.140625" style="146"/>
    <col min="16124" max="16124" width="5.28515625" style="146" customWidth="1"/>
    <col min="16125" max="16127" width="9.140625" style="146"/>
    <col min="16128" max="16128" width="6.28515625" style="146" customWidth="1"/>
    <col min="16129" max="16129" width="9.42578125" style="146" bestFit="1" customWidth="1"/>
    <col min="16130" max="16384" width="9.140625" style="146"/>
  </cols>
  <sheetData>
    <row r="1" spans="1:9" ht="47.25" x14ac:dyDescent="0.25">
      <c r="A1" s="142" t="s">
        <v>176</v>
      </c>
      <c r="B1" s="144" t="s">
        <v>177</v>
      </c>
      <c r="C1" s="144" t="s">
        <v>186</v>
      </c>
      <c r="D1" s="143" t="s">
        <v>187</v>
      </c>
      <c r="E1" s="143" t="s">
        <v>178</v>
      </c>
      <c r="F1" s="144" t="s">
        <v>179</v>
      </c>
      <c r="H1" s="159" t="s">
        <v>188</v>
      </c>
      <c r="I1" s="159" t="s">
        <v>189</v>
      </c>
    </row>
    <row r="2" spans="1:9" ht="15.75" x14ac:dyDescent="0.25">
      <c r="A2" s="147"/>
      <c r="B2" s="149"/>
      <c r="C2" s="144"/>
      <c r="D2" s="148"/>
      <c r="E2" s="143"/>
      <c r="F2" s="144"/>
    </row>
    <row r="3" spans="1:9" ht="15.75" x14ac:dyDescent="0.25">
      <c r="A3" s="151" t="s">
        <v>180</v>
      </c>
      <c r="B3" s="152">
        <v>172040</v>
      </c>
      <c r="C3" s="152"/>
      <c r="D3" s="152">
        <v>37849</v>
      </c>
      <c r="E3" s="152"/>
      <c r="F3" s="153"/>
      <c r="H3" s="157">
        <f>B3*12</f>
        <v>2064480</v>
      </c>
      <c r="I3" s="157">
        <f>D3*12</f>
        <v>454188</v>
      </c>
    </row>
    <row r="4" spans="1:9" ht="15.75" x14ac:dyDescent="0.25">
      <c r="A4" s="154" t="s">
        <v>181</v>
      </c>
      <c r="B4" s="152">
        <v>167100</v>
      </c>
      <c r="C4" s="152">
        <v>150000</v>
      </c>
      <c r="D4" s="152">
        <v>36762</v>
      </c>
      <c r="E4" s="152">
        <v>25000</v>
      </c>
      <c r="F4" s="153">
        <v>25000</v>
      </c>
      <c r="H4" s="157">
        <f>B4*12+C4</f>
        <v>2155200</v>
      </c>
      <c r="I4" s="157">
        <f>D4*12+E4+F4</f>
        <v>491144</v>
      </c>
    </row>
    <row r="5" spans="1:9" ht="15.75" x14ac:dyDescent="0.25">
      <c r="A5" s="151"/>
      <c r="B5" s="155"/>
      <c r="C5" s="155"/>
      <c r="D5" s="155"/>
      <c r="E5" s="155"/>
      <c r="F5" s="156"/>
    </row>
    <row r="6" spans="1:9" ht="15.75" x14ac:dyDescent="0.25">
      <c r="A6" s="151" t="s">
        <v>182</v>
      </c>
      <c r="B6" s="152">
        <v>81530</v>
      </c>
      <c r="C6" s="152"/>
      <c r="D6" s="152">
        <v>8969</v>
      </c>
      <c r="E6" s="152"/>
      <c r="F6" s="153"/>
      <c r="H6" s="157">
        <f t="shared" ref="H6:H8" si="0">B6*12</f>
        <v>978360</v>
      </c>
      <c r="I6" s="157">
        <f>D6*12</f>
        <v>107628</v>
      </c>
    </row>
    <row r="7" spans="1:9" ht="30.75" x14ac:dyDescent="0.25">
      <c r="A7" s="151" t="s">
        <v>183</v>
      </c>
      <c r="B7" s="152">
        <v>54485</v>
      </c>
      <c r="C7" s="152"/>
      <c r="D7" s="152"/>
      <c r="E7" s="152"/>
      <c r="F7" s="153"/>
      <c r="H7" s="157">
        <f t="shared" si="0"/>
        <v>653820</v>
      </c>
      <c r="I7" s="157">
        <f t="shared" ref="I7:I8" si="1">D7*12</f>
        <v>0</v>
      </c>
    </row>
    <row r="8" spans="1:9" ht="15.75" x14ac:dyDescent="0.25">
      <c r="A8" s="151" t="s">
        <v>184</v>
      </c>
      <c r="B8" s="152">
        <v>81530</v>
      </c>
      <c r="C8" s="152"/>
      <c r="D8" s="152">
        <v>8969</v>
      </c>
      <c r="E8" s="152"/>
      <c r="F8" s="153"/>
      <c r="H8" s="157">
        <f t="shared" si="0"/>
        <v>978360</v>
      </c>
      <c r="I8" s="157">
        <f t="shared" si="1"/>
        <v>107628</v>
      </c>
    </row>
    <row r="9" spans="1:9" ht="15.75" x14ac:dyDescent="0.25">
      <c r="A9" s="147" t="s">
        <v>185</v>
      </c>
      <c r="B9" s="155"/>
      <c r="C9" s="155"/>
      <c r="D9" s="155"/>
      <c r="E9" s="155"/>
      <c r="F9" s="156"/>
    </row>
    <row r="10" spans="1:9" ht="15.75" x14ac:dyDescent="0.25">
      <c r="A10" s="145"/>
      <c r="B10" s="150">
        <f>SUM(B2:B9)</f>
        <v>556685</v>
      </c>
      <c r="C10" s="150">
        <f>SUM(C3:C7)</f>
        <v>150000</v>
      </c>
      <c r="D10" s="150">
        <f>D3+D4</f>
        <v>74611</v>
      </c>
      <c r="E10" s="150">
        <f>SUM(E2:E9)</f>
        <v>25000</v>
      </c>
      <c r="F10" s="150">
        <f>SUM(F2:F9)</f>
        <v>25000</v>
      </c>
      <c r="H10" s="160">
        <f>SUM(H3:H9)</f>
        <v>6830220</v>
      </c>
      <c r="I10" s="160">
        <f>SUM(I3:I9)</f>
        <v>1160588</v>
      </c>
    </row>
    <row r="11" spans="1:9" x14ac:dyDescent="0.2">
      <c r="B11" s="157"/>
      <c r="D11" s="157"/>
    </row>
    <row r="12" spans="1:9" ht="15.75" x14ac:dyDescent="0.25">
      <c r="B12" s="157"/>
      <c r="D12" s="158"/>
    </row>
    <row r="13" spans="1:9" x14ac:dyDescent="0.2">
      <c r="B13" s="157"/>
      <c r="D13" s="157"/>
    </row>
    <row r="14" spans="1:9" ht="15.75" x14ac:dyDescent="0.25">
      <c r="B14" s="157"/>
      <c r="F14" s="158"/>
    </row>
    <row r="15" spans="1:9" x14ac:dyDescent="0.2">
      <c r="B15" s="15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zoomScaleNormal="100" workbookViewId="0">
      <selection activeCell="A3" sqref="A3:N3"/>
    </sheetView>
  </sheetViews>
  <sheetFormatPr defaultRowHeight="12.75" x14ac:dyDescent="0.2"/>
  <cols>
    <col min="1" max="1" width="39.140625" style="353" customWidth="1"/>
    <col min="2" max="2" width="11.5703125" style="327" bestFit="1" customWidth="1"/>
    <col min="3" max="6" width="11.42578125" style="327" bestFit="1" customWidth="1"/>
    <col min="7" max="9" width="12" style="327" bestFit="1" customWidth="1"/>
    <col min="10" max="10" width="13" style="327" bestFit="1" customWidth="1"/>
    <col min="11" max="13" width="12" style="327" bestFit="1" customWidth="1"/>
    <col min="14" max="14" width="12.5703125" style="334" bestFit="1" customWidth="1"/>
    <col min="15" max="15" width="13.5703125" style="327" customWidth="1"/>
    <col min="16" max="16" width="12" style="327" bestFit="1" customWidth="1"/>
    <col min="17" max="17" width="11.7109375" style="327" bestFit="1" customWidth="1"/>
    <col min="18" max="256" width="9.140625" style="327"/>
    <col min="257" max="257" width="51" style="327" customWidth="1"/>
    <col min="258" max="259" width="11.85546875" style="327" bestFit="1" customWidth="1"/>
    <col min="260" max="265" width="13.28515625" style="327" bestFit="1" customWidth="1"/>
    <col min="266" max="266" width="16.140625" style="327" bestFit="1" customWidth="1"/>
    <col min="267" max="269" width="13.28515625" style="327" bestFit="1" customWidth="1"/>
    <col min="270" max="270" width="14.140625" style="327" bestFit="1" customWidth="1"/>
    <col min="271" max="512" width="9.140625" style="327"/>
    <col min="513" max="513" width="51" style="327" customWidth="1"/>
    <col min="514" max="515" width="11.85546875" style="327" bestFit="1" customWidth="1"/>
    <col min="516" max="521" width="13.28515625" style="327" bestFit="1" customWidth="1"/>
    <col min="522" max="522" width="16.140625" style="327" bestFit="1" customWidth="1"/>
    <col min="523" max="525" width="13.28515625" style="327" bestFit="1" customWidth="1"/>
    <col min="526" max="526" width="14.140625" style="327" bestFit="1" customWidth="1"/>
    <col min="527" max="768" width="9.140625" style="327"/>
    <col min="769" max="769" width="51" style="327" customWidth="1"/>
    <col min="770" max="771" width="11.85546875" style="327" bestFit="1" customWidth="1"/>
    <col min="772" max="777" width="13.28515625" style="327" bestFit="1" customWidth="1"/>
    <col min="778" max="778" width="16.140625" style="327" bestFit="1" customWidth="1"/>
    <col min="779" max="781" width="13.28515625" style="327" bestFit="1" customWidth="1"/>
    <col min="782" max="782" width="14.140625" style="327" bestFit="1" customWidth="1"/>
    <col min="783" max="1024" width="9.140625" style="327"/>
    <col min="1025" max="1025" width="51" style="327" customWidth="1"/>
    <col min="1026" max="1027" width="11.85546875" style="327" bestFit="1" customWidth="1"/>
    <col min="1028" max="1033" width="13.28515625" style="327" bestFit="1" customWidth="1"/>
    <col min="1034" max="1034" width="16.140625" style="327" bestFit="1" customWidth="1"/>
    <col min="1035" max="1037" width="13.28515625" style="327" bestFit="1" customWidth="1"/>
    <col min="1038" max="1038" width="14.140625" style="327" bestFit="1" customWidth="1"/>
    <col min="1039" max="1280" width="9.140625" style="327"/>
    <col min="1281" max="1281" width="51" style="327" customWidth="1"/>
    <col min="1282" max="1283" width="11.85546875" style="327" bestFit="1" customWidth="1"/>
    <col min="1284" max="1289" width="13.28515625" style="327" bestFit="1" customWidth="1"/>
    <col min="1290" max="1290" width="16.140625" style="327" bestFit="1" customWidth="1"/>
    <col min="1291" max="1293" width="13.28515625" style="327" bestFit="1" customWidth="1"/>
    <col min="1294" max="1294" width="14.140625" style="327" bestFit="1" customWidth="1"/>
    <col min="1295" max="1536" width="9.140625" style="327"/>
    <col min="1537" max="1537" width="51" style="327" customWidth="1"/>
    <col min="1538" max="1539" width="11.85546875" style="327" bestFit="1" customWidth="1"/>
    <col min="1540" max="1545" width="13.28515625" style="327" bestFit="1" customWidth="1"/>
    <col min="1546" max="1546" width="16.140625" style="327" bestFit="1" customWidth="1"/>
    <col min="1547" max="1549" width="13.28515625" style="327" bestFit="1" customWidth="1"/>
    <col min="1550" max="1550" width="14.140625" style="327" bestFit="1" customWidth="1"/>
    <col min="1551" max="1792" width="9.140625" style="327"/>
    <col min="1793" max="1793" width="51" style="327" customWidth="1"/>
    <col min="1794" max="1795" width="11.85546875" style="327" bestFit="1" customWidth="1"/>
    <col min="1796" max="1801" width="13.28515625" style="327" bestFit="1" customWidth="1"/>
    <col min="1802" max="1802" width="16.140625" style="327" bestFit="1" customWidth="1"/>
    <col min="1803" max="1805" width="13.28515625" style="327" bestFit="1" customWidth="1"/>
    <col min="1806" max="1806" width="14.140625" style="327" bestFit="1" customWidth="1"/>
    <col min="1807" max="2048" width="9.140625" style="327"/>
    <col min="2049" max="2049" width="51" style="327" customWidth="1"/>
    <col min="2050" max="2051" width="11.85546875" style="327" bestFit="1" customWidth="1"/>
    <col min="2052" max="2057" width="13.28515625" style="327" bestFit="1" customWidth="1"/>
    <col min="2058" max="2058" width="16.140625" style="327" bestFit="1" customWidth="1"/>
    <col min="2059" max="2061" width="13.28515625" style="327" bestFit="1" customWidth="1"/>
    <col min="2062" max="2062" width="14.140625" style="327" bestFit="1" customWidth="1"/>
    <col min="2063" max="2304" width="9.140625" style="327"/>
    <col min="2305" max="2305" width="51" style="327" customWidth="1"/>
    <col min="2306" max="2307" width="11.85546875" style="327" bestFit="1" customWidth="1"/>
    <col min="2308" max="2313" width="13.28515625" style="327" bestFit="1" customWidth="1"/>
    <col min="2314" max="2314" width="16.140625" style="327" bestFit="1" customWidth="1"/>
    <col min="2315" max="2317" width="13.28515625" style="327" bestFit="1" customWidth="1"/>
    <col min="2318" max="2318" width="14.140625" style="327" bestFit="1" customWidth="1"/>
    <col min="2319" max="2560" width="9.140625" style="327"/>
    <col min="2561" max="2561" width="51" style="327" customWidth="1"/>
    <col min="2562" max="2563" width="11.85546875" style="327" bestFit="1" customWidth="1"/>
    <col min="2564" max="2569" width="13.28515625" style="327" bestFit="1" customWidth="1"/>
    <col min="2570" max="2570" width="16.140625" style="327" bestFit="1" customWidth="1"/>
    <col min="2571" max="2573" width="13.28515625" style="327" bestFit="1" customWidth="1"/>
    <col min="2574" max="2574" width="14.140625" style="327" bestFit="1" customWidth="1"/>
    <col min="2575" max="2816" width="9.140625" style="327"/>
    <col min="2817" max="2817" width="51" style="327" customWidth="1"/>
    <col min="2818" max="2819" width="11.85546875" style="327" bestFit="1" customWidth="1"/>
    <col min="2820" max="2825" width="13.28515625" style="327" bestFit="1" customWidth="1"/>
    <col min="2826" max="2826" width="16.140625" style="327" bestFit="1" customWidth="1"/>
    <col min="2827" max="2829" width="13.28515625" style="327" bestFit="1" customWidth="1"/>
    <col min="2830" max="2830" width="14.140625" style="327" bestFit="1" customWidth="1"/>
    <col min="2831" max="3072" width="9.140625" style="327"/>
    <col min="3073" max="3073" width="51" style="327" customWidth="1"/>
    <col min="3074" max="3075" width="11.85546875" style="327" bestFit="1" customWidth="1"/>
    <col min="3076" max="3081" width="13.28515625" style="327" bestFit="1" customWidth="1"/>
    <col min="3082" max="3082" width="16.140625" style="327" bestFit="1" customWidth="1"/>
    <col min="3083" max="3085" width="13.28515625" style="327" bestFit="1" customWidth="1"/>
    <col min="3086" max="3086" width="14.140625" style="327" bestFit="1" customWidth="1"/>
    <col min="3087" max="3328" width="9.140625" style="327"/>
    <col min="3329" max="3329" width="51" style="327" customWidth="1"/>
    <col min="3330" max="3331" width="11.85546875" style="327" bestFit="1" customWidth="1"/>
    <col min="3332" max="3337" width="13.28515625" style="327" bestFit="1" customWidth="1"/>
    <col min="3338" max="3338" width="16.140625" style="327" bestFit="1" customWidth="1"/>
    <col min="3339" max="3341" width="13.28515625" style="327" bestFit="1" customWidth="1"/>
    <col min="3342" max="3342" width="14.140625" style="327" bestFit="1" customWidth="1"/>
    <col min="3343" max="3584" width="9.140625" style="327"/>
    <col min="3585" max="3585" width="51" style="327" customWidth="1"/>
    <col min="3586" max="3587" width="11.85546875" style="327" bestFit="1" customWidth="1"/>
    <col min="3588" max="3593" width="13.28515625" style="327" bestFit="1" customWidth="1"/>
    <col min="3594" max="3594" width="16.140625" style="327" bestFit="1" customWidth="1"/>
    <col min="3595" max="3597" width="13.28515625" style="327" bestFit="1" customWidth="1"/>
    <col min="3598" max="3598" width="14.140625" style="327" bestFit="1" customWidth="1"/>
    <col min="3599" max="3840" width="9.140625" style="327"/>
    <col min="3841" max="3841" width="51" style="327" customWidth="1"/>
    <col min="3842" max="3843" width="11.85546875" style="327" bestFit="1" customWidth="1"/>
    <col min="3844" max="3849" width="13.28515625" style="327" bestFit="1" customWidth="1"/>
    <col min="3850" max="3850" width="16.140625" style="327" bestFit="1" customWidth="1"/>
    <col min="3851" max="3853" width="13.28515625" style="327" bestFit="1" customWidth="1"/>
    <col min="3854" max="3854" width="14.140625" style="327" bestFit="1" customWidth="1"/>
    <col min="3855" max="4096" width="9.140625" style="327"/>
    <col min="4097" max="4097" width="51" style="327" customWidth="1"/>
    <col min="4098" max="4099" width="11.85546875" style="327" bestFit="1" customWidth="1"/>
    <col min="4100" max="4105" width="13.28515625" style="327" bestFit="1" customWidth="1"/>
    <col min="4106" max="4106" width="16.140625" style="327" bestFit="1" customWidth="1"/>
    <col min="4107" max="4109" width="13.28515625" style="327" bestFit="1" customWidth="1"/>
    <col min="4110" max="4110" width="14.140625" style="327" bestFit="1" customWidth="1"/>
    <col min="4111" max="4352" width="9.140625" style="327"/>
    <col min="4353" max="4353" width="51" style="327" customWidth="1"/>
    <col min="4354" max="4355" width="11.85546875" style="327" bestFit="1" customWidth="1"/>
    <col min="4356" max="4361" width="13.28515625" style="327" bestFit="1" customWidth="1"/>
    <col min="4362" max="4362" width="16.140625" style="327" bestFit="1" customWidth="1"/>
    <col min="4363" max="4365" width="13.28515625" style="327" bestFit="1" customWidth="1"/>
    <col min="4366" max="4366" width="14.140625" style="327" bestFit="1" customWidth="1"/>
    <col min="4367" max="4608" width="9.140625" style="327"/>
    <col min="4609" max="4609" width="51" style="327" customWidth="1"/>
    <col min="4610" max="4611" width="11.85546875" style="327" bestFit="1" customWidth="1"/>
    <col min="4612" max="4617" width="13.28515625" style="327" bestFit="1" customWidth="1"/>
    <col min="4618" max="4618" width="16.140625" style="327" bestFit="1" customWidth="1"/>
    <col min="4619" max="4621" width="13.28515625" style="327" bestFit="1" customWidth="1"/>
    <col min="4622" max="4622" width="14.140625" style="327" bestFit="1" customWidth="1"/>
    <col min="4623" max="4864" width="9.140625" style="327"/>
    <col min="4865" max="4865" width="51" style="327" customWidth="1"/>
    <col min="4866" max="4867" width="11.85546875" style="327" bestFit="1" customWidth="1"/>
    <col min="4868" max="4873" width="13.28515625" style="327" bestFit="1" customWidth="1"/>
    <col min="4874" max="4874" width="16.140625" style="327" bestFit="1" customWidth="1"/>
    <col min="4875" max="4877" width="13.28515625" style="327" bestFit="1" customWidth="1"/>
    <col min="4878" max="4878" width="14.140625" style="327" bestFit="1" customWidth="1"/>
    <col min="4879" max="5120" width="9.140625" style="327"/>
    <col min="5121" max="5121" width="51" style="327" customWidth="1"/>
    <col min="5122" max="5123" width="11.85546875" style="327" bestFit="1" customWidth="1"/>
    <col min="5124" max="5129" width="13.28515625" style="327" bestFit="1" customWidth="1"/>
    <col min="5130" max="5130" width="16.140625" style="327" bestFit="1" customWidth="1"/>
    <col min="5131" max="5133" width="13.28515625" style="327" bestFit="1" customWidth="1"/>
    <col min="5134" max="5134" width="14.140625" style="327" bestFit="1" customWidth="1"/>
    <col min="5135" max="5376" width="9.140625" style="327"/>
    <col min="5377" max="5377" width="51" style="327" customWidth="1"/>
    <col min="5378" max="5379" width="11.85546875" style="327" bestFit="1" customWidth="1"/>
    <col min="5380" max="5385" width="13.28515625" style="327" bestFit="1" customWidth="1"/>
    <col min="5386" max="5386" width="16.140625" style="327" bestFit="1" customWidth="1"/>
    <col min="5387" max="5389" width="13.28515625" style="327" bestFit="1" customWidth="1"/>
    <col min="5390" max="5390" width="14.140625" style="327" bestFit="1" customWidth="1"/>
    <col min="5391" max="5632" width="9.140625" style="327"/>
    <col min="5633" max="5633" width="51" style="327" customWidth="1"/>
    <col min="5634" max="5635" width="11.85546875" style="327" bestFit="1" customWidth="1"/>
    <col min="5636" max="5641" width="13.28515625" style="327" bestFit="1" customWidth="1"/>
    <col min="5642" max="5642" width="16.140625" style="327" bestFit="1" customWidth="1"/>
    <col min="5643" max="5645" width="13.28515625" style="327" bestFit="1" customWidth="1"/>
    <col min="5646" max="5646" width="14.140625" style="327" bestFit="1" customWidth="1"/>
    <col min="5647" max="5888" width="9.140625" style="327"/>
    <col min="5889" max="5889" width="51" style="327" customWidth="1"/>
    <col min="5890" max="5891" width="11.85546875" style="327" bestFit="1" customWidth="1"/>
    <col min="5892" max="5897" width="13.28515625" style="327" bestFit="1" customWidth="1"/>
    <col min="5898" max="5898" width="16.140625" style="327" bestFit="1" customWidth="1"/>
    <col min="5899" max="5901" width="13.28515625" style="327" bestFit="1" customWidth="1"/>
    <col min="5902" max="5902" width="14.140625" style="327" bestFit="1" customWidth="1"/>
    <col min="5903" max="6144" width="9.140625" style="327"/>
    <col min="6145" max="6145" width="51" style="327" customWidth="1"/>
    <col min="6146" max="6147" width="11.85546875" style="327" bestFit="1" customWidth="1"/>
    <col min="6148" max="6153" width="13.28515625" style="327" bestFit="1" customWidth="1"/>
    <col min="6154" max="6154" width="16.140625" style="327" bestFit="1" customWidth="1"/>
    <col min="6155" max="6157" width="13.28515625" style="327" bestFit="1" customWidth="1"/>
    <col min="6158" max="6158" width="14.140625" style="327" bestFit="1" customWidth="1"/>
    <col min="6159" max="6400" width="9.140625" style="327"/>
    <col min="6401" max="6401" width="51" style="327" customWidth="1"/>
    <col min="6402" max="6403" width="11.85546875" style="327" bestFit="1" customWidth="1"/>
    <col min="6404" max="6409" width="13.28515625" style="327" bestFit="1" customWidth="1"/>
    <col min="6410" max="6410" width="16.140625" style="327" bestFit="1" customWidth="1"/>
    <col min="6411" max="6413" width="13.28515625" style="327" bestFit="1" customWidth="1"/>
    <col min="6414" max="6414" width="14.140625" style="327" bestFit="1" customWidth="1"/>
    <col min="6415" max="6656" width="9.140625" style="327"/>
    <col min="6657" max="6657" width="51" style="327" customWidth="1"/>
    <col min="6658" max="6659" width="11.85546875" style="327" bestFit="1" customWidth="1"/>
    <col min="6660" max="6665" width="13.28515625" style="327" bestFit="1" customWidth="1"/>
    <col min="6666" max="6666" width="16.140625" style="327" bestFit="1" customWidth="1"/>
    <col min="6667" max="6669" width="13.28515625" style="327" bestFit="1" customWidth="1"/>
    <col min="6670" max="6670" width="14.140625" style="327" bestFit="1" customWidth="1"/>
    <col min="6671" max="6912" width="9.140625" style="327"/>
    <col min="6913" max="6913" width="51" style="327" customWidth="1"/>
    <col min="6914" max="6915" width="11.85546875" style="327" bestFit="1" customWidth="1"/>
    <col min="6916" max="6921" width="13.28515625" style="327" bestFit="1" customWidth="1"/>
    <col min="6922" max="6922" width="16.140625" style="327" bestFit="1" customWidth="1"/>
    <col min="6923" max="6925" width="13.28515625" style="327" bestFit="1" customWidth="1"/>
    <col min="6926" max="6926" width="14.140625" style="327" bestFit="1" customWidth="1"/>
    <col min="6927" max="7168" width="9.140625" style="327"/>
    <col min="7169" max="7169" width="51" style="327" customWidth="1"/>
    <col min="7170" max="7171" width="11.85546875" style="327" bestFit="1" customWidth="1"/>
    <col min="7172" max="7177" width="13.28515625" style="327" bestFit="1" customWidth="1"/>
    <col min="7178" max="7178" width="16.140625" style="327" bestFit="1" customWidth="1"/>
    <col min="7179" max="7181" width="13.28515625" style="327" bestFit="1" customWidth="1"/>
    <col min="7182" max="7182" width="14.140625" style="327" bestFit="1" customWidth="1"/>
    <col min="7183" max="7424" width="9.140625" style="327"/>
    <col min="7425" max="7425" width="51" style="327" customWidth="1"/>
    <col min="7426" max="7427" width="11.85546875" style="327" bestFit="1" customWidth="1"/>
    <col min="7428" max="7433" width="13.28515625" style="327" bestFit="1" customWidth="1"/>
    <col min="7434" max="7434" width="16.140625" style="327" bestFit="1" customWidth="1"/>
    <col min="7435" max="7437" width="13.28515625" style="327" bestFit="1" customWidth="1"/>
    <col min="7438" max="7438" width="14.140625" style="327" bestFit="1" customWidth="1"/>
    <col min="7439" max="7680" width="9.140625" style="327"/>
    <col min="7681" max="7681" width="51" style="327" customWidth="1"/>
    <col min="7682" max="7683" width="11.85546875" style="327" bestFit="1" customWidth="1"/>
    <col min="7684" max="7689" width="13.28515625" style="327" bestFit="1" customWidth="1"/>
    <col min="7690" max="7690" width="16.140625" style="327" bestFit="1" customWidth="1"/>
    <col min="7691" max="7693" width="13.28515625" style="327" bestFit="1" customWidth="1"/>
    <col min="7694" max="7694" width="14.140625" style="327" bestFit="1" customWidth="1"/>
    <col min="7695" max="7936" width="9.140625" style="327"/>
    <col min="7937" max="7937" width="51" style="327" customWidth="1"/>
    <col min="7938" max="7939" width="11.85546875" style="327" bestFit="1" customWidth="1"/>
    <col min="7940" max="7945" width="13.28515625" style="327" bestFit="1" customWidth="1"/>
    <col min="7946" max="7946" width="16.140625" style="327" bestFit="1" customWidth="1"/>
    <col min="7947" max="7949" width="13.28515625" style="327" bestFit="1" customWidth="1"/>
    <col min="7950" max="7950" width="14.140625" style="327" bestFit="1" customWidth="1"/>
    <col min="7951" max="8192" width="9.140625" style="327"/>
    <col min="8193" max="8193" width="51" style="327" customWidth="1"/>
    <col min="8194" max="8195" width="11.85546875" style="327" bestFit="1" customWidth="1"/>
    <col min="8196" max="8201" width="13.28515625" style="327" bestFit="1" customWidth="1"/>
    <col min="8202" max="8202" width="16.140625" style="327" bestFit="1" customWidth="1"/>
    <col min="8203" max="8205" width="13.28515625" style="327" bestFit="1" customWidth="1"/>
    <col min="8206" max="8206" width="14.140625" style="327" bestFit="1" customWidth="1"/>
    <col min="8207" max="8448" width="9.140625" style="327"/>
    <col min="8449" max="8449" width="51" style="327" customWidth="1"/>
    <col min="8450" max="8451" width="11.85546875" style="327" bestFit="1" customWidth="1"/>
    <col min="8452" max="8457" width="13.28515625" style="327" bestFit="1" customWidth="1"/>
    <col min="8458" max="8458" width="16.140625" style="327" bestFit="1" customWidth="1"/>
    <col min="8459" max="8461" width="13.28515625" style="327" bestFit="1" customWidth="1"/>
    <col min="8462" max="8462" width="14.140625" style="327" bestFit="1" customWidth="1"/>
    <col min="8463" max="8704" width="9.140625" style="327"/>
    <col min="8705" max="8705" width="51" style="327" customWidth="1"/>
    <col min="8706" max="8707" width="11.85546875" style="327" bestFit="1" customWidth="1"/>
    <col min="8708" max="8713" width="13.28515625" style="327" bestFit="1" customWidth="1"/>
    <col min="8714" max="8714" width="16.140625" style="327" bestFit="1" customWidth="1"/>
    <col min="8715" max="8717" width="13.28515625" style="327" bestFit="1" customWidth="1"/>
    <col min="8718" max="8718" width="14.140625" style="327" bestFit="1" customWidth="1"/>
    <col min="8719" max="8960" width="9.140625" style="327"/>
    <col min="8961" max="8961" width="51" style="327" customWidth="1"/>
    <col min="8962" max="8963" width="11.85546875" style="327" bestFit="1" customWidth="1"/>
    <col min="8964" max="8969" width="13.28515625" style="327" bestFit="1" customWidth="1"/>
    <col min="8970" max="8970" width="16.140625" style="327" bestFit="1" customWidth="1"/>
    <col min="8971" max="8973" width="13.28515625" style="327" bestFit="1" customWidth="1"/>
    <col min="8974" max="8974" width="14.140625" style="327" bestFit="1" customWidth="1"/>
    <col min="8975" max="9216" width="9.140625" style="327"/>
    <col min="9217" max="9217" width="51" style="327" customWidth="1"/>
    <col min="9218" max="9219" width="11.85546875" style="327" bestFit="1" customWidth="1"/>
    <col min="9220" max="9225" width="13.28515625" style="327" bestFit="1" customWidth="1"/>
    <col min="9226" max="9226" width="16.140625" style="327" bestFit="1" customWidth="1"/>
    <col min="9227" max="9229" width="13.28515625" style="327" bestFit="1" customWidth="1"/>
    <col min="9230" max="9230" width="14.140625" style="327" bestFit="1" customWidth="1"/>
    <col min="9231" max="9472" width="9.140625" style="327"/>
    <col min="9473" max="9473" width="51" style="327" customWidth="1"/>
    <col min="9474" max="9475" width="11.85546875" style="327" bestFit="1" customWidth="1"/>
    <col min="9476" max="9481" width="13.28515625" style="327" bestFit="1" customWidth="1"/>
    <col min="9482" max="9482" width="16.140625" style="327" bestFit="1" customWidth="1"/>
    <col min="9483" max="9485" width="13.28515625" style="327" bestFit="1" customWidth="1"/>
    <col min="9486" max="9486" width="14.140625" style="327" bestFit="1" customWidth="1"/>
    <col min="9487" max="9728" width="9.140625" style="327"/>
    <col min="9729" max="9729" width="51" style="327" customWidth="1"/>
    <col min="9730" max="9731" width="11.85546875" style="327" bestFit="1" customWidth="1"/>
    <col min="9732" max="9737" width="13.28515625" style="327" bestFit="1" customWidth="1"/>
    <col min="9738" max="9738" width="16.140625" style="327" bestFit="1" customWidth="1"/>
    <col min="9739" max="9741" width="13.28515625" style="327" bestFit="1" customWidth="1"/>
    <col min="9742" max="9742" width="14.140625" style="327" bestFit="1" customWidth="1"/>
    <col min="9743" max="9984" width="9.140625" style="327"/>
    <col min="9985" max="9985" width="51" style="327" customWidth="1"/>
    <col min="9986" max="9987" width="11.85546875" style="327" bestFit="1" customWidth="1"/>
    <col min="9988" max="9993" width="13.28515625" style="327" bestFit="1" customWidth="1"/>
    <col min="9994" max="9994" width="16.140625" style="327" bestFit="1" customWidth="1"/>
    <col min="9995" max="9997" width="13.28515625" style="327" bestFit="1" customWidth="1"/>
    <col min="9998" max="9998" width="14.140625" style="327" bestFit="1" customWidth="1"/>
    <col min="9999" max="10240" width="9.140625" style="327"/>
    <col min="10241" max="10241" width="51" style="327" customWidth="1"/>
    <col min="10242" max="10243" width="11.85546875" style="327" bestFit="1" customWidth="1"/>
    <col min="10244" max="10249" width="13.28515625" style="327" bestFit="1" customWidth="1"/>
    <col min="10250" max="10250" width="16.140625" style="327" bestFit="1" customWidth="1"/>
    <col min="10251" max="10253" width="13.28515625" style="327" bestFit="1" customWidth="1"/>
    <col min="10254" max="10254" width="14.140625" style="327" bestFit="1" customWidth="1"/>
    <col min="10255" max="10496" width="9.140625" style="327"/>
    <col min="10497" max="10497" width="51" style="327" customWidth="1"/>
    <col min="10498" max="10499" width="11.85546875" style="327" bestFit="1" customWidth="1"/>
    <col min="10500" max="10505" width="13.28515625" style="327" bestFit="1" customWidth="1"/>
    <col min="10506" max="10506" width="16.140625" style="327" bestFit="1" customWidth="1"/>
    <col min="10507" max="10509" width="13.28515625" style="327" bestFit="1" customWidth="1"/>
    <col min="10510" max="10510" width="14.140625" style="327" bestFit="1" customWidth="1"/>
    <col min="10511" max="10752" width="9.140625" style="327"/>
    <col min="10753" max="10753" width="51" style="327" customWidth="1"/>
    <col min="10754" max="10755" width="11.85546875" style="327" bestFit="1" customWidth="1"/>
    <col min="10756" max="10761" width="13.28515625" style="327" bestFit="1" customWidth="1"/>
    <col min="10762" max="10762" width="16.140625" style="327" bestFit="1" customWidth="1"/>
    <col min="10763" max="10765" width="13.28515625" style="327" bestFit="1" customWidth="1"/>
    <col min="10766" max="10766" width="14.140625" style="327" bestFit="1" customWidth="1"/>
    <col min="10767" max="11008" width="9.140625" style="327"/>
    <col min="11009" max="11009" width="51" style="327" customWidth="1"/>
    <col min="11010" max="11011" width="11.85546875" style="327" bestFit="1" customWidth="1"/>
    <col min="11012" max="11017" width="13.28515625" style="327" bestFit="1" customWidth="1"/>
    <col min="11018" max="11018" width="16.140625" style="327" bestFit="1" customWidth="1"/>
    <col min="11019" max="11021" width="13.28515625" style="327" bestFit="1" customWidth="1"/>
    <col min="11022" max="11022" width="14.140625" style="327" bestFit="1" customWidth="1"/>
    <col min="11023" max="11264" width="9.140625" style="327"/>
    <col min="11265" max="11265" width="51" style="327" customWidth="1"/>
    <col min="11266" max="11267" width="11.85546875" style="327" bestFit="1" customWidth="1"/>
    <col min="11268" max="11273" width="13.28515625" style="327" bestFit="1" customWidth="1"/>
    <col min="11274" max="11274" width="16.140625" style="327" bestFit="1" customWidth="1"/>
    <col min="11275" max="11277" width="13.28515625" style="327" bestFit="1" customWidth="1"/>
    <col min="11278" max="11278" width="14.140625" style="327" bestFit="1" customWidth="1"/>
    <col min="11279" max="11520" width="9.140625" style="327"/>
    <col min="11521" max="11521" width="51" style="327" customWidth="1"/>
    <col min="11522" max="11523" width="11.85546875" style="327" bestFit="1" customWidth="1"/>
    <col min="11524" max="11529" width="13.28515625" style="327" bestFit="1" customWidth="1"/>
    <col min="11530" max="11530" width="16.140625" style="327" bestFit="1" customWidth="1"/>
    <col min="11531" max="11533" width="13.28515625" style="327" bestFit="1" customWidth="1"/>
    <col min="11534" max="11534" width="14.140625" style="327" bestFit="1" customWidth="1"/>
    <col min="11535" max="11776" width="9.140625" style="327"/>
    <col min="11777" max="11777" width="51" style="327" customWidth="1"/>
    <col min="11778" max="11779" width="11.85546875" style="327" bestFit="1" customWidth="1"/>
    <col min="11780" max="11785" width="13.28515625" style="327" bestFit="1" customWidth="1"/>
    <col min="11786" max="11786" width="16.140625" style="327" bestFit="1" customWidth="1"/>
    <col min="11787" max="11789" width="13.28515625" style="327" bestFit="1" customWidth="1"/>
    <col min="11790" max="11790" width="14.140625" style="327" bestFit="1" customWidth="1"/>
    <col min="11791" max="12032" width="9.140625" style="327"/>
    <col min="12033" max="12033" width="51" style="327" customWidth="1"/>
    <col min="12034" max="12035" width="11.85546875" style="327" bestFit="1" customWidth="1"/>
    <col min="12036" max="12041" width="13.28515625" style="327" bestFit="1" customWidth="1"/>
    <col min="12042" max="12042" width="16.140625" style="327" bestFit="1" customWidth="1"/>
    <col min="12043" max="12045" width="13.28515625" style="327" bestFit="1" customWidth="1"/>
    <col min="12046" max="12046" width="14.140625" style="327" bestFit="1" customWidth="1"/>
    <col min="12047" max="12288" width="9.140625" style="327"/>
    <col min="12289" max="12289" width="51" style="327" customWidth="1"/>
    <col min="12290" max="12291" width="11.85546875" style="327" bestFit="1" customWidth="1"/>
    <col min="12292" max="12297" width="13.28515625" style="327" bestFit="1" customWidth="1"/>
    <col min="12298" max="12298" width="16.140625" style="327" bestFit="1" customWidth="1"/>
    <col min="12299" max="12301" width="13.28515625" style="327" bestFit="1" customWidth="1"/>
    <col min="12302" max="12302" width="14.140625" style="327" bestFit="1" customWidth="1"/>
    <col min="12303" max="12544" width="9.140625" style="327"/>
    <col min="12545" max="12545" width="51" style="327" customWidth="1"/>
    <col min="12546" max="12547" width="11.85546875" style="327" bestFit="1" customWidth="1"/>
    <col min="12548" max="12553" width="13.28515625" style="327" bestFit="1" customWidth="1"/>
    <col min="12554" max="12554" width="16.140625" style="327" bestFit="1" customWidth="1"/>
    <col min="12555" max="12557" width="13.28515625" style="327" bestFit="1" customWidth="1"/>
    <col min="12558" max="12558" width="14.140625" style="327" bestFit="1" customWidth="1"/>
    <col min="12559" max="12800" width="9.140625" style="327"/>
    <col min="12801" max="12801" width="51" style="327" customWidth="1"/>
    <col min="12802" max="12803" width="11.85546875" style="327" bestFit="1" customWidth="1"/>
    <col min="12804" max="12809" width="13.28515625" style="327" bestFit="1" customWidth="1"/>
    <col min="12810" max="12810" width="16.140625" style="327" bestFit="1" customWidth="1"/>
    <col min="12811" max="12813" width="13.28515625" style="327" bestFit="1" customWidth="1"/>
    <col min="12814" max="12814" width="14.140625" style="327" bestFit="1" customWidth="1"/>
    <col min="12815" max="13056" width="9.140625" style="327"/>
    <col min="13057" max="13057" width="51" style="327" customWidth="1"/>
    <col min="13058" max="13059" width="11.85546875" style="327" bestFit="1" customWidth="1"/>
    <col min="13060" max="13065" width="13.28515625" style="327" bestFit="1" customWidth="1"/>
    <col min="13066" max="13066" width="16.140625" style="327" bestFit="1" customWidth="1"/>
    <col min="13067" max="13069" width="13.28515625" style="327" bestFit="1" customWidth="1"/>
    <col min="13070" max="13070" width="14.140625" style="327" bestFit="1" customWidth="1"/>
    <col min="13071" max="13312" width="9.140625" style="327"/>
    <col min="13313" max="13313" width="51" style="327" customWidth="1"/>
    <col min="13314" max="13315" width="11.85546875" style="327" bestFit="1" customWidth="1"/>
    <col min="13316" max="13321" width="13.28515625" style="327" bestFit="1" customWidth="1"/>
    <col min="13322" max="13322" width="16.140625" style="327" bestFit="1" customWidth="1"/>
    <col min="13323" max="13325" width="13.28515625" style="327" bestFit="1" customWidth="1"/>
    <col min="13326" max="13326" width="14.140625" style="327" bestFit="1" customWidth="1"/>
    <col min="13327" max="13568" width="9.140625" style="327"/>
    <col min="13569" max="13569" width="51" style="327" customWidth="1"/>
    <col min="13570" max="13571" width="11.85546875" style="327" bestFit="1" customWidth="1"/>
    <col min="13572" max="13577" width="13.28515625" style="327" bestFit="1" customWidth="1"/>
    <col min="13578" max="13578" width="16.140625" style="327" bestFit="1" customWidth="1"/>
    <col min="13579" max="13581" width="13.28515625" style="327" bestFit="1" customWidth="1"/>
    <col min="13582" max="13582" width="14.140625" style="327" bestFit="1" customWidth="1"/>
    <col min="13583" max="13824" width="9.140625" style="327"/>
    <col min="13825" max="13825" width="51" style="327" customWidth="1"/>
    <col min="13826" max="13827" width="11.85546875" style="327" bestFit="1" customWidth="1"/>
    <col min="13828" max="13833" width="13.28515625" style="327" bestFit="1" customWidth="1"/>
    <col min="13834" max="13834" width="16.140625" style="327" bestFit="1" customWidth="1"/>
    <col min="13835" max="13837" width="13.28515625" style="327" bestFit="1" customWidth="1"/>
    <col min="13838" max="13838" width="14.140625" style="327" bestFit="1" customWidth="1"/>
    <col min="13839" max="14080" width="9.140625" style="327"/>
    <col min="14081" max="14081" width="51" style="327" customWidth="1"/>
    <col min="14082" max="14083" width="11.85546875" style="327" bestFit="1" customWidth="1"/>
    <col min="14084" max="14089" width="13.28515625" style="327" bestFit="1" customWidth="1"/>
    <col min="14090" max="14090" width="16.140625" style="327" bestFit="1" customWidth="1"/>
    <col min="14091" max="14093" width="13.28515625" style="327" bestFit="1" customWidth="1"/>
    <col min="14094" max="14094" width="14.140625" style="327" bestFit="1" customWidth="1"/>
    <col min="14095" max="14336" width="9.140625" style="327"/>
    <col min="14337" max="14337" width="51" style="327" customWidth="1"/>
    <col min="14338" max="14339" width="11.85546875" style="327" bestFit="1" customWidth="1"/>
    <col min="14340" max="14345" width="13.28515625" style="327" bestFit="1" customWidth="1"/>
    <col min="14346" max="14346" width="16.140625" style="327" bestFit="1" customWidth="1"/>
    <col min="14347" max="14349" width="13.28515625" style="327" bestFit="1" customWidth="1"/>
    <col min="14350" max="14350" width="14.140625" style="327" bestFit="1" customWidth="1"/>
    <col min="14351" max="14592" width="9.140625" style="327"/>
    <col min="14593" max="14593" width="51" style="327" customWidth="1"/>
    <col min="14594" max="14595" width="11.85546875" style="327" bestFit="1" customWidth="1"/>
    <col min="14596" max="14601" width="13.28515625" style="327" bestFit="1" customWidth="1"/>
    <col min="14602" max="14602" width="16.140625" style="327" bestFit="1" customWidth="1"/>
    <col min="14603" max="14605" width="13.28515625" style="327" bestFit="1" customWidth="1"/>
    <col min="14606" max="14606" width="14.140625" style="327" bestFit="1" customWidth="1"/>
    <col min="14607" max="14848" width="9.140625" style="327"/>
    <col min="14849" max="14849" width="51" style="327" customWidth="1"/>
    <col min="14850" max="14851" width="11.85546875" style="327" bestFit="1" customWidth="1"/>
    <col min="14852" max="14857" width="13.28515625" style="327" bestFit="1" customWidth="1"/>
    <col min="14858" max="14858" width="16.140625" style="327" bestFit="1" customWidth="1"/>
    <col min="14859" max="14861" width="13.28515625" style="327" bestFit="1" customWidth="1"/>
    <col min="14862" max="14862" width="14.140625" style="327" bestFit="1" customWidth="1"/>
    <col min="14863" max="15104" width="9.140625" style="327"/>
    <col min="15105" max="15105" width="51" style="327" customWidth="1"/>
    <col min="15106" max="15107" width="11.85546875" style="327" bestFit="1" customWidth="1"/>
    <col min="15108" max="15113" width="13.28515625" style="327" bestFit="1" customWidth="1"/>
    <col min="15114" max="15114" width="16.140625" style="327" bestFit="1" customWidth="1"/>
    <col min="15115" max="15117" width="13.28515625" style="327" bestFit="1" customWidth="1"/>
    <col min="15118" max="15118" width="14.140625" style="327" bestFit="1" customWidth="1"/>
    <col min="15119" max="15360" width="9.140625" style="327"/>
    <col min="15361" max="15361" width="51" style="327" customWidth="1"/>
    <col min="15362" max="15363" width="11.85546875" style="327" bestFit="1" customWidth="1"/>
    <col min="15364" max="15369" width="13.28515625" style="327" bestFit="1" customWidth="1"/>
    <col min="15370" max="15370" width="16.140625" style="327" bestFit="1" customWidth="1"/>
    <col min="15371" max="15373" width="13.28515625" style="327" bestFit="1" customWidth="1"/>
    <col min="15374" max="15374" width="14.140625" style="327" bestFit="1" customWidth="1"/>
    <col min="15375" max="15616" width="9.140625" style="327"/>
    <col min="15617" max="15617" width="51" style="327" customWidth="1"/>
    <col min="15618" max="15619" width="11.85546875" style="327" bestFit="1" customWidth="1"/>
    <col min="15620" max="15625" width="13.28515625" style="327" bestFit="1" customWidth="1"/>
    <col min="15626" max="15626" width="16.140625" style="327" bestFit="1" customWidth="1"/>
    <col min="15627" max="15629" width="13.28515625" style="327" bestFit="1" customWidth="1"/>
    <col min="15630" max="15630" width="14.140625" style="327" bestFit="1" customWidth="1"/>
    <col min="15631" max="15872" width="9.140625" style="327"/>
    <col min="15873" max="15873" width="51" style="327" customWidth="1"/>
    <col min="15874" max="15875" width="11.85546875" style="327" bestFit="1" customWidth="1"/>
    <col min="15876" max="15881" width="13.28515625" style="327" bestFit="1" customWidth="1"/>
    <col min="15882" max="15882" width="16.140625" style="327" bestFit="1" customWidth="1"/>
    <col min="15883" max="15885" width="13.28515625" style="327" bestFit="1" customWidth="1"/>
    <col min="15886" max="15886" width="14.140625" style="327" bestFit="1" customWidth="1"/>
    <col min="15887" max="16128" width="9.140625" style="327"/>
    <col min="16129" max="16129" width="51" style="327" customWidth="1"/>
    <col min="16130" max="16131" width="11.85546875" style="327" bestFit="1" customWidth="1"/>
    <col min="16132" max="16137" width="13.28515625" style="327" bestFit="1" customWidth="1"/>
    <col min="16138" max="16138" width="16.140625" style="327" bestFit="1" customWidth="1"/>
    <col min="16139" max="16141" width="13.28515625" style="327" bestFit="1" customWidth="1"/>
    <col min="16142" max="16142" width="14.140625" style="327" bestFit="1" customWidth="1"/>
    <col min="16143" max="16384" width="9.140625" style="327"/>
  </cols>
  <sheetData>
    <row r="1" spans="1:17" x14ac:dyDescent="0.2">
      <c r="A1" s="324"/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6"/>
    </row>
    <row r="2" spans="1:17" ht="13.5" thickBot="1" x14ac:dyDescent="0.25">
      <c r="A2" s="324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89"/>
      <c r="N2" s="389"/>
    </row>
    <row r="3" spans="1:17" x14ac:dyDescent="0.2">
      <c r="A3" s="390" t="s">
        <v>329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2"/>
    </row>
    <row r="4" spans="1:17" x14ac:dyDescent="0.2">
      <c r="A4" s="328"/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  <c r="M4" s="329"/>
      <c r="N4" s="330"/>
    </row>
    <row r="5" spans="1:17" s="334" customFormat="1" x14ac:dyDescent="0.2">
      <c r="A5" s="331" t="s">
        <v>330</v>
      </c>
      <c r="B5" s="332" t="s">
        <v>331</v>
      </c>
      <c r="C5" s="332" t="s">
        <v>332</v>
      </c>
      <c r="D5" s="332" t="s">
        <v>333</v>
      </c>
      <c r="E5" s="332" t="s">
        <v>334</v>
      </c>
      <c r="F5" s="332" t="s">
        <v>335</v>
      </c>
      <c r="G5" s="332" t="s">
        <v>336</v>
      </c>
      <c r="H5" s="332" t="s">
        <v>337</v>
      </c>
      <c r="I5" s="332" t="s">
        <v>338</v>
      </c>
      <c r="J5" s="332" t="s">
        <v>339</v>
      </c>
      <c r="K5" s="332" t="s">
        <v>340</v>
      </c>
      <c r="L5" s="332" t="s">
        <v>341</v>
      </c>
      <c r="M5" s="332" t="s">
        <v>342</v>
      </c>
      <c r="N5" s="333" t="s">
        <v>82</v>
      </c>
    </row>
    <row r="6" spans="1:17" x14ac:dyDescent="0.2">
      <c r="A6" s="331" t="s">
        <v>343</v>
      </c>
      <c r="B6" s="335">
        <v>88459094</v>
      </c>
      <c r="C6" s="335">
        <f t="shared" ref="C6:M6" si="0">B36</f>
        <v>86002758</v>
      </c>
      <c r="D6" s="335">
        <f t="shared" si="0"/>
        <v>86862364</v>
      </c>
      <c r="E6" s="335">
        <f t="shared" si="0"/>
        <v>77095907</v>
      </c>
      <c r="F6" s="335">
        <f t="shared" si="0"/>
        <v>77507244</v>
      </c>
      <c r="G6" s="335">
        <f t="shared" si="0"/>
        <v>78581560</v>
      </c>
      <c r="H6" s="335">
        <f t="shared" si="0"/>
        <v>75277429.571428567</v>
      </c>
      <c r="I6" s="335">
        <f t="shared" si="0"/>
        <v>46269257.285714284</v>
      </c>
      <c r="J6" s="335">
        <f t="shared" si="0"/>
        <v>42261085</v>
      </c>
      <c r="K6" s="335">
        <f t="shared" si="0"/>
        <v>90889080.142857149</v>
      </c>
      <c r="L6" s="335">
        <f t="shared" si="0"/>
        <v>87594949.714285716</v>
      </c>
      <c r="M6" s="335">
        <f t="shared" si="0"/>
        <v>83586777.428571433</v>
      </c>
      <c r="N6" s="336">
        <v>88459094</v>
      </c>
    </row>
    <row r="7" spans="1:17" ht="25.5" x14ac:dyDescent="0.2">
      <c r="A7" s="328" t="s">
        <v>344</v>
      </c>
      <c r="B7" s="337">
        <v>1468409</v>
      </c>
      <c r="C7" s="337">
        <v>1821551</v>
      </c>
      <c r="D7" s="337">
        <v>2753043</v>
      </c>
      <c r="E7" s="337">
        <v>3133241</v>
      </c>
      <c r="F7" s="337">
        <v>1656847</v>
      </c>
      <c r="G7" s="337">
        <f>13013860/7</f>
        <v>1859122.857142857</v>
      </c>
      <c r="H7" s="337">
        <f t="shared" ref="H7:M7" si="1">13013860/7</f>
        <v>1859122.857142857</v>
      </c>
      <c r="I7" s="337">
        <f t="shared" si="1"/>
        <v>1859122.857142857</v>
      </c>
      <c r="J7" s="337">
        <f t="shared" si="1"/>
        <v>1859122.857142857</v>
      </c>
      <c r="K7" s="337">
        <f t="shared" si="1"/>
        <v>1859122.857142857</v>
      </c>
      <c r="L7" s="337">
        <f t="shared" si="1"/>
        <v>1859122.857142857</v>
      </c>
      <c r="M7" s="337">
        <f t="shared" si="1"/>
        <v>1859122.857142857</v>
      </c>
      <c r="N7" s="336">
        <f>SUM(B7:M7)</f>
        <v>23846951</v>
      </c>
      <c r="O7" s="338">
        <f>'[2]1.sz.tábla '!C5</f>
        <v>23846951</v>
      </c>
      <c r="P7" s="338">
        <f>N7-O7</f>
        <v>0</v>
      </c>
      <c r="Q7" s="338"/>
    </row>
    <row r="8" spans="1:17" x14ac:dyDescent="0.2">
      <c r="A8" s="328" t="s">
        <v>296</v>
      </c>
      <c r="B8" s="339">
        <v>50000</v>
      </c>
      <c r="C8" s="339">
        <v>61489</v>
      </c>
      <c r="D8" s="339">
        <v>132225</v>
      </c>
      <c r="E8" s="339">
        <v>50000</v>
      </c>
      <c r="F8" s="339">
        <v>1239030</v>
      </c>
      <c r="G8" s="339">
        <f>3319756/7</f>
        <v>474250.85714285716</v>
      </c>
      <c r="H8" s="339">
        <f t="shared" ref="H8:M8" si="2">3319756/7</f>
        <v>474250.85714285716</v>
      </c>
      <c r="I8" s="339">
        <f t="shared" si="2"/>
        <v>474250.85714285716</v>
      </c>
      <c r="J8" s="339">
        <f t="shared" si="2"/>
        <v>474250.85714285716</v>
      </c>
      <c r="K8" s="339">
        <f t="shared" si="2"/>
        <v>474250.85714285716</v>
      </c>
      <c r="L8" s="339">
        <f t="shared" si="2"/>
        <v>474250.85714285716</v>
      </c>
      <c r="M8" s="339">
        <f t="shared" si="2"/>
        <v>474250.85714285716</v>
      </c>
      <c r="N8" s="336">
        <f t="shared" ref="N8:N18" si="3">SUM(B8:M8)</f>
        <v>4852500.0000000009</v>
      </c>
      <c r="O8" s="340">
        <f>'[2]1.sz.tábla '!C8</f>
        <v>4852500</v>
      </c>
      <c r="P8" s="338">
        <f t="shared" ref="P8:P34" si="4">N8-O8</f>
        <v>0</v>
      </c>
      <c r="Q8" s="338"/>
    </row>
    <row r="9" spans="1:17" x14ac:dyDescent="0.2">
      <c r="A9" s="328" t="s">
        <v>345</v>
      </c>
      <c r="B9" s="339">
        <v>68600</v>
      </c>
      <c r="C9" s="339">
        <v>336070</v>
      </c>
      <c r="D9" s="339">
        <v>4353385</v>
      </c>
      <c r="E9" s="339">
        <v>693749</v>
      </c>
      <c r="F9" s="339">
        <v>199903</v>
      </c>
      <c r="G9" s="339">
        <f>4998293/7</f>
        <v>714041.85714285716</v>
      </c>
      <c r="H9" s="339"/>
      <c r="I9" s="339"/>
      <c r="J9" s="339">
        <f>4998293/7*4</f>
        <v>2856167.4285714286</v>
      </c>
      <c r="K9" s="339">
        <f t="shared" ref="K9:M9" si="5">4998293/7</f>
        <v>714041.85714285716</v>
      </c>
      <c r="L9" s="339"/>
      <c r="M9" s="339">
        <f t="shared" si="5"/>
        <v>714041.85714285716</v>
      </c>
      <c r="N9" s="336">
        <f t="shared" si="3"/>
        <v>10649999.999999998</v>
      </c>
      <c r="O9" s="340">
        <f>'[2]1.sz.tábla '!C7</f>
        <v>10650000</v>
      </c>
      <c r="P9" s="338">
        <f t="shared" si="4"/>
        <v>0</v>
      </c>
      <c r="Q9" s="338"/>
    </row>
    <row r="10" spans="1:17" x14ac:dyDescent="0.2">
      <c r="A10" s="328" t="s">
        <v>346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6">
        <f t="shared" si="3"/>
        <v>0</v>
      </c>
      <c r="O10" s="338"/>
      <c r="P10" s="338">
        <f t="shared" si="4"/>
        <v>0</v>
      </c>
      <c r="Q10" s="338"/>
    </row>
    <row r="11" spans="1:17" x14ac:dyDescent="0.2">
      <c r="A11" s="341" t="s">
        <v>347</v>
      </c>
      <c r="B11" s="342">
        <f t="shared" ref="B11:M11" si="6">SUM(B7:B10)</f>
        <v>1587009</v>
      </c>
      <c r="C11" s="342">
        <f t="shared" si="6"/>
        <v>2219110</v>
      </c>
      <c r="D11" s="342">
        <f t="shared" si="6"/>
        <v>7238653</v>
      </c>
      <c r="E11" s="342">
        <f t="shared" si="6"/>
        <v>3876990</v>
      </c>
      <c r="F11" s="342">
        <f t="shared" si="6"/>
        <v>3095780</v>
      </c>
      <c r="G11" s="342">
        <f t="shared" si="6"/>
        <v>3047415.5714285714</v>
      </c>
      <c r="H11" s="342">
        <f t="shared" si="6"/>
        <v>2333373.7142857141</v>
      </c>
      <c r="I11" s="342">
        <f t="shared" si="6"/>
        <v>2333373.7142857141</v>
      </c>
      <c r="J11" s="342">
        <f t="shared" si="6"/>
        <v>5189541.1428571427</v>
      </c>
      <c r="K11" s="342">
        <f t="shared" si="6"/>
        <v>3047415.5714285714</v>
      </c>
      <c r="L11" s="342">
        <f t="shared" si="6"/>
        <v>2333373.7142857141</v>
      </c>
      <c r="M11" s="342">
        <f t="shared" si="6"/>
        <v>3047415.5714285714</v>
      </c>
      <c r="N11" s="336">
        <f t="shared" si="3"/>
        <v>39349451</v>
      </c>
      <c r="O11" s="343">
        <f>SUM(O7:O10)</f>
        <v>39349451</v>
      </c>
      <c r="P11" s="338">
        <f t="shared" si="4"/>
        <v>0</v>
      </c>
      <c r="Q11" s="338"/>
    </row>
    <row r="12" spans="1:17" ht="25.5" x14ac:dyDescent="0.2">
      <c r="A12" s="328" t="s">
        <v>348</v>
      </c>
      <c r="B12" s="339"/>
      <c r="C12" s="339"/>
      <c r="D12" s="339"/>
      <c r="E12" s="339"/>
      <c r="F12" s="339"/>
      <c r="G12" s="339"/>
      <c r="H12" s="339"/>
      <c r="I12" s="339"/>
      <c r="J12" s="339">
        <v>75000000</v>
      </c>
      <c r="K12" s="339"/>
      <c r="L12" s="339"/>
      <c r="M12" s="339"/>
      <c r="N12" s="336">
        <f t="shared" si="3"/>
        <v>75000000</v>
      </c>
      <c r="O12" s="338">
        <f>'[2]1.sz.tábla '!C6</f>
        <v>75000000</v>
      </c>
      <c r="P12" s="338">
        <f t="shared" si="4"/>
        <v>0</v>
      </c>
      <c r="Q12" s="338"/>
    </row>
    <row r="13" spans="1:17" x14ac:dyDescent="0.2">
      <c r="A13" s="328" t="s">
        <v>349</v>
      </c>
      <c r="B13" s="339"/>
      <c r="C13" s="339"/>
      <c r="D13" s="339"/>
      <c r="E13" s="339"/>
      <c r="F13" s="339"/>
      <c r="G13" s="339"/>
      <c r="H13" s="339"/>
      <c r="I13" s="339"/>
      <c r="J13" s="339"/>
      <c r="K13" s="339"/>
      <c r="L13" s="339"/>
      <c r="M13" s="339"/>
      <c r="N13" s="336">
        <f t="shared" si="3"/>
        <v>0</v>
      </c>
      <c r="O13" s="338">
        <f>'[2]1.sz.tábla '!C9</f>
        <v>0</v>
      </c>
      <c r="P13" s="338">
        <f t="shared" si="4"/>
        <v>0</v>
      </c>
      <c r="Q13" s="338"/>
    </row>
    <row r="14" spans="1:17" x14ac:dyDescent="0.2">
      <c r="A14" s="328" t="s">
        <v>350</v>
      </c>
      <c r="B14" s="339"/>
      <c r="C14" s="339"/>
      <c r="D14" s="339"/>
      <c r="E14" s="339"/>
      <c r="F14" s="339"/>
      <c r="G14" s="339"/>
      <c r="H14" s="339"/>
      <c r="I14" s="339"/>
      <c r="J14" s="339"/>
      <c r="K14" s="339"/>
      <c r="L14" s="339"/>
      <c r="M14" s="339"/>
      <c r="N14" s="336">
        <f t="shared" si="3"/>
        <v>0</v>
      </c>
      <c r="O14" s="338">
        <f>'[2]1.sz.tábla '!C11</f>
        <v>0</v>
      </c>
      <c r="P14" s="338">
        <f t="shared" si="4"/>
        <v>0</v>
      </c>
      <c r="Q14" s="338"/>
    </row>
    <row r="15" spans="1:17" x14ac:dyDescent="0.2">
      <c r="A15" s="341" t="s">
        <v>351</v>
      </c>
      <c r="B15" s="342">
        <f t="shared" ref="B15:M15" si="7">SUM(B12:B14)</f>
        <v>0</v>
      </c>
      <c r="C15" s="342">
        <f t="shared" si="7"/>
        <v>0</v>
      </c>
      <c r="D15" s="342">
        <f t="shared" si="7"/>
        <v>0</v>
      </c>
      <c r="E15" s="342">
        <f t="shared" si="7"/>
        <v>0</v>
      </c>
      <c r="F15" s="342">
        <f t="shared" si="7"/>
        <v>0</v>
      </c>
      <c r="G15" s="342">
        <f t="shared" si="7"/>
        <v>0</v>
      </c>
      <c r="H15" s="342">
        <f t="shared" si="7"/>
        <v>0</v>
      </c>
      <c r="I15" s="342">
        <f t="shared" si="7"/>
        <v>0</v>
      </c>
      <c r="J15" s="342">
        <f t="shared" si="7"/>
        <v>75000000</v>
      </c>
      <c r="K15" s="342">
        <f t="shared" si="7"/>
        <v>0</v>
      </c>
      <c r="L15" s="342">
        <f t="shared" si="7"/>
        <v>0</v>
      </c>
      <c r="M15" s="342">
        <f t="shared" si="7"/>
        <v>0</v>
      </c>
      <c r="N15" s="336">
        <f t="shared" si="3"/>
        <v>75000000</v>
      </c>
      <c r="O15" s="344">
        <f>SUM(O12:O14)</f>
        <v>75000000</v>
      </c>
      <c r="P15" s="338">
        <f t="shared" si="4"/>
        <v>0</v>
      </c>
      <c r="Q15" s="338"/>
    </row>
    <row r="16" spans="1:17" s="334" customFormat="1" x14ac:dyDescent="0.2">
      <c r="A16" s="331" t="s">
        <v>11</v>
      </c>
      <c r="B16" s="345">
        <f t="shared" ref="B16:M16" si="8">SUM(B11,B15)</f>
        <v>1587009</v>
      </c>
      <c r="C16" s="345">
        <f t="shared" si="8"/>
        <v>2219110</v>
      </c>
      <c r="D16" s="345">
        <f t="shared" si="8"/>
        <v>7238653</v>
      </c>
      <c r="E16" s="345">
        <f t="shared" si="8"/>
        <v>3876990</v>
      </c>
      <c r="F16" s="345">
        <f t="shared" si="8"/>
        <v>3095780</v>
      </c>
      <c r="G16" s="345">
        <f t="shared" si="8"/>
        <v>3047415.5714285714</v>
      </c>
      <c r="H16" s="345">
        <f t="shared" si="8"/>
        <v>2333373.7142857141</v>
      </c>
      <c r="I16" s="345">
        <f t="shared" si="8"/>
        <v>2333373.7142857141</v>
      </c>
      <c r="J16" s="345">
        <f t="shared" si="8"/>
        <v>80189541.142857149</v>
      </c>
      <c r="K16" s="345">
        <f t="shared" si="8"/>
        <v>3047415.5714285714</v>
      </c>
      <c r="L16" s="345">
        <f t="shared" si="8"/>
        <v>2333373.7142857141</v>
      </c>
      <c r="M16" s="345">
        <f t="shared" si="8"/>
        <v>3047415.5714285714</v>
      </c>
      <c r="N16" s="336">
        <f t="shared" si="3"/>
        <v>114349451</v>
      </c>
      <c r="O16" s="343">
        <f>O11+O15</f>
        <v>114349451</v>
      </c>
      <c r="P16" s="338">
        <f t="shared" si="4"/>
        <v>0</v>
      </c>
      <c r="Q16" s="338"/>
    </row>
    <row r="17" spans="1:17" ht="25.5" x14ac:dyDescent="0.2">
      <c r="A17" s="328" t="s">
        <v>352</v>
      </c>
      <c r="B17" s="345"/>
      <c r="C17" s="345"/>
      <c r="D17" s="345">
        <v>349240</v>
      </c>
      <c r="E17" s="345">
        <v>63096</v>
      </c>
      <c r="F17" s="345">
        <v>72564</v>
      </c>
      <c r="G17" s="345">
        <f>573176/7</f>
        <v>81882.28571428571</v>
      </c>
      <c r="H17" s="345">
        <f t="shared" ref="H17:M17" si="9">573176/7</f>
        <v>81882.28571428571</v>
      </c>
      <c r="I17" s="345">
        <f t="shared" si="9"/>
        <v>81882.28571428571</v>
      </c>
      <c r="J17" s="345">
        <f t="shared" si="9"/>
        <v>81882.28571428571</v>
      </c>
      <c r="K17" s="345">
        <f t="shared" si="9"/>
        <v>81882.28571428571</v>
      </c>
      <c r="L17" s="345">
        <f t="shared" si="9"/>
        <v>81882.28571428571</v>
      </c>
      <c r="M17" s="345">
        <f t="shared" si="9"/>
        <v>81882.28571428571</v>
      </c>
      <c r="N17" s="336">
        <f t="shared" si="3"/>
        <v>1058075.9999999998</v>
      </c>
      <c r="O17" s="338">
        <f>'[2]1.sz.tábla '!C14</f>
        <v>1058076</v>
      </c>
      <c r="P17" s="338">
        <f t="shared" si="4"/>
        <v>0</v>
      </c>
      <c r="Q17" s="338"/>
    </row>
    <row r="18" spans="1:17" x14ac:dyDescent="0.2">
      <c r="A18" s="328" t="s">
        <v>353</v>
      </c>
      <c r="B18" s="339">
        <v>37329264</v>
      </c>
      <c r="C18" s="339"/>
      <c r="D18" s="339"/>
      <c r="E18" s="339"/>
      <c r="F18" s="339"/>
      <c r="G18" s="339"/>
      <c r="H18" s="339"/>
      <c r="I18" s="339"/>
      <c r="J18" s="339"/>
      <c r="K18" s="339"/>
      <c r="L18" s="339"/>
      <c r="M18" s="339"/>
      <c r="N18" s="336">
        <f t="shared" si="3"/>
        <v>37329264</v>
      </c>
      <c r="O18" s="338">
        <f>'[2]1.sz.tábla '!C13</f>
        <v>37329264</v>
      </c>
      <c r="P18" s="338">
        <f t="shared" si="4"/>
        <v>0</v>
      </c>
      <c r="Q18" s="338"/>
    </row>
    <row r="19" spans="1:17" x14ac:dyDescent="0.2">
      <c r="A19" s="331" t="s">
        <v>14</v>
      </c>
      <c r="B19" s="346">
        <f>SUM(B16:B18)</f>
        <v>38916273</v>
      </c>
      <c r="C19" s="346">
        <f t="shared" ref="C19:M19" si="10">SUM(C16:C18)</f>
        <v>2219110</v>
      </c>
      <c r="D19" s="346">
        <f t="shared" si="10"/>
        <v>7587893</v>
      </c>
      <c r="E19" s="346">
        <f t="shared" si="10"/>
        <v>3940086</v>
      </c>
      <c r="F19" s="346">
        <f t="shared" si="10"/>
        <v>3168344</v>
      </c>
      <c r="G19" s="346">
        <f t="shared" si="10"/>
        <v>3129297.8571428573</v>
      </c>
      <c r="H19" s="346">
        <f t="shared" si="10"/>
        <v>2415256</v>
      </c>
      <c r="I19" s="346">
        <f t="shared" si="10"/>
        <v>2415256</v>
      </c>
      <c r="J19" s="346">
        <f t="shared" si="10"/>
        <v>80271423.428571433</v>
      </c>
      <c r="K19" s="346">
        <f t="shared" si="10"/>
        <v>3129297.8571428573</v>
      </c>
      <c r="L19" s="346">
        <f t="shared" si="10"/>
        <v>2415256</v>
      </c>
      <c r="M19" s="346">
        <f t="shared" si="10"/>
        <v>3129297.8571428573</v>
      </c>
      <c r="N19" s="347">
        <f>SUM(N16:N18)</f>
        <v>152736791</v>
      </c>
      <c r="O19" s="343">
        <f>O16+O17+O18</f>
        <v>152736791</v>
      </c>
      <c r="P19" s="338">
        <f t="shared" si="4"/>
        <v>0</v>
      </c>
      <c r="Q19" s="338"/>
    </row>
    <row r="20" spans="1:17" x14ac:dyDescent="0.2">
      <c r="A20" s="328" t="s">
        <v>354</v>
      </c>
      <c r="B20" s="339">
        <v>569636</v>
      </c>
      <c r="C20" s="339">
        <v>670224</v>
      </c>
      <c r="D20" s="339">
        <v>615994</v>
      </c>
      <c r="E20" s="339">
        <v>475153</v>
      </c>
      <c r="F20" s="339">
        <v>517136</v>
      </c>
      <c r="G20" s="339">
        <f>5024397/7</f>
        <v>717771</v>
      </c>
      <c r="H20" s="339">
        <f t="shared" ref="H20:M20" si="11">5024397/7</f>
        <v>717771</v>
      </c>
      <c r="I20" s="339">
        <f t="shared" si="11"/>
        <v>717771</v>
      </c>
      <c r="J20" s="339">
        <f t="shared" si="11"/>
        <v>717771</v>
      </c>
      <c r="K20" s="339">
        <f t="shared" si="11"/>
        <v>717771</v>
      </c>
      <c r="L20" s="339">
        <f t="shared" si="11"/>
        <v>717771</v>
      </c>
      <c r="M20" s="339">
        <f t="shared" si="11"/>
        <v>717771</v>
      </c>
      <c r="N20" s="348">
        <f>SUM(B20:M20)</f>
        <v>7872540</v>
      </c>
      <c r="O20" s="349">
        <f>'[2]3.sz.tábla '!C6</f>
        <v>7872540</v>
      </c>
      <c r="P20" s="338">
        <f t="shared" si="4"/>
        <v>0</v>
      </c>
      <c r="Q20" s="338"/>
    </row>
    <row r="21" spans="1:17" x14ac:dyDescent="0.2">
      <c r="A21" s="328" t="s">
        <v>355</v>
      </c>
      <c r="B21" s="339">
        <v>112406</v>
      </c>
      <c r="C21" s="339">
        <v>105557</v>
      </c>
      <c r="D21" s="339">
        <v>98557</v>
      </c>
      <c r="E21" s="339">
        <v>92247</v>
      </c>
      <c r="F21" s="339">
        <v>91485</v>
      </c>
      <c r="G21" s="339">
        <f>1275890/7</f>
        <v>182270</v>
      </c>
      <c r="H21" s="339">
        <f t="shared" ref="H21:M21" si="12">1275890/7</f>
        <v>182270</v>
      </c>
      <c r="I21" s="339">
        <f t="shared" si="12"/>
        <v>182270</v>
      </c>
      <c r="J21" s="339">
        <f t="shared" si="12"/>
        <v>182270</v>
      </c>
      <c r="K21" s="339">
        <f t="shared" si="12"/>
        <v>182270</v>
      </c>
      <c r="L21" s="339">
        <f t="shared" si="12"/>
        <v>182270</v>
      </c>
      <c r="M21" s="339">
        <f t="shared" si="12"/>
        <v>182270</v>
      </c>
      <c r="N21" s="348">
        <f t="shared" ref="N21:N33" si="13">SUM(B21:M21)</f>
        <v>1776142</v>
      </c>
      <c r="O21" s="349">
        <f>'[2]3.sz.tábla '!C7</f>
        <v>1776142</v>
      </c>
      <c r="P21" s="338">
        <f t="shared" si="4"/>
        <v>0</v>
      </c>
      <c r="Q21" s="338"/>
    </row>
    <row r="22" spans="1:17" x14ac:dyDescent="0.2">
      <c r="A22" s="328" t="s">
        <v>356</v>
      </c>
      <c r="B22" s="339">
        <v>263761</v>
      </c>
      <c r="C22" s="339">
        <v>558723</v>
      </c>
      <c r="D22" s="339">
        <v>486917</v>
      </c>
      <c r="E22" s="339">
        <v>614229</v>
      </c>
      <c r="F22" s="339">
        <v>543023</v>
      </c>
      <c r="G22" s="339">
        <f>11033347/7</f>
        <v>1576192.4285714286</v>
      </c>
      <c r="H22" s="339">
        <f t="shared" ref="H22:M22" si="14">11033347/7</f>
        <v>1576192.4285714286</v>
      </c>
      <c r="I22" s="339">
        <f t="shared" si="14"/>
        <v>1576192.4285714286</v>
      </c>
      <c r="J22" s="339">
        <f t="shared" si="14"/>
        <v>1576192.4285714286</v>
      </c>
      <c r="K22" s="339">
        <f t="shared" si="14"/>
        <v>1576192.4285714286</v>
      </c>
      <c r="L22" s="339">
        <f t="shared" si="14"/>
        <v>1576192.4285714286</v>
      </c>
      <c r="M22" s="339">
        <f t="shared" si="14"/>
        <v>1576192.4285714286</v>
      </c>
      <c r="N22" s="348">
        <f t="shared" si="13"/>
        <v>13500000.000000002</v>
      </c>
      <c r="O22" s="349">
        <f>'[2]3.sz.tábla '!C8</f>
        <v>13500000</v>
      </c>
      <c r="P22" s="338">
        <f t="shared" si="4"/>
        <v>0</v>
      </c>
      <c r="Q22" s="338"/>
    </row>
    <row r="23" spans="1:17" x14ac:dyDescent="0.2">
      <c r="A23" s="328" t="s">
        <v>357</v>
      </c>
      <c r="B23" s="339"/>
      <c r="C23" s="339"/>
      <c r="D23" s="339">
        <v>20000</v>
      </c>
      <c r="E23" s="339"/>
      <c r="F23" s="339">
        <v>160000</v>
      </c>
      <c r="G23" s="339">
        <f>1763000/7</f>
        <v>251857.14285714287</v>
      </c>
      <c r="H23" s="339">
        <f t="shared" ref="H23:M23" si="15">1763000/7</f>
        <v>251857.14285714287</v>
      </c>
      <c r="I23" s="339">
        <f t="shared" si="15"/>
        <v>251857.14285714287</v>
      </c>
      <c r="J23" s="339">
        <f t="shared" si="15"/>
        <v>251857.14285714287</v>
      </c>
      <c r="K23" s="339">
        <f t="shared" si="15"/>
        <v>251857.14285714287</v>
      </c>
      <c r="L23" s="339">
        <f t="shared" si="15"/>
        <v>251857.14285714287</v>
      </c>
      <c r="M23" s="339">
        <f t="shared" si="15"/>
        <v>251857.14285714287</v>
      </c>
      <c r="N23" s="348">
        <f t="shared" si="13"/>
        <v>1943000.0000000002</v>
      </c>
      <c r="O23" s="349">
        <f>'[2]3.sz.tábla '!C23</f>
        <v>1943000</v>
      </c>
      <c r="P23" s="338">
        <f t="shared" si="4"/>
        <v>0</v>
      </c>
      <c r="Q23" s="338"/>
    </row>
    <row r="24" spans="1:17" ht="25.5" x14ac:dyDescent="0.2">
      <c r="A24" s="328" t="s">
        <v>358</v>
      </c>
      <c r="B24" s="339"/>
      <c r="C24" s="339">
        <v>0</v>
      </c>
      <c r="D24" s="339"/>
      <c r="E24" s="339"/>
      <c r="F24" s="339"/>
      <c r="G24" s="339">
        <v>10000</v>
      </c>
      <c r="H24" s="339"/>
      <c r="I24" s="339"/>
      <c r="J24" s="339">
        <v>220000</v>
      </c>
      <c r="K24" s="339"/>
      <c r="L24" s="339"/>
      <c r="M24" s="339"/>
      <c r="N24" s="348">
        <f t="shared" si="13"/>
        <v>230000</v>
      </c>
      <c r="O24" s="349">
        <f>'[2]4.sz.tábla'!C10</f>
        <v>230000</v>
      </c>
      <c r="P24" s="338">
        <f t="shared" si="4"/>
        <v>0</v>
      </c>
      <c r="Q24" s="338"/>
    </row>
    <row r="25" spans="1:17" ht="25.5" x14ac:dyDescent="0.2">
      <c r="A25" s="328" t="s">
        <v>359</v>
      </c>
      <c r="B25" s="339"/>
      <c r="C25" s="339">
        <v>25000</v>
      </c>
      <c r="D25" s="339"/>
      <c r="E25" s="339">
        <v>2228434</v>
      </c>
      <c r="F25" s="339">
        <v>563900</v>
      </c>
      <c r="G25" s="339">
        <f>4705557/7</f>
        <v>672222.42857142852</v>
      </c>
      <c r="H25" s="339">
        <f t="shared" ref="H25:M25" si="16">4705557/7</f>
        <v>672222.42857142852</v>
      </c>
      <c r="I25" s="339">
        <f t="shared" si="16"/>
        <v>672222.42857142852</v>
      </c>
      <c r="J25" s="339">
        <f t="shared" si="16"/>
        <v>672222.42857142852</v>
      </c>
      <c r="K25" s="339">
        <f t="shared" si="16"/>
        <v>672222.42857142852</v>
      </c>
      <c r="L25" s="339">
        <f t="shared" si="16"/>
        <v>672222.42857142852</v>
      </c>
      <c r="M25" s="339">
        <f t="shared" si="16"/>
        <v>672222.42857142852</v>
      </c>
      <c r="N25" s="348">
        <f t="shared" si="13"/>
        <v>7522890.9999999981</v>
      </c>
      <c r="O25" s="349">
        <f>'[2]4.sz.tábla'!C4</f>
        <v>7522891</v>
      </c>
      <c r="P25" s="338">
        <f t="shared" si="4"/>
        <v>0</v>
      </c>
      <c r="Q25" s="338"/>
    </row>
    <row r="26" spans="1:17" x14ac:dyDescent="0.2">
      <c r="A26" s="328" t="s">
        <v>17</v>
      </c>
      <c r="B26" s="339">
        <v>3097542</v>
      </c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48">
        <f t="shared" si="13"/>
        <v>3097542</v>
      </c>
      <c r="O26" s="349">
        <f>'[2]1.sz.tábla '!C26</f>
        <v>3097542</v>
      </c>
      <c r="P26" s="338">
        <f t="shared" si="4"/>
        <v>0</v>
      </c>
      <c r="Q26" s="338"/>
    </row>
    <row r="27" spans="1:17" x14ac:dyDescent="0.2">
      <c r="A27" s="341" t="s">
        <v>360</v>
      </c>
      <c r="B27" s="342">
        <f>SUM(B20:B26)</f>
        <v>4043345</v>
      </c>
      <c r="C27" s="342">
        <f t="shared" ref="C27:M27" si="17">SUM(C20:C26)</f>
        <v>1359504</v>
      </c>
      <c r="D27" s="342">
        <f t="shared" si="17"/>
        <v>1221468</v>
      </c>
      <c r="E27" s="342">
        <f t="shared" si="17"/>
        <v>3410063</v>
      </c>
      <c r="F27" s="342">
        <f t="shared" si="17"/>
        <v>1875544</v>
      </c>
      <c r="G27" s="342">
        <f t="shared" si="17"/>
        <v>3410313</v>
      </c>
      <c r="H27" s="342">
        <f t="shared" si="17"/>
        <v>3400313</v>
      </c>
      <c r="I27" s="342">
        <f t="shared" si="17"/>
        <v>3400313</v>
      </c>
      <c r="J27" s="342">
        <f t="shared" si="17"/>
        <v>3620313</v>
      </c>
      <c r="K27" s="342">
        <f t="shared" si="17"/>
        <v>3400313</v>
      </c>
      <c r="L27" s="342">
        <f t="shared" si="17"/>
        <v>3400313</v>
      </c>
      <c r="M27" s="342">
        <f t="shared" si="17"/>
        <v>3400313</v>
      </c>
      <c r="N27" s="348">
        <f>SUM(B27:M27)</f>
        <v>35942115</v>
      </c>
      <c r="O27" s="343">
        <f>SUM(O20:O26)</f>
        <v>35942115</v>
      </c>
      <c r="P27" s="338">
        <f t="shared" si="4"/>
        <v>0</v>
      </c>
      <c r="Q27" s="338"/>
    </row>
    <row r="28" spans="1:17" x14ac:dyDescent="0.2">
      <c r="A28" s="328" t="s">
        <v>99</v>
      </c>
      <c r="B28" s="339"/>
      <c r="C28" s="339"/>
      <c r="D28" s="339">
        <v>8255</v>
      </c>
      <c r="E28" s="339">
        <v>27990</v>
      </c>
      <c r="F28" s="339">
        <v>145920</v>
      </c>
      <c r="G28" s="339">
        <f>20587835/7</f>
        <v>2941119.2857142859</v>
      </c>
      <c r="H28" s="339">
        <f t="shared" ref="H28:M28" si="18">20587835/7</f>
        <v>2941119.2857142859</v>
      </c>
      <c r="I28" s="339">
        <f t="shared" si="18"/>
        <v>2941119.2857142859</v>
      </c>
      <c r="J28" s="339">
        <f t="shared" si="18"/>
        <v>2941119.2857142859</v>
      </c>
      <c r="K28" s="339">
        <f t="shared" si="18"/>
        <v>2941119.2857142859</v>
      </c>
      <c r="L28" s="339">
        <f t="shared" si="18"/>
        <v>2941119.2857142859</v>
      </c>
      <c r="M28" s="339">
        <f t="shared" si="18"/>
        <v>2941119.2857142859</v>
      </c>
      <c r="N28" s="348">
        <f>SUM(B28:M28)</f>
        <v>20770000.000000004</v>
      </c>
      <c r="O28" s="349">
        <f>'[2]5. sz. tábla'!C4</f>
        <v>20770000</v>
      </c>
      <c r="P28" s="338">
        <f t="shared" si="4"/>
        <v>0</v>
      </c>
      <c r="Q28" s="338"/>
    </row>
    <row r="29" spans="1:17" x14ac:dyDescent="0.2">
      <c r="A29" s="328" t="s">
        <v>100</v>
      </c>
      <c r="B29" s="339"/>
      <c r="C29" s="339"/>
      <c r="D29" s="339">
        <v>15041183</v>
      </c>
      <c r="E29" s="339"/>
      <c r="F29" s="339"/>
      <c r="G29" s="339"/>
      <c r="H29" s="339">
        <v>25000000</v>
      </c>
      <c r="I29" s="339"/>
      <c r="J29" s="339">
        <v>25000000</v>
      </c>
      <c r="K29" s="339"/>
      <c r="L29" s="339"/>
      <c r="M29" s="339">
        <v>29162817</v>
      </c>
      <c r="N29" s="348">
        <f t="shared" si="13"/>
        <v>94204000</v>
      </c>
      <c r="O29" s="349">
        <f>'[2]5. sz. tábla'!C16</f>
        <v>94204000</v>
      </c>
      <c r="P29" s="338">
        <f t="shared" si="4"/>
        <v>0</v>
      </c>
      <c r="Q29" s="338"/>
    </row>
    <row r="30" spans="1:17" x14ac:dyDescent="0.2">
      <c r="A30" s="328" t="s">
        <v>138</v>
      </c>
      <c r="B30" s="339"/>
      <c r="C30" s="339"/>
      <c r="D30" s="339"/>
      <c r="E30" s="339">
        <v>27600</v>
      </c>
      <c r="F30" s="339"/>
      <c r="G30" s="339"/>
      <c r="H30" s="339"/>
      <c r="I30" s="339"/>
      <c r="J30" s="339"/>
      <c r="K30" s="339"/>
      <c r="L30" s="339"/>
      <c r="M30" s="339"/>
      <c r="N30" s="348">
        <f t="shared" si="13"/>
        <v>27600</v>
      </c>
      <c r="O30" s="349">
        <f>'[2]5. sz. tábla'!C23</f>
        <v>27600</v>
      </c>
      <c r="P30" s="338">
        <f t="shared" si="4"/>
        <v>0</v>
      </c>
      <c r="Q30" s="338"/>
    </row>
    <row r="31" spans="1:17" x14ac:dyDescent="0.2">
      <c r="A31" s="341" t="s">
        <v>361</v>
      </c>
      <c r="B31" s="342">
        <f>B28+B29+B30</f>
        <v>0</v>
      </c>
      <c r="C31" s="342">
        <f t="shared" ref="C31:M31" si="19">SUM(C28:C30)</f>
        <v>0</v>
      </c>
      <c r="D31" s="342">
        <f t="shared" si="19"/>
        <v>15049438</v>
      </c>
      <c r="E31" s="342">
        <f t="shared" si="19"/>
        <v>55590</v>
      </c>
      <c r="F31" s="342">
        <f t="shared" si="19"/>
        <v>145920</v>
      </c>
      <c r="G31" s="342">
        <f t="shared" si="19"/>
        <v>2941119.2857142859</v>
      </c>
      <c r="H31" s="342">
        <f t="shared" si="19"/>
        <v>27941119.285714287</v>
      </c>
      <c r="I31" s="342">
        <f t="shared" si="19"/>
        <v>2941119.2857142859</v>
      </c>
      <c r="J31" s="342">
        <f t="shared" si="19"/>
        <v>27941119.285714287</v>
      </c>
      <c r="K31" s="342">
        <f t="shared" si="19"/>
        <v>2941119.2857142859</v>
      </c>
      <c r="L31" s="342">
        <f t="shared" si="19"/>
        <v>2941119.2857142859</v>
      </c>
      <c r="M31" s="342">
        <f t="shared" si="19"/>
        <v>32103936.285714287</v>
      </c>
      <c r="N31" s="348">
        <f t="shared" si="13"/>
        <v>115001600</v>
      </c>
      <c r="O31" s="343">
        <f>SUM(O28:O30)</f>
        <v>115001600</v>
      </c>
      <c r="P31" s="338">
        <f t="shared" si="4"/>
        <v>0</v>
      </c>
      <c r="Q31" s="338"/>
    </row>
    <row r="32" spans="1:17" x14ac:dyDescent="0.2">
      <c r="A32" s="331" t="s">
        <v>20</v>
      </c>
      <c r="B32" s="345">
        <f>SUM(B31,B27)</f>
        <v>4043345</v>
      </c>
      <c r="C32" s="345">
        <f t="shared" ref="C32:M32" si="20">SUM(C31,C27)</f>
        <v>1359504</v>
      </c>
      <c r="D32" s="345">
        <f t="shared" si="20"/>
        <v>16270906</v>
      </c>
      <c r="E32" s="345">
        <f t="shared" si="20"/>
        <v>3465653</v>
      </c>
      <c r="F32" s="345">
        <f t="shared" si="20"/>
        <v>2021464</v>
      </c>
      <c r="G32" s="345">
        <f t="shared" si="20"/>
        <v>6351432.2857142854</v>
      </c>
      <c r="H32" s="345">
        <f t="shared" si="20"/>
        <v>31341432.285714287</v>
      </c>
      <c r="I32" s="345">
        <f t="shared" si="20"/>
        <v>6341432.2857142854</v>
      </c>
      <c r="J32" s="345">
        <f t="shared" si="20"/>
        <v>31561432.285714287</v>
      </c>
      <c r="K32" s="345">
        <f t="shared" si="20"/>
        <v>6341432.2857142854</v>
      </c>
      <c r="L32" s="345">
        <f t="shared" si="20"/>
        <v>6341432.2857142854</v>
      </c>
      <c r="M32" s="345">
        <f t="shared" si="20"/>
        <v>35504249.285714284</v>
      </c>
      <c r="N32" s="348">
        <f>SUM(B32:M32)</f>
        <v>150943715</v>
      </c>
      <c r="O32" s="343">
        <f>O27+O31</f>
        <v>150943715</v>
      </c>
      <c r="P32" s="338">
        <f t="shared" si="4"/>
        <v>0</v>
      </c>
      <c r="Q32" s="338"/>
    </row>
    <row r="33" spans="1:17" ht="25.5" x14ac:dyDescent="0.2">
      <c r="A33" s="331" t="s">
        <v>362</v>
      </c>
      <c r="B33" s="345"/>
      <c r="C33" s="345"/>
      <c r="D33" s="345">
        <v>1083444</v>
      </c>
      <c r="E33" s="345">
        <v>63096</v>
      </c>
      <c r="F33" s="345">
        <v>72564</v>
      </c>
      <c r="G33" s="345">
        <f>573972/7</f>
        <v>81996</v>
      </c>
      <c r="H33" s="345">
        <f t="shared" ref="H33:M33" si="21">573972/7</f>
        <v>81996</v>
      </c>
      <c r="I33" s="345">
        <f t="shared" si="21"/>
        <v>81996</v>
      </c>
      <c r="J33" s="345">
        <f t="shared" si="21"/>
        <v>81996</v>
      </c>
      <c r="K33" s="345">
        <f t="shared" si="21"/>
        <v>81996</v>
      </c>
      <c r="L33" s="345">
        <f t="shared" si="21"/>
        <v>81996</v>
      </c>
      <c r="M33" s="345">
        <f t="shared" si="21"/>
        <v>81996</v>
      </c>
      <c r="N33" s="348">
        <f t="shared" si="13"/>
        <v>1793076</v>
      </c>
      <c r="O33" s="349">
        <f>'[2]5. sz. tábla'!C25</f>
        <v>1793076</v>
      </c>
      <c r="P33" s="338">
        <f t="shared" si="4"/>
        <v>0</v>
      </c>
      <c r="Q33" s="338"/>
    </row>
    <row r="34" spans="1:17" x14ac:dyDescent="0.2">
      <c r="A34" s="331" t="s">
        <v>23</v>
      </c>
      <c r="B34" s="345">
        <f>SUM(B32:B33)</f>
        <v>4043345</v>
      </c>
      <c r="C34" s="345">
        <f t="shared" ref="C34:M34" si="22">SUM(C32:C33)</f>
        <v>1359504</v>
      </c>
      <c r="D34" s="345">
        <f t="shared" si="22"/>
        <v>17354350</v>
      </c>
      <c r="E34" s="345">
        <f t="shared" si="22"/>
        <v>3528749</v>
      </c>
      <c r="F34" s="345">
        <f t="shared" si="22"/>
        <v>2094028</v>
      </c>
      <c r="G34" s="345">
        <f t="shared" si="22"/>
        <v>6433428.2857142854</v>
      </c>
      <c r="H34" s="345">
        <f t="shared" si="22"/>
        <v>31423428.285714287</v>
      </c>
      <c r="I34" s="345">
        <f t="shared" si="22"/>
        <v>6423428.2857142854</v>
      </c>
      <c r="J34" s="345">
        <f t="shared" si="22"/>
        <v>31643428.285714287</v>
      </c>
      <c r="K34" s="345">
        <f t="shared" si="22"/>
        <v>6423428.2857142854</v>
      </c>
      <c r="L34" s="345">
        <f t="shared" si="22"/>
        <v>6423428.2857142854</v>
      </c>
      <c r="M34" s="345">
        <f t="shared" si="22"/>
        <v>35586245.285714284</v>
      </c>
      <c r="N34" s="348">
        <f>SUM(B34:M34)</f>
        <v>152736791</v>
      </c>
      <c r="O34" s="343">
        <f>O32+O33</f>
        <v>152736791</v>
      </c>
      <c r="P34" s="338">
        <f t="shared" si="4"/>
        <v>0</v>
      </c>
      <c r="Q34" s="338"/>
    </row>
    <row r="35" spans="1:17" x14ac:dyDescent="0.2">
      <c r="A35" s="331" t="s">
        <v>363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  <c r="L35" s="345"/>
      <c r="M35" s="345"/>
      <c r="N35" s="348">
        <f>SUM(B35:M35)</f>
        <v>0</v>
      </c>
    </row>
    <row r="36" spans="1:17" ht="13.5" thickBot="1" x14ac:dyDescent="0.25">
      <c r="A36" s="350" t="s">
        <v>364</v>
      </c>
      <c r="B36" s="351">
        <f>B6+B16+B17-B34</f>
        <v>86002758</v>
      </c>
      <c r="C36" s="351">
        <f t="shared" ref="C36:N36" si="23">C6+C16+C17-C34</f>
        <v>86862364</v>
      </c>
      <c r="D36" s="351">
        <f t="shared" si="23"/>
        <v>77095907</v>
      </c>
      <c r="E36" s="351">
        <f t="shared" si="23"/>
        <v>77507244</v>
      </c>
      <c r="F36" s="351">
        <f t="shared" si="23"/>
        <v>78581560</v>
      </c>
      <c r="G36" s="351">
        <f t="shared" si="23"/>
        <v>75277429.571428567</v>
      </c>
      <c r="H36" s="351">
        <f t="shared" si="23"/>
        <v>46269257.285714284</v>
      </c>
      <c r="I36" s="351">
        <f t="shared" si="23"/>
        <v>42261085</v>
      </c>
      <c r="J36" s="351">
        <f t="shared" si="23"/>
        <v>90889080.142857149</v>
      </c>
      <c r="K36" s="351">
        <f t="shared" si="23"/>
        <v>87594949.714285716</v>
      </c>
      <c r="L36" s="351">
        <f t="shared" si="23"/>
        <v>83586777.428571433</v>
      </c>
      <c r="M36" s="351">
        <f t="shared" si="23"/>
        <v>51129830</v>
      </c>
      <c r="N36" s="352">
        <f t="shared" si="23"/>
        <v>51129830</v>
      </c>
      <c r="O36" s="338">
        <f>O19-O34</f>
        <v>0</v>
      </c>
    </row>
    <row r="38" spans="1:17" x14ac:dyDescent="0.2">
      <c r="N38" s="343"/>
    </row>
  </sheetData>
  <mergeCells count="2">
    <mergeCell ref="M2:N2"/>
    <mergeCell ref="A3:N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&amp;C&amp;"Times New Roman,Normál"&amp;12 8. melléklet a 9/2017. (IX. 30.) önkormányzati rendelethez
Az önkormányzat 2017. évi költségvetéséről szóló 1/2017. (II. 15.) önkormányzati rendelet 8. mellékletének helyébe a következő 8. melléklet lép:</oddHeader>
  </headerFooter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K37"/>
  <sheetViews>
    <sheetView tabSelected="1" view="pageLayout" topLeftCell="A3" zoomScaleNormal="75" zoomScaleSheetLayoutView="89" workbookViewId="0">
      <selection activeCell="A3" sqref="A3:E3"/>
    </sheetView>
  </sheetViews>
  <sheetFormatPr defaultColWidth="8.5703125" defaultRowHeight="15.75" x14ac:dyDescent="0.25"/>
  <cols>
    <col min="1" max="1" width="40.42578125" style="25" customWidth="1"/>
    <col min="2" max="5" width="15.28515625" style="2" customWidth="1"/>
    <col min="6" max="6" width="10.140625" style="2" bestFit="1" customWidth="1"/>
    <col min="7" max="7" width="12.42578125" style="2" bestFit="1" customWidth="1"/>
    <col min="8" max="16384" width="8.5703125" style="2"/>
  </cols>
  <sheetData>
    <row r="1" spans="1:7" hidden="1" x14ac:dyDescent="0.25">
      <c r="A1" s="1"/>
    </row>
    <row r="2" spans="1:7" hidden="1" x14ac:dyDescent="0.25">
      <c r="A2" s="1"/>
    </row>
    <row r="3" spans="1:7" ht="45" customHeight="1" thickBot="1" x14ac:dyDescent="0.3">
      <c r="A3" s="362" t="s">
        <v>191</v>
      </c>
      <c r="B3" s="362"/>
      <c r="C3" s="362"/>
      <c r="D3" s="362"/>
      <c r="E3" s="362"/>
    </row>
    <row r="4" spans="1:7" s="20" customFormat="1" ht="56.25" customHeight="1" x14ac:dyDescent="0.2">
      <c r="A4" s="9" t="s">
        <v>101</v>
      </c>
      <c r="B4" s="10" t="s">
        <v>198</v>
      </c>
      <c r="C4" s="16" t="s">
        <v>197</v>
      </c>
      <c r="D4" s="200" t="s">
        <v>196</v>
      </c>
      <c r="E4" s="136" t="s">
        <v>201</v>
      </c>
    </row>
    <row r="5" spans="1:7" ht="31.5" x14ac:dyDescent="0.25">
      <c r="A5" s="11" t="s">
        <v>4</v>
      </c>
      <c r="B5" s="5">
        <f>'2.sz.tábla'!B5</f>
        <v>21955111</v>
      </c>
      <c r="C5" s="5">
        <f>'2.sz.tábla'!C5</f>
        <v>23846951</v>
      </c>
      <c r="D5" s="5">
        <f>'2.sz.tábla'!D5</f>
        <v>26741716</v>
      </c>
      <c r="E5" s="12">
        <f>D5-C5</f>
        <v>2894765</v>
      </c>
    </row>
    <row r="6" spans="1:7" ht="31.5" x14ac:dyDescent="0.25">
      <c r="A6" s="11" t="s">
        <v>5</v>
      </c>
      <c r="B6" s="5">
        <f>'2.sz.tábla'!B20</f>
        <v>75000000</v>
      </c>
      <c r="C6" s="5">
        <f>'2.sz.tábla'!C20</f>
        <v>75000000</v>
      </c>
      <c r="D6" s="5">
        <f>'2.sz.tábla'!D20</f>
        <v>75000000</v>
      </c>
      <c r="E6" s="12">
        <f t="shared" ref="E6:E31" si="0">C6-B6</f>
        <v>0</v>
      </c>
    </row>
    <row r="7" spans="1:7" ht="21.75" customHeight="1" x14ac:dyDescent="0.25">
      <c r="A7" s="11" t="s">
        <v>6</v>
      </c>
      <c r="B7" s="5">
        <f>'2.sz.tábla'!B27</f>
        <v>10650000</v>
      </c>
      <c r="C7" s="5">
        <f>'2.sz.tábla'!C27</f>
        <v>10650000</v>
      </c>
      <c r="D7" s="5">
        <f>'2.sz.tábla'!D27</f>
        <v>10650000</v>
      </c>
      <c r="E7" s="12">
        <f t="shared" si="0"/>
        <v>0</v>
      </c>
    </row>
    <row r="8" spans="1:7" ht="22.5" customHeight="1" x14ac:dyDescent="0.25">
      <c r="A8" s="11" t="s">
        <v>7</v>
      </c>
      <c r="B8" s="5">
        <f>'2.sz.tábla'!B40</f>
        <v>4852500</v>
      </c>
      <c r="C8" s="5">
        <f>'2.sz.tábla'!C40</f>
        <v>4852500</v>
      </c>
      <c r="D8" s="5">
        <f>'2.sz.tábla'!D40</f>
        <v>4852500</v>
      </c>
      <c r="E8" s="12">
        <f t="shared" si="0"/>
        <v>0</v>
      </c>
    </row>
    <row r="9" spans="1:7" ht="24" customHeight="1" x14ac:dyDescent="0.25">
      <c r="A9" s="11" t="s">
        <v>8</v>
      </c>
      <c r="B9" s="5">
        <f>'2.sz.tábla'!B52</f>
        <v>0</v>
      </c>
      <c r="C9" s="5">
        <f>'2.sz.tábla'!C52</f>
        <v>0</v>
      </c>
      <c r="D9" s="5">
        <f>'2.sz.tábla'!D52</f>
        <v>0</v>
      </c>
      <c r="E9" s="12">
        <f t="shared" si="0"/>
        <v>0</v>
      </c>
    </row>
    <row r="10" spans="1:7" ht="27" customHeight="1" x14ac:dyDescent="0.25">
      <c r="A10" s="18" t="s">
        <v>9</v>
      </c>
      <c r="B10" s="5">
        <f>'2.sz.tábla'!B57</f>
        <v>0</v>
      </c>
      <c r="C10" s="5">
        <f>'2.sz.tábla'!C57</f>
        <v>0</v>
      </c>
      <c r="D10" s="5">
        <f>'2.sz.tábla'!D57</f>
        <v>0</v>
      </c>
      <c r="E10" s="12">
        <f t="shared" si="0"/>
        <v>0</v>
      </c>
      <c r="G10" s="57"/>
    </row>
    <row r="11" spans="1:7" ht="24" customHeight="1" x14ac:dyDescent="0.25">
      <c r="A11" s="18" t="s">
        <v>10</v>
      </c>
      <c r="B11" s="5">
        <f>'2.sz.tábla'!B61</f>
        <v>0</v>
      </c>
      <c r="C11" s="5">
        <f>'2.sz.tábla'!C61</f>
        <v>0</v>
      </c>
      <c r="D11" s="5">
        <f>'2.sz.tábla'!D61</f>
        <v>0</v>
      </c>
      <c r="E11" s="12">
        <f t="shared" si="0"/>
        <v>0</v>
      </c>
    </row>
    <row r="12" spans="1:7" s="21" customFormat="1" ht="24" customHeight="1" x14ac:dyDescent="0.25">
      <c r="A12" s="13" t="s">
        <v>11</v>
      </c>
      <c r="B12" s="8">
        <f t="shared" ref="B12:D12" si="1">SUM(B5:B11)</f>
        <v>112457611</v>
      </c>
      <c r="C12" s="8">
        <f t="shared" si="1"/>
        <v>114349451</v>
      </c>
      <c r="D12" s="8">
        <f t="shared" si="1"/>
        <v>117244216</v>
      </c>
      <c r="E12" s="14">
        <f>D12-C12</f>
        <v>2894765</v>
      </c>
    </row>
    <row r="13" spans="1:7" ht="31.5" x14ac:dyDescent="0.25">
      <c r="A13" s="11" t="s">
        <v>107</v>
      </c>
      <c r="B13" s="5">
        <f>'2.sz.tábla'!B67</f>
        <v>36000000</v>
      </c>
      <c r="C13" s="5">
        <f>'2.sz.tábla'!C67</f>
        <v>37329264</v>
      </c>
      <c r="D13" s="5">
        <f>'2.sz.tábla'!D67</f>
        <v>37329264</v>
      </c>
      <c r="E13" s="12">
        <f>D13-C13</f>
        <v>0</v>
      </c>
    </row>
    <row r="14" spans="1:7" ht="48.75" customHeight="1" x14ac:dyDescent="0.25">
      <c r="A14" s="11" t="s">
        <v>13</v>
      </c>
      <c r="B14" s="5">
        <f>'2.sz.tábla'!B69</f>
        <v>405000</v>
      </c>
      <c r="C14" s="5">
        <f>'2.sz.tábla'!C69</f>
        <v>1058076</v>
      </c>
      <c r="D14" s="5">
        <f>'2.sz.tábla'!D69</f>
        <v>1058076</v>
      </c>
      <c r="E14" s="12">
        <f>D14-C14</f>
        <v>0</v>
      </c>
    </row>
    <row r="15" spans="1:7" s="21" customFormat="1" ht="22.5" customHeight="1" x14ac:dyDescent="0.25">
      <c r="A15" s="18" t="s">
        <v>12</v>
      </c>
      <c r="B15" s="225">
        <f t="shared" ref="B15:D15" si="2">B13+B14</f>
        <v>36405000</v>
      </c>
      <c r="C15" s="225">
        <f t="shared" si="2"/>
        <v>38387340</v>
      </c>
      <c r="D15" s="225">
        <f t="shared" si="2"/>
        <v>38387340</v>
      </c>
      <c r="E15" s="14">
        <f>D15-C15</f>
        <v>0</v>
      </c>
    </row>
    <row r="16" spans="1:7" s="21" customFormat="1" ht="18" customHeight="1" x14ac:dyDescent="0.25">
      <c r="A16" s="15" t="s">
        <v>14</v>
      </c>
      <c r="B16" s="6">
        <f>B12+B15</f>
        <v>148862611</v>
      </c>
      <c r="C16" s="6">
        <f>C12+C15</f>
        <v>152736791</v>
      </c>
      <c r="D16" s="6">
        <f>D12+D15</f>
        <v>155631556</v>
      </c>
      <c r="E16" s="14">
        <f>D16-C16</f>
        <v>2894765</v>
      </c>
      <c r="G16" s="56"/>
    </row>
    <row r="17" spans="1:11" s="21" customFormat="1" ht="14.25" customHeight="1" x14ac:dyDescent="0.25">
      <c r="A17" s="15"/>
      <c r="B17" s="5"/>
      <c r="C17" s="7"/>
      <c r="D17" s="212"/>
      <c r="E17" s="12"/>
      <c r="F17" s="22"/>
      <c r="G17" s="22"/>
      <c r="H17" s="22"/>
      <c r="I17" s="22"/>
      <c r="J17" s="22"/>
      <c r="K17" s="22"/>
    </row>
    <row r="18" spans="1:11" s="24" customFormat="1" ht="20.100000000000001" customHeight="1" x14ac:dyDescent="0.25">
      <c r="A18" s="13" t="s">
        <v>15</v>
      </c>
      <c r="B18" s="8">
        <f t="shared" ref="B18:D18" si="3">B19</f>
        <v>31153191</v>
      </c>
      <c r="C18" s="8">
        <f t="shared" si="3"/>
        <v>32844573</v>
      </c>
      <c r="D18" s="8">
        <f t="shared" si="3"/>
        <v>33787350</v>
      </c>
      <c r="E18" s="14">
        <f t="shared" ref="E18:E23" si="4">D18-C18</f>
        <v>942777</v>
      </c>
      <c r="F18" s="23"/>
      <c r="G18" s="23"/>
      <c r="H18" s="23"/>
      <c r="I18" s="23"/>
      <c r="J18" s="23"/>
      <c r="K18" s="23"/>
    </row>
    <row r="19" spans="1:11" ht="20.25" customHeight="1" x14ac:dyDescent="0.25">
      <c r="A19" s="11" t="s">
        <v>141</v>
      </c>
      <c r="B19" s="5">
        <f>'3.sz.tábla '!B36</f>
        <v>31153191</v>
      </c>
      <c r="C19" s="5">
        <f>'3.sz.tábla '!C36</f>
        <v>32844573</v>
      </c>
      <c r="D19" s="5">
        <f>'3.sz.tábla '!D36</f>
        <v>33787350</v>
      </c>
      <c r="E19" s="12">
        <f t="shared" si="4"/>
        <v>942777</v>
      </c>
    </row>
    <row r="20" spans="1:11" s="21" customFormat="1" ht="20.100000000000001" customHeight="1" x14ac:dyDescent="0.25">
      <c r="A20" s="13" t="s">
        <v>16</v>
      </c>
      <c r="B20" s="4">
        <f>SUM(B21:B23)</f>
        <v>114974000</v>
      </c>
      <c r="C20" s="4">
        <f>SUM(C21:C23)</f>
        <v>115001600</v>
      </c>
      <c r="D20" s="4">
        <f>SUM(D21:D23)</f>
        <v>117501600</v>
      </c>
      <c r="E20" s="14">
        <f t="shared" si="4"/>
        <v>2500000</v>
      </c>
    </row>
    <row r="21" spans="1:11" ht="20.100000000000001" customHeight="1" x14ac:dyDescent="0.25">
      <c r="A21" s="11" t="s">
        <v>99</v>
      </c>
      <c r="B21" s="5">
        <f>'5. sz. tábla'!B4</f>
        <v>24270000</v>
      </c>
      <c r="C21" s="5">
        <f>'5. sz. tábla'!C4</f>
        <v>20770000</v>
      </c>
      <c r="D21" s="5">
        <f>'5. sz. tábla'!D4</f>
        <v>21770000</v>
      </c>
      <c r="E21" s="12">
        <f t="shared" si="4"/>
        <v>1000000</v>
      </c>
    </row>
    <row r="22" spans="1:11" s="21" customFormat="1" ht="20.100000000000001" customHeight="1" x14ac:dyDescent="0.25">
      <c r="A22" s="11" t="s">
        <v>100</v>
      </c>
      <c r="B22" s="5">
        <f>'5. sz. tábla'!B17</f>
        <v>90704000</v>
      </c>
      <c r="C22" s="5">
        <f>'5. sz. tábla'!C17</f>
        <v>94204000</v>
      </c>
      <c r="D22" s="5">
        <f>'5. sz. tábla'!D17</f>
        <v>95704000</v>
      </c>
      <c r="E22" s="12">
        <f t="shared" si="4"/>
        <v>1500000</v>
      </c>
    </row>
    <row r="23" spans="1:11" ht="20.100000000000001" customHeight="1" x14ac:dyDescent="0.25">
      <c r="A23" s="11" t="s">
        <v>138</v>
      </c>
      <c r="B23" s="5">
        <f>'5. sz. tábla'!B23</f>
        <v>0</v>
      </c>
      <c r="C23" s="5">
        <f>'5. sz. tábla'!C23</f>
        <v>27600</v>
      </c>
      <c r="D23" s="5">
        <f>'5. sz. tábla'!D23</f>
        <v>27600</v>
      </c>
      <c r="E23" s="12">
        <f t="shared" si="4"/>
        <v>0</v>
      </c>
    </row>
    <row r="24" spans="1:11" ht="12.75" customHeight="1" x14ac:dyDescent="0.25">
      <c r="A24" s="13"/>
      <c r="B24" s="5"/>
      <c r="C24" s="3"/>
      <c r="D24" s="213"/>
      <c r="E24" s="12"/>
    </row>
    <row r="25" spans="1:11" s="21" customFormat="1" ht="20.100000000000001" customHeight="1" x14ac:dyDescent="0.25">
      <c r="A25" s="13" t="s">
        <v>17</v>
      </c>
      <c r="B25" s="4">
        <f>B26+B27</f>
        <v>1595420</v>
      </c>
      <c r="C25" s="4">
        <f>C26+C27</f>
        <v>3097542</v>
      </c>
      <c r="D25" s="4">
        <f>D26+D27</f>
        <v>2549530</v>
      </c>
      <c r="E25" s="14">
        <f>D25-C25</f>
        <v>-548012</v>
      </c>
      <c r="G25" s="57"/>
    </row>
    <row r="26" spans="1:11" s="21" customFormat="1" ht="20.100000000000001" customHeight="1" x14ac:dyDescent="0.25">
      <c r="A26" s="11" t="s">
        <v>18</v>
      </c>
      <c r="B26" s="5">
        <v>1595420</v>
      </c>
      <c r="C26" s="5">
        <f>B26+81862-90000+1329264</f>
        <v>2916546</v>
      </c>
      <c r="D26" s="5">
        <f>C26-55600+1194787-187199-1500000</f>
        <v>2368534</v>
      </c>
      <c r="E26" s="12">
        <f>D26-C26</f>
        <v>-548012</v>
      </c>
      <c r="G26" s="2"/>
    </row>
    <row r="27" spans="1:11" s="130" customFormat="1" ht="20.100000000000001" customHeight="1" x14ac:dyDescent="0.25">
      <c r="A27" s="131" t="s">
        <v>19</v>
      </c>
      <c r="B27" s="98">
        <v>0</v>
      </c>
      <c r="C27" s="121">
        <v>180996</v>
      </c>
      <c r="D27" s="121">
        <v>180996</v>
      </c>
      <c r="E27" s="12">
        <f t="shared" ref="E27:E28" si="5">D27-C27</f>
        <v>0</v>
      </c>
    </row>
    <row r="28" spans="1:11" s="130" customFormat="1" x14ac:dyDescent="0.25">
      <c r="A28" s="131" t="s">
        <v>151</v>
      </c>
      <c r="B28" s="98">
        <v>0</v>
      </c>
      <c r="C28" s="121">
        <v>180996</v>
      </c>
      <c r="D28" s="121">
        <v>180996</v>
      </c>
      <c r="E28" s="12">
        <f t="shared" si="5"/>
        <v>0</v>
      </c>
    </row>
    <row r="29" spans="1:11" s="130" customFormat="1" ht="23.25" customHeight="1" x14ac:dyDescent="0.25">
      <c r="A29" s="132" t="s">
        <v>20</v>
      </c>
      <c r="B29" s="100">
        <f>SUM(B25,B20,B18)</f>
        <v>147722611</v>
      </c>
      <c r="C29" s="100">
        <f>SUM(C25,C20,C18)</f>
        <v>150943715</v>
      </c>
      <c r="D29" s="100">
        <f>SUM(D25,D20,D18)</f>
        <v>153838480</v>
      </c>
      <c r="E29" s="133">
        <f>D29-C29</f>
        <v>2894765</v>
      </c>
      <c r="G29" s="134"/>
    </row>
    <row r="30" spans="1:11" ht="20.100000000000001" customHeight="1" x14ac:dyDescent="0.25">
      <c r="A30" s="11" t="s">
        <v>21</v>
      </c>
      <c r="B30" s="5">
        <f>'5. sz. tábla'!B26</f>
        <v>0</v>
      </c>
      <c r="C30" s="5">
        <f>'5. sz. tábla'!C26</f>
        <v>0</v>
      </c>
      <c r="D30" s="5">
        <f>'5. sz. tábla'!D26</f>
        <v>0</v>
      </c>
      <c r="E30" s="12">
        <f t="shared" si="0"/>
        <v>0</v>
      </c>
      <c r="G30" s="57"/>
    </row>
    <row r="31" spans="1:11" ht="22.5" customHeight="1" x14ac:dyDescent="0.25">
      <c r="A31" s="19" t="s">
        <v>94</v>
      </c>
      <c r="B31" s="5">
        <f>'5. sz. tábla'!B27</f>
        <v>0</v>
      </c>
      <c r="C31" s="5">
        <f>'5. sz. tábla'!C27</f>
        <v>0</v>
      </c>
      <c r="D31" s="5">
        <f>'5. sz. tábla'!D27</f>
        <v>0</v>
      </c>
      <c r="E31" s="12">
        <f t="shared" si="0"/>
        <v>0</v>
      </c>
    </row>
    <row r="32" spans="1:11" ht="30" customHeight="1" x14ac:dyDescent="0.25">
      <c r="A32" s="11" t="s">
        <v>113</v>
      </c>
      <c r="B32" s="5">
        <f>'5. sz. tábla'!B28</f>
        <v>1140000</v>
      </c>
      <c r="C32" s="5">
        <f>'5. sz. tábla'!C28</f>
        <v>1793076</v>
      </c>
      <c r="D32" s="5">
        <f>'5. sz. tábla'!D28</f>
        <v>1793076</v>
      </c>
      <c r="E32" s="12">
        <f>D32-C32</f>
        <v>0</v>
      </c>
    </row>
    <row r="33" spans="1:6" s="21" customFormat="1" ht="21.75" customHeight="1" x14ac:dyDescent="0.25">
      <c r="A33" s="13" t="s">
        <v>22</v>
      </c>
      <c r="B33" s="4">
        <f t="shared" ref="B33:D33" si="6">SUM(B30:B32)</f>
        <v>1140000</v>
      </c>
      <c r="C33" s="4">
        <f t="shared" si="6"/>
        <v>1793076</v>
      </c>
      <c r="D33" s="4">
        <f t="shared" si="6"/>
        <v>1793076</v>
      </c>
      <c r="E33" s="14">
        <f>D33-C33</f>
        <v>0</v>
      </c>
    </row>
    <row r="34" spans="1:6" s="21" customFormat="1" ht="20.100000000000001" customHeight="1" thickBot="1" x14ac:dyDescent="0.3">
      <c r="A34" s="197" t="s">
        <v>23</v>
      </c>
      <c r="B34" s="194">
        <f t="shared" ref="B34:C34" si="7">B29+B33</f>
        <v>148862611</v>
      </c>
      <c r="C34" s="194">
        <f t="shared" si="7"/>
        <v>152736791</v>
      </c>
      <c r="D34" s="194">
        <f>D29+D33</f>
        <v>155631556</v>
      </c>
      <c r="E34" s="198">
        <f>D34-C34</f>
        <v>2894765</v>
      </c>
      <c r="F34" s="56"/>
    </row>
    <row r="35" spans="1:6" x14ac:dyDescent="0.25">
      <c r="A35" s="195"/>
      <c r="B35" s="196">
        <f>B16-B34</f>
        <v>0</v>
      </c>
      <c r="C35" s="196">
        <f>C16-C34</f>
        <v>0</v>
      </c>
      <c r="D35" s="196">
        <f>D16-D34</f>
        <v>0</v>
      </c>
      <c r="E35" s="196">
        <f>E16-E34</f>
        <v>0</v>
      </c>
    </row>
    <row r="36" spans="1:6" x14ac:dyDescent="0.25">
      <c r="A36" s="49"/>
      <c r="B36" s="5"/>
      <c r="C36" s="3"/>
      <c r="D36" s="213"/>
      <c r="E36" s="12"/>
      <c r="F36" s="57"/>
    </row>
    <row r="37" spans="1:6" ht="16.5" thickBot="1" x14ac:dyDescent="0.3">
      <c r="A37" s="50"/>
      <c r="B37" s="51"/>
      <c r="C37" s="52"/>
      <c r="D37" s="214"/>
      <c r="E37" s="53"/>
    </row>
  </sheetData>
  <sheetProtection selectLockedCells="1" selectUnlockedCells="1"/>
  <mergeCells count="1">
    <mergeCell ref="A3:E3"/>
  </mergeCells>
  <phoneticPr fontId="20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92" firstPageNumber="0" orientation="portrait" r:id="rId1"/>
  <headerFooter alignWithMargins="0">
    <oddHeader>&amp;C&amp;"Times New Roman,Félkövér"&amp;12 1. melléklet a 9/2017. (IX. 30.) önkormányzati rendelethez
Az önkormányzat 2017. évi költségvetéséről szóló 1/2017. (II. 15.) önkormányzati rendelet 1. mellékletének helyébe a következő 1. melléklet lép: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78"/>
  <sheetViews>
    <sheetView view="pageLayout" topLeftCell="A3" zoomScaleNormal="75" zoomScaleSheetLayoutView="89" workbookViewId="0">
      <selection activeCell="A3" sqref="A3:E3"/>
    </sheetView>
  </sheetViews>
  <sheetFormatPr defaultColWidth="9" defaultRowHeight="15.75" x14ac:dyDescent="0.25"/>
  <cols>
    <col min="1" max="1" width="45.5703125" style="29" customWidth="1"/>
    <col min="2" max="9" width="15.28515625" style="29" customWidth="1"/>
    <col min="10" max="16384" width="9" style="29"/>
  </cols>
  <sheetData>
    <row r="1" spans="1:6" ht="16.5" hidden="1" thickBot="1" x14ac:dyDescent="0.3">
      <c r="A1" s="27"/>
      <c r="B1" s="28"/>
    </row>
    <row r="2" spans="1:6" ht="16.5" hidden="1" thickBot="1" x14ac:dyDescent="0.3">
      <c r="A2" s="30"/>
    </row>
    <row r="3" spans="1:6" s="31" customFormat="1" ht="31.5" customHeight="1" x14ac:dyDescent="0.25">
      <c r="A3" s="363" t="s">
        <v>192</v>
      </c>
      <c r="B3" s="363"/>
      <c r="C3" s="363"/>
      <c r="D3" s="363"/>
      <c r="E3" s="363"/>
    </row>
    <row r="4" spans="1:6" s="23" customFormat="1" ht="53.25" customHeight="1" x14ac:dyDescent="0.25">
      <c r="A4" s="199" t="s">
        <v>101</v>
      </c>
      <c r="B4" s="26" t="s">
        <v>198</v>
      </c>
      <c r="C4" s="17" t="s">
        <v>197</v>
      </c>
      <c r="D4" s="17" t="s">
        <v>196</v>
      </c>
      <c r="E4" s="17" t="s">
        <v>201</v>
      </c>
    </row>
    <row r="5" spans="1:6" s="23" customFormat="1" ht="31.5" x14ac:dyDescent="0.25">
      <c r="A5" s="32" t="s">
        <v>4</v>
      </c>
      <c r="B5" s="6">
        <f>B6+B12+B13+B14+B15+B16</f>
        <v>21955111</v>
      </c>
      <c r="C5" s="6">
        <f>C6+C12+C13+C14+C15+C16</f>
        <v>23846951</v>
      </c>
      <c r="D5" s="6">
        <f>D6+D12+D13+D14+D15+D16</f>
        <v>26741716</v>
      </c>
      <c r="E5" s="122">
        <f>D5-C5</f>
        <v>2894765</v>
      </c>
      <c r="F5" s="55">
        <f>E6+E16</f>
        <v>2894765</v>
      </c>
    </row>
    <row r="6" spans="1:6" s="34" customFormat="1" ht="19.5" customHeight="1" x14ac:dyDescent="0.25">
      <c r="A6" s="33" t="s">
        <v>24</v>
      </c>
      <c r="B6" s="36">
        <f>B7+B8+B9</f>
        <v>18355111</v>
      </c>
      <c r="C6" s="36">
        <f>C7+C8+C9</f>
        <v>18436973</v>
      </c>
      <c r="D6" s="36">
        <f>D7+D8+D9+D10</f>
        <v>20631760</v>
      </c>
      <c r="E6" s="123">
        <f>D6-C6</f>
        <v>2194787</v>
      </c>
    </row>
    <row r="7" spans="1:6" s="34" customFormat="1" ht="16.5" customHeight="1" x14ac:dyDescent="0.25">
      <c r="A7" s="35" t="s">
        <v>25</v>
      </c>
      <c r="B7" s="36">
        <f>'2a. tábla'!E5</f>
        <v>12712111</v>
      </c>
      <c r="C7" s="36">
        <f>'2a. tábla'!F5</f>
        <v>12712111</v>
      </c>
      <c r="D7" s="36">
        <f>'2a. tábla'!G5</f>
        <v>13712111</v>
      </c>
      <c r="E7" s="123">
        <f t="shared" ref="E7:E65" si="0">C7-B7</f>
        <v>0</v>
      </c>
    </row>
    <row r="8" spans="1:6" s="34" customFormat="1" ht="31.5" x14ac:dyDescent="0.25">
      <c r="A8" s="18" t="s">
        <v>26</v>
      </c>
      <c r="B8" s="36">
        <f>'2a. tábla'!E34</f>
        <v>4443000</v>
      </c>
      <c r="C8" s="36">
        <f>'2a. tábla'!F34</f>
        <v>4524862</v>
      </c>
      <c r="D8" s="36">
        <f>'2a. tábla'!G34</f>
        <v>4524862</v>
      </c>
      <c r="E8" s="123">
        <f>D8-C8</f>
        <v>0</v>
      </c>
    </row>
    <row r="9" spans="1:6" s="34" customFormat="1" x14ac:dyDescent="0.25">
      <c r="A9" s="18" t="s">
        <v>27</v>
      </c>
      <c r="B9" s="36">
        <f>'2a. tábla'!E44</f>
        <v>1200000</v>
      </c>
      <c r="C9" s="36">
        <f>'2a. tábla'!F44</f>
        <v>1200000</v>
      </c>
      <c r="D9" s="36">
        <f>'2a. tábla'!G44</f>
        <v>1200000</v>
      </c>
      <c r="E9" s="123">
        <f t="shared" si="0"/>
        <v>0</v>
      </c>
    </row>
    <row r="10" spans="1:6" s="23" customFormat="1" ht="31.5" x14ac:dyDescent="0.25">
      <c r="A10" s="18" t="s">
        <v>0</v>
      </c>
      <c r="B10" s="36">
        <v>0</v>
      </c>
      <c r="C10" s="125">
        <v>0</v>
      </c>
      <c r="D10" s="127">
        <f>'2a. tábla'!G48</f>
        <v>1194787</v>
      </c>
      <c r="E10" s="123">
        <f>D10-C10</f>
        <v>1194787</v>
      </c>
    </row>
    <row r="11" spans="1:6" s="23" customFormat="1" x14ac:dyDescent="0.25">
      <c r="A11" s="18" t="s">
        <v>1</v>
      </c>
      <c r="B11" s="36"/>
      <c r="C11" s="124"/>
      <c r="D11" s="126"/>
      <c r="E11" s="123">
        <f t="shared" si="0"/>
        <v>0</v>
      </c>
    </row>
    <row r="12" spans="1:6" s="23" customFormat="1" x14ac:dyDescent="0.25">
      <c r="A12" s="18" t="s">
        <v>110</v>
      </c>
      <c r="B12" s="36"/>
      <c r="C12" s="124"/>
      <c r="D12" s="126"/>
      <c r="E12" s="123">
        <f t="shared" si="0"/>
        <v>0</v>
      </c>
    </row>
    <row r="13" spans="1:6" s="37" customFormat="1" ht="31.5" x14ac:dyDescent="0.25">
      <c r="A13" s="18" t="s">
        <v>28</v>
      </c>
      <c r="B13" s="36"/>
      <c r="C13" s="124"/>
      <c r="D13" s="126"/>
      <c r="E13" s="123">
        <f t="shared" si="0"/>
        <v>0</v>
      </c>
    </row>
    <row r="14" spans="1:6" s="37" customFormat="1" ht="31.5" x14ac:dyDescent="0.25">
      <c r="A14" s="18" t="s">
        <v>29</v>
      </c>
      <c r="B14" s="36"/>
      <c r="C14" s="124"/>
      <c r="D14" s="126"/>
      <c r="E14" s="123">
        <f t="shared" si="0"/>
        <v>0</v>
      </c>
    </row>
    <row r="15" spans="1:6" s="37" customFormat="1" ht="31.5" x14ac:dyDescent="0.25">
      <c r="A15" s="18" t="s">
        <v>30</v>
      </c>
      <c r="B15" s="36"/>
      <c r="C15" s="124"/>
      <c r="D15" s="126"/>
      <c r="E15" s="123">
        <f t="shared" si="0"/>
        <v>0</v>
      </c>
    </row>
    <row r="16" spans="1:6" s="23" customFormat="1" ht="28.35" customHeight="1" x14ac:dyDescent="0.25">
      <c r="A16" s="18" t="s">
        <v>31</v>
      </c>
      <c r="B16" s="36">
        <v>3600000</v>
      </c>
      <c r="C16" s="36">
        <f>B16+1628982+180996</f>
        <v>5409978</v>
      </c>
      <c r="D16" s="36">
        <f>C16+699978</f>
        <v>6109956</v>
      </c>
      <c r="E16" s="123">
        <f>D16-C16</f>
        <v>699978</v>
      </c>
    </row>
    <row r="17" spans="1:7" s="23" customFormat="1" ht="33.75" customHeight="1" x14ac:dyDescent="0.25">
      <c r="A17" s="139" t="s">
        <v>174</v>
      </c>
      <c r="B17" s="140">
        <v>1500000</v>
      </c>
      <c r="C17" s="140">
        <v>1500000</v>
      </c>
      <c r="D17" s="226">
        <v>1500000</v>
      </c>
      <c r="E17" s="123">
        <f>D17-C17</f>
        <v>0</v>
      </c>
    </row>
    <row r="18" spans="1:7" s="23" customFormat="1" ht="18" customHeight="1" x14ac:dyDescent="0.25">
      <c r="A18" s="139" t="s">
        <v>175</v>
      </c>
      <c r="B18" s="141">
        <v>841491</v>
      </c>
      <c r="C18" s="224">
        <f>B18+1628982+180996</f>
        <v>2651469</v>
      </c>
      <c r="D18" s="224">
        <f>C18</f>
        <v>2651469</v>
      </c>
      <c r="E18" s="123">
        <f>D18-C18</f>
        <v>0</v>
      </c>
    </row>
    <row r="19" spans="1:7" s="23" customFormat="1" ht="18" customHeight="1" x14ac:dyDescent="0.25">
      <c r="A19" s="139" t="s">
        <v>217</v>
      </c>
      <c r="B19" s="141">
        <v>0</v>
      </c>
      <c r="C19" s="224">
        <v>0</v>
      </c>
      <c r="D19" s="224">
        <v>699978</v>
      </c>
      <c r="E19" s="227">
        <f>D19-C19</f>
        <v>699978</v>
      </c>
    </row>
    <row r="20" spans="1:7" s="23" customFormat="1" ht="31.5" x14ac:dyDescent="0.25">
      <c r="A20" s="32" t="s">
        <v>5</v>
      </c>
      <c r="B20" s="6">
        <f>B21+B23+B24+B25+B26</f>
        <v>75000000</v>
      </c>
      <c r="C20" s="6">
        <f>C21+C23+C24+C25+C26</f>
        <v>75000000</v>
      </c>
      <c r="D20" s="6">
        <f>D21+D23+D24+D25+D26</f>
        <v>75000000</v>
      </c>
      <c r="E20" s="126">
        <f t="shared" si="0"/>
        <v>0</v>
      </c>
    </row>
    <row r="21" spans="1:7" s="23" customFormat="1" x14ac:dyDescent="0.25">
      <c r="A21" s="18" t="s">
        <v>32</v>
      </c>
      <c r="B21" s="36">
        <f>B22:H22</f>
        <v>75000000</v>
      </c>
      <c r="C21" s="36">
        <f>C22:I22</f>
        <v>75000000</v>
      </c>
      <c r="D21" s="36">
        <f>D22:J22</f>
        <v>75000000</v>
      </c>
      <c r="E21" s="127">
        <f t="shared" si="0"/>
        <v>0</v>
      </c>
      <c r="F21" s="54"/>
      <c r="G21" s="54"/>
    </row>
    <row r="22" spans="1:7" s="23" customFormat="1" x14ac:dyDescent="0.25">
      <c r="A22" s="138" t="s">
        <v>171</v>
      </c>
      <c r="B22" s="36">
        <v>75000000</v>
      </c>
      <c r="C22" s="125">
        <v>75000000</v>
      </c>
      <c r="D22" s="125">
        <v>75000000</v>
      </c>
      <c r="E22" s="127">
        <f t="shared" si="0"/>
        <v>0</v>
      </c>
    </row>
    <row r="23" spans="1:7" s="23" customFormat="1" ht="47.25" x14ac:dyDescent="0.25">
      <c r="A23" s="18" t="s">
        <v>33</v>
      </c>
      <c r="B23" s="36"/>
      <c r="C23" s="124"/>
      <c r="D23" s="126"/>
      <c r="E23" s="123">
        <f t="shared" si="0"/>
        <v>0</v>
      </c>
    </row>
    <row r="24" spans="1:7" s="23" customFormat="1" ht="31.5" x14ac:dyDescent="0.25">
      <c r="A24" s="18" t="s">
        <v>34</v>
      </c>
      <c r="B24" s="36"/>
      <c r="C24" s="124"/>
      <c r="D24" s="126"/>
      <c r="E24" s="123">
        <f t="shared" si="0"/>
        <v>0</v>
      </c>
    </row>
    <row r="25" spans="1:7" s="23" customFormat="1" ht="31.5" x14ac:dyDescent="0.25">
      <c r="A25" s="18" t="s">
        <v>35</v>
      </c>
      <c r="B25" s="36"/>
      <c r="C25" s="124"/>
      <c r="D25" s="126"/>
      <c r="E25" s="123">
        <f t="shared" si="0"/>
        <v>0</v>
      </c>
    </row>
    <row r="26" spans="1:7" s="23" customFormat="1" ht="31.5" x14ac:dyDescent="0.25">
      <c r="A26" s="18" t="s">
        <v>111</v>
      </c>
      <c r="B26" s="36"/>
      <c r="C26" s="124"/>
      <c r="D26" s="126"/>
      <c r="E26" s="123">
        <f t="shared" si="0"/>
        <v>0</v>
      </c>
    </row>
    <row r="27" spans="1:7" s="23" customFormat="1" ht="28.35" customHeight="1" x14ac:dyDescent="0.25">
      <c r="A27" s="32" t="s">
        <v>6</v>
      </c>
      <c r="B27" s="6">
        <f t="shared" ref="B27:D27" si="1">B28+B31+B39</f>
        <v>10650000</v>
      </c>
      <c r="C27" s="6">
        <f t="shared" si="1"/>
        <v>10650000</v>
      </c>
      <c r="D27" s="6">
        <f t="shared" si="1"/>
        <v>10650000</v>
      </c>
      <c r="E27" s="122">
        <f t="shared" si="0"/>
        <v>0</v>
      </c>
    </row>
    <row r="28" spans="1:7" s="23" customFormat="1" ht="27.75" customHeight="1" x14ac:dyDescent="0.25">
      <c r="A28" s="18" t="s">
        <v>36</v>
      </c>
      <c r="B28" s="36">
        <f t="shared" ref="B28:D28" si="2">SUM(B29:B30)</f>
        <v>6600000</v>
      </c>
      <c r="C28" s="36">
        <f t="shared" si="2"/>
        <v>6600000</v>
      </c>
      <c r="D28" s="36">
        <f t="shared" si="2"/>
        <v>6600000</v>
      </c>
      <c r="E28" s="123">
        <f t="shared" si="0"/>
        <v>0</v>
      </c>
    </row>
    <row r="29" spans="1:7" s="23" customFormat="1" ht="28.35" customHeight="1" x14ac:dyDescent="0.25">
      <c r="A29" s="33" t="s">
        <v>37</v>
      </c>
      <c r="B29" s="36">
        <v>5400000</v>
      </c>
      <c r="C29" s="125">
        <v>5400000</v>
      </c>
      <c r="D29" s="127">
        <v>5400000</v>
      </c>
      <c r="E29" s="123">
        <f t="shared" si="0"/>
        <v>0</v>
      </c>
    </row>
    <row r="30" spans="1:7" s="23" customFormat="1" ht="28.35" customHeight="1" x14ac:dyDescent="0.25">
      <c r="A30" s="33" t="s">
        <v>172</v>
      </c>
      <c r="B30" s="36">
        <v>1200000</v>
      </c>
      <c r="C30" s="125">
        <v>1200000</v>
      </c>
      <c r="D30" s="127">
        <v>1200000</v>
      </c>
      <c r="E30" s="123">
        <f t="shared" si="0"/>
        <v>0</v>
      </c>
    </row>
    <row r="31" spans="1:7" s="23" customFormat="1" ht="28.35" customHeight="1" x14ac:dyDescent="0.25">
      <c r="A31" s="18" t="s">
        <v>38</v>
      </c>
      <c r="B31" s="36">
        <f t="shared" ref="B31:D31" si="3">B32+B34+B35</f>
        <v>3900000</v>
      </c>
      <c r="C31" s="36">
        <f t="shared" si="3"/>
        <v>3900000</v>
      </c>
      <c r="D31" s="36">
        <f t="shared" si="3"/>
        <v>3900000</v>
      </c>
      <c r="E31" s="123">
        <f t="shared" si="0"/>
        <v>0</v>
      </c>
    </row>
    <row r="32" spans="1:7" s="23" customFormat="1" ht="28.35" customHeight="1" x14ac:dyDescent="0.25">
      <c r="A32" s="18" t="s">
        <v>39</v>
      </c>
      <c r="B32" s="36">
        <f t="shared" ref="B32:D32" si="4">SUM(B33)</f>
        <v>2500000</v>
      </c>
      <c r="C32" s="36">
        <f t="shared" si="4"/>
        <v>2500000</v>
      </c>
      <c r="D32" s="36">
        <f t="shared" si="4"/>
        <v>2500000</v>
      </c>
      <c r="E32" s="123">
        <f t="shared" si="0"/>
        <v>0</v>
      </c>
    </row>
    <row r="33" spans="1:5" s="23" customFormat="1" ht="28.35" customHeight="1" x14ac:dyDescent="0.25">
      <c r="A33" s="18" t="s">
        <v>40</v>
      </c>
      <c r="B33" s="36">
        <v>2500000</v>
      </c>
      <c r="C33" s="125">
        <v>2500000</v>
      </c>
      <c r="D33" s="127">
        <v>2500000</v>
      </c>
      <c r="E33" s="123">
        <f t="shared" si="0"/>
        <v>0</v>
      </c>
    </row>
    <row r="34" spans="1:5" s="23" customFormat="1" ht="28.35" customHeight="1" x14ac:dyDescent="0.25">
      <c r="A34" s="18" t="s">
        <v>41</v>
      </c>
      <c r="B34" s="36">
        <v>1000000</v>
      </c>
      <c r="C34" s="125">
        <v>1000000</v>
      </c>
      <c r="D34" s="127">
        <v>1000000</v>
      </c>
      <c r="E34" s="123">
        <f t="shared" si="0"/>
        <v>0</v>
      </c>
    </row>
    <row r="35" spans="1:5" s="23" customFormat="1" ht="28.35" customHeight="1" x14ac:dyDescent="0.25">
      <c r="A35" s="18" t="s">
        <v>42</v>
      </c>
      <c r="B35" s="36">
        <f>SUM(B36:B38)</f>
        <v>400000</v>
      </c>
      <c r="C35" s="36">
        <f>SUM(C36:C38)</f>
        <v>400000</v>
      </c>
      <c r="D35" s="36">
        <f>SUM(D36:D38)</f>
        <v>400000</v>
      </c>
      <c r="E35" s="123">
        <f t="shared" si="0"/>
        <v>0</v>
      </c>
    </row>
    <row r="36" spans="1:5" s="23" customFormat="1" ht="28.35" customHeight="1" x14ac:dyDescent="0.25">
      <c r="A36" s="18" t="s">
        <v>43</v>
      </c>
      <c r="B36" s="36">
        <v>400000</v>
      </c>
      <c r="C36" s="125">
        <v>400000</v>
      </c>
      <c r="D36" s="127">
        <v>400000</v>
      </c>
      <c r="E36" s="123">
        <f t="shared" si="0"/>
        <v>0</v>
      </c>
    </row>
    <row r="37" spans="1:5" s="23" customFormat="1" ht="28.35" customHeight="1" x14ac:dyDescent="0.25">
      <c r="A37" s="18" t="s">
        <v>44</v>
      </c>
      <c r="B37" s="36"/>
      <c r="C37" s="124"/>
      <c r="D37" s="126"/>
      <c r="E37" s="123">
        <f t="shared" si="0"/>
        <v>0</v>
      </c>
    </row>
    <row r="38" spans="1:5" s="23" customFormat="1" ht="28.35" customHeight="1" x14ac:dyDescent="0.25">
      <c r="A38" s="18" t="s">
        <v>102</v>
      </c>
      <c r="B38" s="36"/>
      <c r="C38" s="124"/>
      <c r="D38" s="126"/>
      <c r="E38" s="123">
        <f t="shared" si="0"/>
        <v>0</v>
      </c>
    </row>
    <row r="39" spans="1:5" s="23" customFormat="1" ht="28.35" customHeight="1" x14ac:dyDescent="0.25">
      <c r="A39" s="18" t="s">
        <v>45</v>
      </c>
      <c r="B39" s="36">
        <v>150000</v>
      </c>
      <c r="C39" s="125">
        <v>150000</v>
      </c>
      <c r="D39" s="127">
        <v>150000</v>
      </c>
      <c r="E39" s="123">
        <f t="shared" si="0"/>
        <v>0</v>
      </c>
    </row>
    <row r="40" spans="1:5" s="23" customFormat="1" ht="28.35" customHeight="1" x14ac:dyDescent="0.25">
      <c r="A40" s="32" t="s">
        <v>7</v>
      </c>
      <c r="B40" s="6">
        <f t="shared" ref="B40:D40" si="5">B41+B42+B44+B45+B47+B48+B49+B50+B51</f>
        <v>4852500</v>
      </c>
      <c r="C40" s="6">
        <f t="shared" si="5"/>
        <v>4852500</v>
      </c>
      <c r="D40" s="6">
        <f t="shared" si="5"/>
        <v>4852500</v>
      </c>
      <c r="E40" s="122">
        <f t="shared" si="0"/>
        <v>0</v>
      </c>
    </row>
    <row r="41" spans="1:5" s="23" customFormat="1" ht="28.35" customHeight="1" x14ac:dyDescent="0.25">
      <c r="A41" s="33" t="s">
        <v>46</v>
      </c>
      <c r="B41" s="36"/>
      <c r="C41" s="124"/>
      <c r="D41" s="126"/>
      <c r="E41" s="123">
        <f t="shared" si="0"/>
        <v>0</v>
      </c>
    </row>
    <row r="42" spans="1:5" s="39" customFormat="1" ht="28.35" customHeight="1" x14ac:dyDescent="0.25">
      <c r="A42" s="33" t="s">
        <v>47</v>
      </c>
      <c r="B42" s="36">
        <v>650000</v>
      </c>
      <c r="C42" s="125">
        <v>650000</v>
      </c>
      <c r="D42" s="127">
        <v>650000</v>
      </c>
      <c r="E42" s="123">
        <f t="shared" si="0"/>
        <v>0</v>
      </c>
    </row>
    <row r="43" spans="1:5" s="40" customFormat="1" ht="28.35" customHeight="1" x14ac:dyDescent="0.25">
      <c r="A43" s="33" t="s">
        <v>95</v>
      </c>
      <c r="B43" s="36">
        <v>650000</v>
      </c>
      <c r="C43" s="36">
        <v>650000</v>
      </c>
      <c r="D43" s="218">
        <v>650000</v>
      </c>
      <c r="E43" s="123">
        <f t="shared" si="0"/>
        <v>0</v>
      </c>
    </row>
    <row r="44" spans="1:5" s="41" customFormat="1" ht="28.35" customHeight="1" x14ac:dyDescent="0.25">
      <c r="A44" s="18" t="s">
        <v>48</v>
      </c>
      <c r="B44" s="36"/>
      <c r="C44" s="125"/>
      <c r="D44" s="127"/>
      <c r="E44" s="123">
        <f t="shared" si="0"/>
        <v>0</v>
      </c>
    </row>
    <row r="45" spans="1:5" s="41" customFormat="1" ht="28.35" customHeight="1" x14ac:dyDescent="0.25">
      <c r="A45" s="18" t="s">
        <v>49</v>
      </c>
      <c r="B45" s="36">
        <v>2700000</v>
      </c>
      <c r="C45" s="36">
        <v>2700000</v>
      </c>
      <c r="D45" s="218">
        <v>2700000</v>
      </c>
      <c r="E45" s="123">
        <f t="shared" si="0"/>
        <v>0</v>
      </c>
    </row>
    <row r="46" spans="1:5" s="41" customFormat="1" ht="28.35" customHeight="1" x14ac:dyDescent="0.25">
      <c r="A46" s="42" t="s">
        <v>120</v>
      </c>
      <c r="B46" s="36"/>
      <c r="C46" s="125"/>
      <c r="D46" s="127"/>
      <c r="E46" s="123">
        <f t="shared" si="0"/>
        <v>0</v>
      </c>
    </row>
    <row r="47" spans="1:5" s="41" customFormat="1" ht="28.35" customHeight="1" x14ac:dyDescent="0.25">
      <c r="A47" s="42" t="s">
        <v>50</v>
      </c>
      <c r="B47" s="36"/>
      <c r="C47" s="125"/>
      <c r="D47" s="127"/>
      <c r="E47" s="123">
        <f t="shared" si="0"/>
        <v>0</v>
      </c>
    </row>
    <row r="48" spans="1:5" s="41" customFormat="1" ht="28.35" customHeight="1" x14ac:dyDescent="0.25">
      <c r="A48" s="33" t="s">
        <v>51</v>
      </c>
      <c r="B48" s="36">
        <v>1500000</v>
      </c>
      <c r="C48" s="125">
        <v>1500000</v>
      </c>
      <c r="D48" s="127">
        <v>1500000</v>
      </c>
      <c r="E48" s="123">
        <f t="shared" si="0"/>
        <v>0</v>
      </c>
    </row>
    <row r="49" spans="1:5" s="41" customFormat="1" ht="28.35" customHeight="1" x14ac:dyDescent="0.25">
      <c r="A49" s="33" t="s">
        <v>52</v>
      </c>
      <c r="B49" s="36"/>
      <c r="C49" s="125"/>
      <c r="D49" s="127"/>
      <c r="E49" s="123">
        <f t="shared" si="0"/>
        <v>0</v>
      </c>
    </row>
    <row r="50" spans="1:5" s="41" customFormat="1" ht="28.35" customHeight="1" x14ac:dyDescent="0.25">
      <c r="A50" s="33" t="s">
        <v>53</v>
      </c>
      <c r="B50" s="36">
        <v>2500</v>
      </c>
      <c r="C50" s="125">
        <v>2500</v>
      </c>
      <c r="D50" s="127">
        <v>2500</v>
      </c>
      <c r="E50" s="123">
        <f t="shared" si="0"/>
        <v>0</v>
      </c>
    </row>
    <row r="51" spans="1:5" s="41" customFormat="1" ht="31.5" x14ac:dyDescent="0.25">
      <c r="A51" s="42" t="s">
        <v>103</v>
      </c>
      <c r="B51" s="36"/>
      <c r="C51" s="125"/>
      <c r="D51" s="127"/>
      <c r="E51" s="123">
        <f t="shared" si="0"/>
        <v>0</v>
      </c>
    </row>
    <row r="52" spans="1:5" s="41" customFormat="1" ht="28.35" customHeight="1" x14ac:dyDescent="0.25">
      <c r="A52" s="32" t="s">
        <v>8</v>
      </c>
      <c r="B52" s="6">
        <f t="shared" ref="B52:D52" si="6">SUM(B53:B56)</f>
        <v>0</v>
      </c>
      <c r="C52" s="6">
        <f t="shared" si="6"/>
        <v>0</v>
      </c>
      <c r="D52" s="6">
        <f t="shared" si="6"/>
        <v>0</v>
      </c>
      <c r="E52" s="122">
        <f t="shared" si="0"/>
        <v>0</v>
      </c>
    </row>
    <row r="53" spans="1:5" s="41" customFormat="1" ht="28.35" customHeight="1" x14ac:dyDescent="0.25">
      <c r="A53" s="18" t="s">
        <v>54</v>
      </c>
      <c r="B53" s="36"/>
      <c r="C53" s="125"/>
      <c r="D53" s="127"/>
      <c r="E53" s="123"/>
    </row>
    <row r="54" spans="1:5" s="39" customFormat="1" ht="28.35" customHeight="1" x14ac:dyDescent="0.25">
      <c r="A54" s="18" t="s">
        <v>55</v>
      </c>
      <c r="B54" s="36"/>
      <c r="C54" s="125"/>
      <c r="D54" s="127"/>
      <c r="E54" s="123"/>
    </row>
    <row r="55" spans="1:5" s="39" customFormat="1" ht="28.35" customHeight="1" x14ac:dyDescent="0.25">
      <c r="A55" s="43" t="s">
        <v>56</v>
      </c>
      <c r="B55" s="36"/>
      <c r="C55" s="124"/>
      <c r="D55" s="126"/>
      <c r="E55" s="123"/>
    </row>
    <row r="56" spans="1:5" s="41" customFormat="1" ht="28.35" customHeight="1" x14ac:dyDescent="0.25">
      <c r="A56" s="18" t="s">
        <v>57</v>
      </c>
      <c r="B56" s="36"/>
      <c r="C56" s="125"/>
      <c r="D56" s="127"/>
      <c r="E56" s="123"/>
    </row>
    <row r="57" spans="1:5" s="41" customFormat="1" ht="28.35" customHeight="1" x14ac:dyDescent="0.25">
      <c r="A57" s="32" t="s">
        <v>9</v>
      </c>
      <c r="B57" s="6">
        <f t="shared" ref="B57:D57" si="7">SUM(B58:B60)</f>
        <v>0</v>
      </c>
      <c r="C57" s="6">
        <f t="shared" si="7"/>
        <v>0</v>
      </c>
      <c r="D57" s="6">
        <f t="shared" si="7"/>
        <v>0</v>
      </c>
      <c r="E57" s="123">
        <f t="shared" si="0"/>
        <v>0</v>
      </c>
    </row>
    <row r="58" spans="1:5" s="41" customFormat="1" ht="51.75" customHeight="1" x14ac:dyDescent="0.25">
      <c r="A58" s="18" t="s">
        <v>58</v>
      </c>
      <c r="B58" s="36"/>
      <c r="C58" s="125"/>
      <c r="D58" s="127"/>
      <c r="E58" s="123"/>
    </row>
    <row r="59" spans="1:5" s="39" customFormat="1" ht="30" customHeight="1" x14ac:dyDescent="0.25">
      <c r="A59" s="18" t="s">
        <v>59</v>
      </c>
      <c r="B59" s="36"/>
      <c r="C59" s="124"/>
      <c r="D59" s="126"/>
      <c r="E59" s="123"/>
    </row>
    <row r="60" spans="1:5" s="39" customFormat="1" ht="28.35" customHeight="1" x14ac:dyDescent="0.25">
      <c r="A60" s="18" t="s">
        <v>60</v>
      </c>
      <c r="B60" s="36"/>
      <c r="C60" s="124"/>
      <c r="D60" s="126"/>
      <c r="E60" s="123"/>
    </row>
    <row r="61" spans="1:5" s="41" customFormat="1" ht="28.35" customHeight="1" x14ac:dyDescent="0.25">
      <c r="A61" s="44" t="s">
        <v>10</v>
      </c>
      <c r="B61" s="6">
        <f>B62+B63+B64</f>
        <v>0</v>
      </c>
      <c r="C61" s="6">
        <f>C62+C63+C64</f>
        <v>0</v>
      </c>
      <c r="D61" s="6">
        <f>D62+D63+D64</f>
        <v>0</v>
      </c>
      <c r="E61" s="122">
        <f t="shared" si="0"/>
        <v>0</v>
      </c>
    </row>
    <row r="62" spans="1:5" s="41" customFormat="1" ht="47.25" x14ac:dyDescent="0.25">
      <c r="A62" s="18" t="s">
        <v>61</v>
      </c>
      <c r="B62" s="36"/>
      <c r="C62" s="125"/>
      <c r="D62" s="127"/>
      <c r="E62" s="123"/>
    </row>
    <row r="63" spans="1:5" s="39" customFormat="1" ht="31.5" x14ac:dyDescent="0.25">
      <c r="A63" s="18" t="s">
        <v>62</v>
      </c>
      <c r="B63" s="36"/>
      <c r="C63" s="125"/>
      <c r="D63" s="127"/>
      <c r="E63" s="123"/>
    </row>
    <row r="64" spans="1:5" s="41" customFormat="1" x14ac:dyDescent="0.25">
      <c r="A64" s="18" t="s">
        <v>63</v>
      </c>
      <c r="B64" s="36"/>
      <c r="C64" s="125"/>
      <c r="D64" s="127"/>
      <c r="E64" s="123"/>
    </row>
    <row r="65" spans="1:6" s="41" customFormat="1" ht="28.35" customHeight="1" x14ac:dyDescent="0.25">
      <c r="A65" s="32" t="s">
        <v>11</v>
      </c>
      <c r="B65" s="6">
        <f>B61+B57+B52+B40+B27+B20+B5</f>
        <v>112457611</v>
      </c>
      <c r="C65" s="6">
        <f>C61+C57+C52+C40+C27+C20+C5</f>
        <v>114349451</v>
      </c>
      <c r="D65" s="6">
        <f>D61+D57+D52+D40+D27+D20+D5</f>
        <v>117244216</v>
      </c>
      <c r="E65" s="122">
        <f t="shared" si="0"/>
        <v>1891840</v>
      </c>
    </row>
    <row r="66" spans="1:6" s="39" customFormat="1" ht="31.5" x14ac:dyDescent="0.25">
      <c r="A66" s="44" t="s">
        <v>64</v>
      </c>
      <c r="B66" s="6">
        <f>SUM(B67:B68)</f>
        <v>36000000</v>
      </c>
      <c r="C66" s="6">
        <f>SUM(C67:C68)</f>
        <v>37329264</v>
      </c>
      <c r="D66" s="6">
        <f>SUM(D67:D68)</f>
        <v>37329264</v>
      </c>
      <c r="E66" s="122">
        <f>D66-C66</f>
        <v>0</v>
      </c>
      <c r="F66" s="45"/>
    </row>
    <row r="67" spans="1:6" s="39" customFormat="1" ht="31.5" x14ac:dyDescent="0.25">
      <c r="A67" s="44" t="s">
        <v>149</v>
      </c>
      <c r="B67" s="38">
        <v>36000000</v>
      </c>
      <c r="C67" s="125">
        <v>37329264</v>
      </c>
      <c r="D67" s="125">
        <v>37329264</v>
      </c>
      <c r="E67" s="123">
        <f>D67-C67</f>
        <v>0</v>
      </c>
      <c r="F67" s="45"/>
    </row>
    <row r="68" spans="1:6" s="39" customFormat="1" ht="38.25" customHeight="1" x14ac:dyDescent="0.25">
      <c r="A68" s="18" t="s">
        <v>65</v>
      </c>
      <c r="B68" s="36"/>
      <c r="C68" s="125"/>
      <c r="D68" s="127"/>
      <c r="E68" s="123"/>
    </row>
    <row r="69" spans="1:6" s="41" customFormat="1" ht="48.75" customHeight="1" x14ac:dyDescent="0.25">
      <c r="A69" s="44" t="s">
        <v>66</v>
      </c>
      <c r="B69" s="6">
        <f>B70+B71</f>
        <v>405000</v>
      </c>
      <c r="C69" s="6">
        <f>C70+C71</f>
        <v>1058076</v>
      </c>
      <c r="D69" s="6">
        <f>D70+D71</f>
        <v>1058076</v>
      </c>
      <c r="E69" s="122">
        <f>D69-C69</f>
        <v>0</v>
      </c>
    </row>
    <row r="70" spans="1:6" s="41" customFormat="1" ht="19.5" customHeight="1" x14ac:dyDescent="0.25">
      <c r="A70" s="18" t="s">
        <v>146</v>
      </c>
      <c r="B70" s="36"/>
      <c r="C70" s="125"/>
      <c r="D70" s="127"/>
      <c r="E70" s="123"/>
    </row>
    <row r="71" spans="1:6" s="41" customFormat="1" ht="19.5" customHeight="1" x14ac:dyDescent="0.25">
      <c r="A71" s="33" t="s">
        <v>147</v>
      </c>
      <c r="B71" s="36">
        <v>405000</v>
      </c>
      <c r="C71" s="125">
        <f>B71+653076</f>
        <v>1058076</v>
      </c>
      <c r="D71" s="127">
        <f>C71</f>
        <v>1058076</v>
      </c>
      <c r="E71" s="123">
        <f>D71-C71</f>
        <v>0</v>
      </c>
    </row>
    <row r="72" spans="1:6" s="39" customFormat="1" ht="27" customHeight="1" x14ac:dyDescent="0.25">
      <c r="A72" s="44" t="s">
        <v>12</v>
      </c>
      <c r="B72" s="6">
        <f>B69+B66</f>
        <v>36405000</v>
      </c>
      <c r="C72" s="6">
        <f>C69+C66</f>
        <v>38387340</v>
      </c>
      <c r="D72" s="6">
        <f>D69+D66</f>
        <v>38387340</v>
      </c>
      <c r="E72" s="122">
        <f t="shared" ref="E72" si="8">C72-B72</f>
        <v>1982340</v>
      </c>
      <c r="F72" s="45">
        <f>E66+E69</f>
        <v>0</v>
      </c>
    </row>
    <row r="73" spans="1:6" s="39" customFormat="1" ht="28.35" customHeight="1" x14ac:dyDescent="0.25">
      <c r="A73" s="32" t="s">
        <v>67</v>
      </c>
      <c r="B73" s="6">
        <f>B65+B72</f>
        <v>148862611</v>
      </c>
      <c r="C73" s="6">
        <f>C65+C72</f>
        <v>152736791</v>
      </c>
      <c r="D73" s="6">
        <f>D65+D72</f>
        <v>155631556</v>
      </c>
      <c r="E73" s="122">
        <f>D73-C73</f>
        <v>2894765</v>
      </c>
      <c r="F73" s="45">
        <f>E5+E20+E27+E40+E57+E61+E66+E69</f>
        <v>2894765</v>
      </c>
    </row>
    <row r="74" spans="1:6" s="39" customFormat="1" ht="28.35" customHeight="1" x14ac:dyDescent="0.25">
      <c r="A74" s="46" t="s">
        <v>112</v>
      </c>
      <c r="B74" s="6">
        <v>6</v>
      </c>
      <c r="C74" s="124">
        <v>6</v>
      </c>
      <c r="D74" s="124">
        <v>6</v>
      </c>
      <c r="E74" s="122"/>
    </row>
    <row r="75" spans="1:6" s="39" customFormat="1" ht="28.35" customHeight="1" thickBot="1" x14ac:dyDescent="0.3">
      <c r="A75" s="47" t="s">
        <v>68</v>
      </c>
      <c r="B75" s="194">
        <v>4</v>
      </c>
      <c r="C75" s="128">
        <v>4</v>
      </c>
      <c r="D75" s="128">
        <v>4</v>
      </c>
      <c r="E75" s="129"/>
    </row>
    <row r="76" spans="1:6" x14ac:dyDescent="0.25">
      <c r="B76" s="22"/>
    </row>
    <row r="77" spans="1:6" x14ac:dyDescent="0.25">
      <c r="B77" s="22"/>
      <c r="C77" s="48"/>
      <c r="D77" s="48"/>
    </row>
    <row r="78" spans="1:6" x14ac:dyDescent="0.25">
      <c r="B78" s="22"/>
    </row>
  </sheetData>
  <sheetProtection selectLockedCells="1" selectUnlockedCells="1"/>
  <mergeCells count="1">
    <mergeCell ref="A3:E3"/>
  </mergeCells>
  <phoneticPr fontId="20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87" firstPageNumber="0" fitToHeight="0" orientation="portrait" r:id="rId1"/>
  <headerFooter alignWithMargins="0">
    <oddHeader xml:space="preserve">&amp;C&amp;"Times New Roman,Félkövér"&amp;12 2. melléklet a 9/2017. (IX. 30.) önkormányzati rendelethez
Az önkormányzat 2017. évi költségvetéséről szóló 1/2017. (II. 15.) önkormányzati rendelet 2. mellékletének helyébe a következő 2. melléklet lép:&amp;R
</oddHeader>
  </headerFooter>
  <rowBreaks count="2" manualBreakCount="2">
    <brk id="26" max="3" man="1"/>
    <brk id="51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view="pageLayout" zoomScaleNormal="100" workbookViewId="0">
      <selection sqref="A1:G1"/>
    </sheetView>
  </sheetViews>
  <sheetFormatPr defaultRowHeight="15.75" x14ac:dyDescent="0.25"/>
  <cols>
    <col min="1" max="1" width="70" style="85" customWidth="1"/>
    <col min="2" max="2" width="11.7109375" style="85" bestFit="1" customWidth="1"/>
    <col min="3" max="3" width="11" style="85" bestFit="1" customWidth="1"/>
    <col min="4" max="4" width="12.7109375" style="85" bestFit="1" customWidth="1"/>
    <col min="5" max="5" width="17.42578125" style="85" bestFit="1" customWidth="1"/>
    <col min="6" max="7" width="16.42578125" style="85" bestFit="1" customWidth="1"/>
    <col min="8" max="8" width="10.140625" style="85" bestFit="1" customWidth="1"/>
    <col min="9" max="256" width="9.140625" style="85"/>
    <col min="257" max="257" width="77.5703125" style="85" customWidth="1"/>
    <col min="258" max="258" width="8.42578125" style="85" customWidth="1"/>
    <col min="259" max="259" width="9.140625" style="85"/>
    <col min="260" max="260" width="11" style="85" bestFit="1" customWidth="1"/>
    <col min="261" max="261" width="15.28515625" style="85" customWidth="1"/>
    <col min="262" max="512" width="9.140625" style="85"/>
    <col min="513" max="513" width="77.5703125" style="85" customWidth="1"/>
    <col min="514" max="514" width="8.42578125" style="85" customWidth="1"/>
    <col min="515" max="515" width="9.140625" style="85"/>
    <col min="516" max="516" width="11" style="85" bestFit="1" customWidth="1"/>
    <col min="517" max="517" width="15.28515625" style="85" customWidth="1"/>
    <col min="518" max="768" width="9.140625" style="85"/>
    <col min="769" max="769" width="77.5703125" style="85" customWidth="1"/>
    <col min="770" max="770" width="8.42578125" style="85" customWidth="1"/>
    <col min="771" max="771" width="9.140625" style="85"/>
    <col min="772" max="772" width="11" style="85" bestFit="1" customWidth="1"/>
    <col min="773" max="773" width="15.28515625" style="85" customWidth="1"/>
    <col min="774" max="1024" width="9.140625" style="85"/>
    <col min="1025" max="1025" width="77.5703125" style="85" customWidth="1"/>
    <col min="1026" max="1026" width="8.42578125" style="85" customWidth="1"/>
    <col min="1027" max="1027" width="9.140625" style="85"/>
    <col min="1028" max="1028" width="11" style="85" bestFit="1" customWidth="1"/>
    <col min="1029" max="1029" width="15.28515625" style="85" customWidth="1"/>
    <col min="1030" max="1280" width="9.140625" style="85"/>
    <col min="1281" max="1281" width="77.5703125" style="85" customWidth="1"/>
    <col min="1282" max="1282" width="8.42578125" style="85" customWidth="1"/>
    <col min="1283" max="1283" width="9.140625" style="85"/>
    <col min="1284" max="1284" width="11" style="85" bestFit="1" customWidth="1"/>
    <col min="1285" max="1285" width="15.28515625" style="85" customWidth="1"/>
    <col min="1286" max="1536" width="9.140625" style="85"/>
    <col min="1537" max="1537" width="77.5703125" style="85" customWidth="1"/>
    <col min="1538" max="1538" width="8.42578125" style="85" customWidth="1"/>
    <col min="1539" max="1539" width="9.140625" style="85"/>
    <col min="1540" max="1540" width="11" style="85" bestFit="1" customWidth="1"/>
    <col min="1541" max="1541" width="15.28515625" style="85" customWidth="1"/>
    <col min="1542" max="1792" width="9.140625" style="85"/>
    <col min="1793" max="1793" width="77.5703125" style="85" customWidth="1"/>
    <col min="1794" max="1794" width="8.42578125" style="85" customWidth="1"/>
    <col min="1795" max="1795" width="9.140625" style="85"/>
    <col min="1796" max="1796" width="11" style="85" bestFit="1" customWidth="1"/>
    <col min="1797" max="1797" width="15.28515625" style="85" customWidth="1"/>
    <col min="1798" max="2048" width="9.140625" style="85"/>
    <col min="2049" max="2049" width="77.5703125" style="85" customWidth="1"/>
    <col min="2050" max="2050" width="8.42578125" style="85" customWidth="1"/>
    <col min="2051" max="2051" width="9.140625" style="85"/>
    <col min="2052" max="2052" width="11" style="85" bestFit="1" customWidth="1"/>
    <col min="2053" max="2053" width="15.28515625" style="85" customWidth="1"/>
    <col min="2054" max="2304" width="9.140625" style="85"/>
    <col min="2305" max="2305" width="77.5703125" style="85" customWidth="1"/>
    <col min="2306" max="2306" width="8.42578125" style="85" customWidth="1"/>
    <col min="2307" max="2307" width="9.140625" style="85"/>
    <col min="2308" max="2308" width="11" style="85" bestFit="1" customWidth="1"/>
    <col min="2309" max="2309" width="15.28515625" style="85" customWidth="1"/>
    <col min="2310" max="2560" width="9.140625" style="85"/>
    <col min="2561" max="2561" width="77.5703125" style="85" customWidth="1"/>
    <col min="2562" max="2562" width="8.42578125" style="85" customWidth="1"/>
    <col min="2563" max="2563" width="9.140625" style="85"/>
    <col min="2564" max="2564" width="11" style="85" bestFit="1" customWidth="1"/>
    <col min="2565" max="2565" width="15.28515625" style="85" customWidth="1"/>
    <col min="2566" max="2816" width="9.140625" style="85"/>
    <col min="2817" max="2817" width="77.5703125" style="85" customWidth="1"/>
    <col min="2818" max="2818" width="8.42578125" style="85" customWidth="1"/>
    <col min="2819" max="2819" width="9.140625" style="85"/>
    <col min="2820" max="2820" width="11" style="85" bestFit="1" customWidth="1"/>
    <col min="2821" max="2821" width="15.28515625" style="85" customWidth="1"/>
    <col min="2822" max="3072" width="9.140625" style="85"/>
    <col min="3073" max="3073" width="77.5703125" style="85" customWidth="1"/>
    <col min="3074" max="3074" width="8.42578125" style="85" customWidth="1"/>
    <col min="3075" max="3075" width="9.140625" style="85"/>
    <col min="3076" max="3076" width="11" style="85" bestFit="1" customWidth="1"/>
    <col min="3077" max="3077" width="15.28515625" style="85" customWidth="1"/>
    <col min="3078" max="3328" width="9.140625" style="85"/>
    <col min="3329" max="3329" width="77.5703125" style="85" customWidth="1"/>
    <col min="3330" max="3330" width="8.42578125" style="85" customWidth="1"/>
    <col min="3331" max="3331" width="9.140625" style="85"/>
    <col min="3332" max="3332" width="11" style="85" bestFit="1" customWidth="1"/>
    <col min="3333" max="3333" width="15.28515625" style="85" customWidth="1"/>
    <col min="3334" max="3584" width="9.140625" style="85"/>
    <col min="3585" max="3585" width="77.5703125" style="85" customWidth="1"/>
    <col min="3586" max="3586" width="8.42578125" style="85" customWidth="1"/>
    <col min="3587" max="3587" width="9.140625" style="85"/>
    <col min="3588" max="3588" width="11" style="85" bestFit="1" customWidth="1"/>
    <col min="3589" max="3589" width="15.28515625" style="85" customWidth="1"/>
    <col min="3590" max="3840" width="9.140625" style="85"/>
    <col min="3841" max="3841" width="77.5703125" style="85" customWidth="1"/>
    <col min="3842" max="3842" width="8.42578125" style="85" customWidth="1"/>
    <col min="3843" max="3843" width="9.140625" style="85"/>
    <col min="3844" max="3844" width="11" style="85" bestFit="1" customWidth="1"/>
    <col min="3845" max="3845" width="15.28515625" style="85" customWidth="1"/>
    <col min="3846" max="4096" width="9.140625" style="85"/>
    <col min="4097" max="4097" width="77.5703125" style="85" customWidth="1"/>
    <col min="4098" max="4098" width="8.42578125" style="85" customWidth="1"/>
    <col min="4099" max="4099" width="9.140625" style="85"/>
    <col min="4100" max="4100" width="11" style="85" bestFit="1" customWidth="1"/>
    <col min="4101" max="4101" width="15.28515625" style="85" customWidth="1"/>
    <col min="4102" max="4352" width="9.140625" style="85"/>
    <col min="4353" max="4353" width="77.5703125" style="85" customWidth="1"/>
    <col min="4354" max="4354" width="8.42578125" style="85" customWidth="1"/>
    <col min="4355" max="4355" width="9.140625" style="85"/>
    <col min="4356" max="4356" width="11" style="85" bestFit="1" customWidth="1"/>
    <col min="4357" max="4357" width="15.28515625" style="85" customWidth="1"/>
    <col min="4358" max="4608" width="9.140625" style="85"/>
    <col min="4609" max="4609" width="77.5703125" style="85" customWidth="1"/>
    <col min="4610" max="4610" width="8.42578125" style="85" customWidth="1"/>
    <col min="4611" max="4611" width="9.140625" style="85"/>
    <col min="4612" max="4612" width="11" style="85" bestFit="1" customWidth="1"/>
    <col min="4613" max="4613" width="15.28515625" style="85" customWidth="1"/>
    <col min="4614" max="4864" width="9.140625" style="85"/>
    <col min="4865" max="4865" width="77.5703125" style="85" customWidth="1"/>
    <col min="4866" max="4866" width="8.42578125" style="85" customWidth="1"/>
    <col min="4867" max="4867" width="9.140625" style="85"/>
    <col min="4868" max="4868" width="11" style="85" bestFit="1" customWidth="1"/>
    <col min="4869" max="4869" width="15.28515625" style="85" customWidth="1"/>
    <col min="4870" max="5120" width="9.140625" style="85"/>
    <col min="5121" max="5121" width="77.5703125" style="85" customWidth="1"/>
    <col min="5122" max="5122" width="8.42578125" style="85" customWidth="1"/>
    <col min="5123" max="5123" width="9.140625" style="85"/>
    <col min="5124" max="5124" width="11" style="85" bestFit="1" customWidth="1"/>
    <col min="5125" max="5125" width="15.28515625" style="85" customWidth="1"/>
    <col min="5126" max="5376" width="9.140625" style="85"/>
    <col min="5377" max="5377" width="77.5703125" style="85" customWidth="1"/>
    <col min="5378" max="5378" width="8.42578125" style="85" customWidth="1"/>
    <col min="5379" max="5379" width="9.140625" style="85"/>
    <col min="5380" max="5380" width="11" style="85" bestFit="1" customWidth="1"/>
    <col min="5381" max="5381" width="15.28515625" style="85" customWidth="1"/>
    <col min="5382" max="5632" width="9.140625" style="85"/>
    <col min="5633" max="5633" width="77.5703125" style="85" customWidth="1"/>
    <col min="5634" max="5634" width="8.42578125" style="85" customWidth="1"/>
    <col min="5635" max="5635" width="9.140625" style="85"/>
    <col min="5636" max="5636" width="11" style="85" bestFit="1" customWidth="1"/>
    <col min="5637" max="5637" width="15.28515625" style="85" customWidth="1"/>
    <col min="5638" max="5888" width="9.140625" style="85"/>
    <col min="5889" max="5889" width="77.5703125" style="85" customWidth="1"/>
    <col min="5890" max="5890" width="8.42578125" style="85" customWidth="1"/>
    <col min="5891" max="5891" width="9.140625" style="85"/>
    <col min="5892" max="5892" width="11" style="85" bestFit="1" customWidth="1"/>
    <col min="5893" max="5893" width="15.28515625" style="85" customWidth="1"/>
    <col min="5894" max="6144" width="9.140625" style="85"/>
    <col min="6145" max="6145" width="77.5703125" style="85" customWidth="1"/>
    <col min="6146" max="6146" width="8.42578125" style="85" customWidth="1"/>
    <col min="6147" max="6147" width="9.140625" style="85"/>
    <col min="6148" max="6148" width="11" style="85" bestFit="1" customWidth="1"/>
    <col min="6149" max="6149" width="15.28515625" style="85" customWidth="1"/>
    <col min="6150" max="6400" width="9.140625" style="85"/>
    <col min="6401" max="6401" width="77.5703125" style="85" customWidth="1"/>
    <col min="6402" max="6402" width="8.42578125" style="85" customWidth="1"/>
    <col min="6403" max="6403" width="9.140625" style="85"/>
    <col min="6404" max="6404" width="11" style="85" bestFit="1" customWidth="1"/>
    <col min="6405" max="6405" width="15.28515625" style="85" customWidth="1"/>
    <col min="6406" max="6656" width="9.140625" style="85"/>
    <col min="6657" max="6657" width="77.5703125" style="85" customWidth="1"/>
    <col min="6658" max="6658" width="8.42578125" style="85" customWidth="1"/>
    <col min="6659" max="6659" width="9.140625" style="85"/>
    <col min="6660" max="6660" width="11" style="85" bestFit="1" customWidth="1"/>
    <col min="6661" max="6661" width="15.28515625" style="85" customWidth="1"/>
    <col min="6662" max="6912" width="9.140625" style="85"/>
    <col min="6913" max="6913" width="77.5703125" style="85" customWidth="1"/>
    <col min="6914" max="6914" width="8.42578125" style="85" customWidth="1"/>
    <col min="6915" max="6915" width="9.140625" style="85"/>
    <col min="6916" max="6916" width="11" style="85" bestFit="1" customWidth="1"/>
    <col min="6917" max="6917" width="15.28515625" style="85" customWidth="1"/>
    <col min="6918" max="7168" width="9.140625" style="85"/>
    <col min="7169" max="7169" width="77.5703125" style="85" customWidth="1"/>
    <col min="7170" max="7170" width="8.42578125" style="85" customWidth="1"/>
    <col min="7171" max="7171" width="9.140625" style="85"/>
    <col min="7172" max="7172" width="11" style="85" bestFit="1" customWidth="1"/>
    <col min="7173" max="7173" width="15.28515625" style="85" customWidth="1"/>
    <col min="7174" max="7424" width="9.140625" style="85"/>
    <col min="7425" max="7425" width="77.5703125" style="85" customWidth="1"/>
    <col min="7426" max="7426" width="8.42578125" style="85" customWidth="1"/>
    <col min="7427" max="7427" width="9.140625" style="85"/>
    <col min="7428" max="7428" width="11" style="85" bestFit="1" customWidth="1"/>
    <col min="7429" max="7429" width="15.28515625" style="85" customWidth="1"/>
    <col min="7430" max="7680" width="9.140625" style="85"/>
    <col min="7681" max="7681" width="77.5703125" style="85" customWidth="1"/>
    <col min="7682" max="7682" width="8.42578125" style="85" customWidth="1"/>
    <col min="7683" max="7683" width="9.140625" style="85"/>
    <col min="7684" max="7684" width="11" style="85" bestFit="1" customWidth="1"/>
    <col min="7685" max="7685" width="15.28515625" style="85" customWidth="1"/>
    <col min="7686" max="7936" width="9.140625" style="85"/>
    <col min="7937" max="7937" width="77.5703125" style="85" customWidth="1"/>
    <col min="7938" max="7938" width="8.42578125" style="85" customWidth="1"/>
    <col min="7939" max="7939" width="9.140625" style="85"/>
    <col min="7940" max="7940" width="11" style="85" bestFit="1" customWidth="1"/>
    <col min="7941" max="7941" width="15.28515625" style="85" customWidth="1"/>
    <col min="7942" max="8192" width="9.140625" style="85"/>
    <col min="8193" max="8193" width="77.5703125" style="85" customWidth="1"/>
    <col min="8194" max="8194" width="8.42578125" style="85" customWidth="1"/>
    <col min="8195" max="8195" width="9.140625" style="85"/>
    <col min="8196" max="8196" width="11" style="85" bestFit="1" customWidth="1"/>
    <col min="8197" max="8197" width="15.28515625" style="85" customWidth="1"/>
    <col min="8198" max="8448" width="9.140625" style="85"/>
    <col min="8449" max="8449" width="77.5703125" style="85" customWidth="1"/>
    <col min="8450" max="8450" width="8.42578125" style="85" customWidth="1"/>
    <col min="8451" max="8451" width="9.140625" style="85"/>
    <col min="8452" max="8452" width="11" style="85" bestFit="1" customWidth="1"/>
    <col min="8453" max="8453" width="15.28515625" style="85" customWidth="1"/>
    <col min="8454" max="8704" width="9.140625" style="85"/>
    <col min="8705" max="8705" width="77.5703125" style="85" customWidth="1"/>
    <col min="8706" max="8706" width="8.42578125" style="85" customWidth="1"/>
    <col min="8707" max="8707" width="9.140625" style="85"/>
    <col min="8708" max="8708" width="11" style="85" bestFit="1" customWidth="1"/>
    <col min="8709" max="8709" width="15.28515625" style="85" customWidth="1"/>
    <col min="8710" max="8960" width="9.140625" style="85"/>
    <col min="8961" max="8961" width="77.5703125" style="85" customWidth="1"/>
    <col min="8962" max="8962" width="8.42578125" style="85" customWidth="1"/>
    <col min="8963" max="8963" width="9.140625" style="85"/>
    <col min="8964" max="8964" width="11" style="85" bestFit="1" customWidth="1"/>
    <col min="8965" max="8965" width="15.28515625" style="85" customWidth="1"/>
    <col min="8966" max="9216" width="9.140625" style="85"/>
    <col min="9217" max="9217" width="77.5703125" style="85" customWidth="1"/>
    <col min="9218" max="9218" width="8.42578125" style="85" customWidth="1"/>
    <col min="9219" max="9219" width="9.140625" style="85"/>
    <col min="9220" max="9220" width="11" style="85" bestFit="1" customWidth="1"/>
    <col min="9221" max="9221" width="15.28515625" style="85" customWidth="1"/>
    <col min="9222" max="9472" width="9.140625" style="85"/>
    <col min="9473" max="9473" width="77.5703125" style="85" customWidth="1"/>
    <col min="9474" max="9474" width="8.42578125" style="85" customWidth="1"/>
    <col min="9475" max="9475" width="9.140625" style="85"/>
    <col min="9476" max="9476" width="11" style="85" bestFit="1" customWidth="1"/>
    <col min="9477" max="9477" width="15.28515625" style="85" customWidth="1"/>
    <col min="9478" max="9728" width="9.140625" style="85"/>
    <col min="9729" max="9729" width="77.5703125" style="85" customWidth="1"/>
    <col min="9730" max="9730" width="8.42578125" style="85" customWidth="1"/>
    <col min="9731" max="9731" width="9.140625" style="85"/>
    <col min="9732" max="9732" width="11" style="85" bestFit="1" customWidth="1"/>
    <col min="9733" max="9733" width="15.28515625" style="85" customWidth="1"/>
    <col min="9734" max="9984" width="9.140625" style="85"/>
    <col min="9985" max="9985" width="77.5703125" style="85" customWidth="1"/>
    <col min="9986" max="9986" width="8.42578125" style="85" customWidth="1"/>
    <col min="9987" max="9987" width="9.140625" style="85"/>
    <col min="9988" max="9988" width="11" style="85" bestFit="1" customWidth="1"/>
    <col min="9989" max="9989" width="15.28515625" style="85" customWidth="1"/>
    <col min="9990" max="10240" width="9.140625" style="85"/>
    <col min="10241" max="10241" width="77.5703125" style="85" customWidth="1"/>
    <col min="10242" max="10242" width="8.42578125" style="85" customWidth="1"/>
    <col min="10243" max="10243" width="9.140625" style="85"/>
    <col min="10244" max="10244" width="11" style="85" bestFit="1" customWidth="1"/>
    <col min="10245" max="10245" width="15.28515625" style="85" customWidth="1"/>
    <col min="10246" max="10496" width="9.140625" style="85"/>
    <col min="10497" max="10497" width="77.5703125" style="85" customWidth="1"/>
    <col min="10498" max="10498" width="8.42578125" style="85" customWidth="1"/>
    <col min="10499" max="10499" width="9.140625" style="85"/>
    <col min="10500" max="10500" width="11" style="85" bestFit="1" customWidth="1"/>
    <col min="10501" max="10501" width="15.28515625" style="85" customWidth="1"/>
    <col min="10502" max="10752" width="9.140625" style="85"/>
    <col min="10753" max="10753" width="77.5703125" style="85" customWidth="1"/>
    <col min="10754" max="10754" width="8.42578125" style="85" customWidth="1"/>
    <col min="10755" max="10755" width="9.140625" style="85"/>
    <col min="10756" max="10756" width="11" style="85" bestFit="1" customWidth="1"/>
    <col min="10757" max="10757" width="15.28515625" style="85" customWidth="1"/>
    <col min="10758" max="11008" width="9.140625" style="85"/>
    <col min="11009" max="11009" width="77.5703125" style="85" customWidth="1"/>
    <col min="11010" max="11010" width="8.42578125" style="85" customWidth="1"/>
    <col min="11011" max="11011" width="9.140625" style="85"/>
    <col min="11012" max="11012" width="11" style="85" bestFit="1" customWidth="1"/>
    <col min="11013" max="11013" width="15.28515625" style="85" customWidth="1"/>
    <col min="11014" max="11264" width="9.140625" style="85"/>
    <col min="11265" max="11265" width="77.5703125" style="85" customWidth="1"/>
    <col min="11266" max="11266" width="8.42578125" style="85" customWidth="1"/>
    <col min="11267" max="11267" width="9.140625" style="85"/>
    <col min="11268" max="11268" width="11" style="85" bestFit="1" customWidth="1"/>
    <col min="11269" max="11269" width="15.28515625" style="85" customWidth="1"/>
    <col min="11270" max="11520" width="9.140625" style="85"/>
    <col min="11521" max="11521" width="77.5703125" style="85" customWidth="1"/>
    <col min="11522" max="11522" width="8.42578125" style="85" customWidth="1"/>
    <col min="11523" max="11523" width="9.140625" style="85"/>
    <col min="11524" max="11524" width="11" style="85" bestFit="1" customWidth="1"/>
    <col min="11525" max="11525" width="15.28515625" style="85" customWidth="1"/>
    <col min="11526" max="11776" width="9.140625" style="85"/>
    <col min="11777" max="11777" width="77.5703125" style="85" customWidth="1"/>
    <col min="11778" max="11778" width="8.42578125" style="85" customWidth="1"/>
    <col min="11779" max="11779" width="9.140625" style="85"/>
    <col min="11780" max="11780" width="11" style="85" bestFit="1" customWidth="1"/>
    <col min="11781" max="11781" width="15.28515625" style="85" customWidth="1"/>
    <col min="11782" max="12032" width="9.140625" style="85"/>
    <col min="12033" max="12033" width="77.5703125" style="85" customWidth="1"/>
    <col min="12034" max="12034" width="8.42578125" style="85" customWidth="1"/>
    <col min="12035" max="12035" width="9.140625" style="85"/>
    <col min="12036" max="12036" width="11" style="85" bestFit="1" customWidth="1"/>
    <col min="12037" max="12037" width="15.28515625" style="85" customWidth="1"/>
    <col min="12038" max="12288" width="9.140625" style="85"/>
    <col min="12289" max="12289" width="77.5703125" style="85" customWidth="1"/>
    <col min="12290" max="12290" width="8.42578125" style="85" customWidth="1"/>
    <col min="12291" max="12291" width="9.140625" style="85"/>
    <col min="12292" max="12292" width="11" style="85" bestFit="1" customWidth="1"/>
    <col min="12293" max="12293" width="15.28515625" style="85" customWidth="1"/>
    <col min="12294" max="12544" width="9.140625" style="85"/>
    <col min="12545" max="12545" width="77.5703125" style="85" customWidth="1"/>
    <col min="12546" max="12546" width="8.42578125" style="85" customWidth="1"/>
    <col min="12547" max="12547" width="9.140625" style="85"/>
    <col min="12548" max="12548" width="11" style="85" bestFit="1" customWidth="1"/>
    <col min="12549" max="12549" width="15.28515625" style="85" customWidth="1"/>
    <col min="12550" max="12800" width="9.140625" style="85"/>
    <col min="12801" max="12801" width="77.5703125" style="85" customWidth="1"/>
    <col min="12802" max="12802" width="8.42578125" style="85" customWidth="1"/>
    <col min="12803" max="12803" width="9.140625" style="85"/>
    <col min="12804" max="12804" width="11" style="85" bestFit="1" customWidth="1"/>
    <col min="12805" max="12805" width="15.28515625" style="85" customWidth="1"/>
    <col min="12806" max="13056" width="9.140625" style="85"/>
    <col min="13057" max="13057" width="77.5703125" style="85" customWidth="1"/>
    <col min="13058" max="13058" width="8.42578125" style="85" customWidth="1"/>
    <col min="13059" max="13059" width="9.140625" style="85"/>
    <col min="13060" max="13060" width="11" style="85" bestFit="1" customWidth="1"/>
    <col min="13061" max="13061" width="15.28515625" style="85" customWidth="1"/>
    <col min="13062" max="13312" width="9.140625" style="85"/>
    <col min="13313" max="13313" width="77.5703125" style="85" customWidth="1"/>
    <col min="13314" max="13314" width="8.42578125" style="85" customWidth="1"/>
    <col min="13315" max="13315" width="9.140625" style="85"/>
    <col min="13316" max="13316" width="11" style="85" bestFit="1" customWidth="1"/>
    <col min="13317" max="13317" width="15.28515625" style="85" customWidth="1"/>
    <col min="13318" max="13568" width="9.140625" style="85"/>
    <col min="13569" max="13569" width="77.5703125" style="85" customWidth="1"/>
    <col min="13570" max="13570" width="8.42578125" style="85" customWidth="1"/>
    <col min="13571" max="13571" width="9.140625" style="85"/>
    <col min="13572" max="13572" width="11" style="85" bestFit="1" customWidth="1"/>
    <col min="13573" max="13573" width="15.28515625" style="85" customWidth="1"/>
    <col min="13574" max="13824" width="9.140625" style="85"/>
    <col min="13825" max="13825" width="77.5703125" style="85" customWidth="1"/>
    <col min="13826" max="13826" width="8.42578125" style="85" customWidth="1"/>
    <col min="13827" max="13827" width="9.140625" style="85"/>
    <col min="13828" max="13828" width="11" style="85" bestFit="1" customWidth="1"/>
    <col min="13829" max="13829" width="15.28515625" style="85" customWidth="1"/>
    <col min="13830" max="14080" width="9.140625" style="85"/>
    <col min="14081" max="14081" width="77.5703125" style="85" customWidth="1"/>
    <col min="14082" max="14082" width="8.42578125" style="85" customWidth="1"/>
    <col min="14083" max="14083" width="9.140625" style="85"/>
    <col min="14084" max="14084" width="11" style="85" bestFit="1" customWidth="1"/>
    <col min="14085" max="14085" width="15.28515625" style="85" customWidth="1"/>
    <col min="14086" max="14336" width="9.140625" style="85"/>
    <col min="14337" max="14337" width="77.5703125" style="85" customWidth="1"/>
    <col min="14338" max="14338" width="8.42578125" style="85" customWidth="1"/>
    <col min="14339" max="14339" width="9.140625" style="85"/>
    <col min="14340" max="14340" width="11" style="85" bestFit="1" customWidth="1"/>
    <col min="14341" max="14341" width="15.28515625" style="85" customWidth="1"/>
    <col min="14342" max="14592" width="9.140625" style="85"/>
    <col min="14593" max="14593" width="77.5703125" style="85" customWidth="1"/>
    <col min="14594" max="14594" width="8.42578125" style="85" customWidth="1"/>
    <col min="14595" max="14595" width="9.140625" style="85"/>
    <col min="14596" max="14596" width="11" style="85" bestFit="1" customWidth="1"/>
    <col min="14597" max="14597" width="15.28515625" style="85" customWidth="1"/>
    <col min="14598" max="14848" width="9.140625" style="85"/>
    <col min="14849" max="14849" width="77.5703125" style="85" customWidth="1"/>
    <col min="14850" max="14850" width="8.42578125" style="85" customWidth="1"/>
    <col min="14851" max="14851" width="9.140625" style="85"/>
    <col min="14852" max="14852" width="11" style="85" bestFit="1" customWidth="1"/>
    <col min="14853" max="14853" width="15.28515625" style="85" customWidth="1"/>
    <col min="14854" max="15104" width="9.140625" style="85"/>
    <col min="15105" max="15105" width="77.5703125" style="85" customWidth="1"/>
    <col min="15106" max="15106" width="8.42578125" style="85" customWidth="1"/>
    <col min="15107" max="15107" width="9.140625" style="85"/>
    <col min="15108" max="15108" width="11" style="85" bestFit="1" customWidth="1"/>
    <col min="15109" max="15109" width="15.28515625" style="85" customWidth="1"/>
    <col min="15110" max="15360" width="9.140625" style="85"/>
    <col min="15361" max="15361" width="77.5703125" style="85" customWidth="1"/>
    <col min="15362" max="15362" width="8.42578125" style="85" customWidth="1"/>
    <col min="15363" max="15363" width="9.140625" style="85"/>
    <col min="15364" max="15364" width="11" style="85" bestFit="1" customWidth="1"/>
    <col min="15365" max="15365" width="15.28515625" style="85" customWidth="1"/>
    <col min="15366" max="15616" width="9.140625" style="85"/>
    <col min="15617" max="15617" width="77.5703125" style="85" customWidth="1"/>
    <col min="15618" max="15618" width="8.42578125" style="85" customWidth="1"/>
    <col min="15619" max="15619" width="9.140625" style="85"/>
    <col min="15620" max="15620" width="11" style="85" bestFit="1" customWidth="1"/>
    <col min="15621" max="15621" width="15.28515625" style="85" customWidth="1"/>
    <col min="15622" max="15872" width="9.140625" style="85"/>
    <col min="15873" max="15873" width="77.5703125" style="85" customWidth="1"/>
    <col min="15874" max="15874" width="8.42578125" style="85" customWidth="1"/>
    <col min="15875" max="15875" width="9.140625" style="85"/>
    <col min="15876" max="15876" width="11" style="85" bestFit="1" customWidth="1"/>
    <col min="15877" max="15877" width="15.28515625" style="85" customWidth="1"/>
    <col min="15878" max="16128" width="9.140625" style="85"/>
    <col min="16129" max="16129" width="77.5703125" style="85" customWidth="1"/>
    <col min="16130" max="16130" width="8.42578125" style="85" customWidth="1"/>
    <col min="16131" max="16131" width="9.140625" style="85"/>
    <col min="16132" max="16132" width="11" style="85" bestFit="1" customWidth="1"/>
    <col min="16133" max="16133" width="15.28515625" style="85" customWidth="1"/>
    <col min="16134" max="16384" width="9.140625" style="85"/>
  </cols>
  <sheetData>
    <row r="1" spans="1:7" ht="31.5" customHeight="1" x14ac:dyDescent="0.25">
      <c r="A1" s="366" t="s">
        <v>193</v>
      </c>
      <c r="B1" s="366"/>
      <c r="C1" s="366"/>
      <c r="D1" s="366"/>
      <c r="E1" s="366"/>
      <c r="F1" s="366"/>
      <c r="G1" s="366"/>
    </row>
    <row r="2" spans="1:7" ht="16.5" thickBot="1" x14ac:dyDescent="0.3"/>
    <row r="3" spans="1:7" x14ac:dyDescent="0.25">
      <c r="A3" s="369" t="s">
        <v>101</v>
      </c>
      <c r="B3" s="371" t="s">
        <v>209</v>
      </c>
      <c r="C3" s="373" t="s">
        <v>208</v>
      </c>
      <c r="D3" s="375" t="s">
        <v>207</v>
      </c>
      <c r="E3" s="375" t="s">
        <v>206</v>
      </c>
      <c r="F3" s="367" t="s">
        <v>197</v>
      </c>
      <c r="G3" s="364" t="s">
        <v>196</v>
      </c>
    </row>
    <row r="4" spans="1:7" ht="16.5" thickBot="1" x14ac:dyDescent="0.3">
      <c r="A4" s="370"/>
      <c r="B4" s="372"/>
      <c r="C4" s="374"/>
      <c r="D4" s="376"/>
      <c r="E4" s="376"/>
      <c r="F4" s="368"/>
      <c r="G4" s="365"/>
    </row>
    <row r="5" spans="1:7" x14ac:dyDescent="0.25">
      <c r="A5" s="257" t="s">
        <v>108</v>
      </c>
      <c r="B5" s="258"/>
      <c r="C5" s="259"/>
      <c r="D5" s="260"/>
      <c r="E5" s="261">
        <f>E6+E28</f>
        <v>12712111</v>
      </c>
      <c r="F5" s="261">
        <f>F6+F28</f>
        <v>12712111</v>
      </c>
      <c r="G5" s="262">
        <f>G6+G28</f>
        <v>13712111</v>
      </c>
    </row>
    <row r="6" spans="1:7" x14ac:dyDescent="0.25">
      <c r="A6" s="167" t="s">
        <v>2</v>
      </c>
      <c r="B6" s="168"/>
      <c r="C6" s="169"/>
      <c r="D6" s="170"/>
      <c r="E6" s="171">
        <f>E7+E10+E20+E21+E23+E24+E26+E27</f>
        <v>12712111</v>
      </c>
      <c r="F6" s="171">
        <f>F7+F10+F20+F21+F23+F24+F26+F27</f>
        <v>12712111</v>
      </c>
      <c r="G6" s="248">
        <f>G7+G10+G20+G21+G23+G24+G26+G27+G30</f>
        <v>13712111</v>
      </c>
    </row>
    <row r="7" spans="1:7" x14ac:dyDescent="0.25">
      <c r="A7" s="167" t="s">
        <v>69</v>
      </c>
      <c r="B7" s="168"/>
      <c r="C7" s="172"/>
      <c r="D7" s="170"/>
      <c r="E7" s="166">
        <f>E8</f>
        <v>0</v>
      </c>
      <c r="F7" s="166">
        <f>F8</f>
        <v>0</v>
      </c>
      <c r="G7" s="93">
        <f>G8</f>
        <v>0</v>
      </c>
    </row>
    <row r="8" spans="1:7" x14ac:dyDescent="0.25">
      <c r="A8" s="173" t="s">
        <v>70</v>
      </c>
      <c r="B8" s="168"/>
      <c r="C8" s="174"/>
      <c r="D8" s="175">
        <v>4580000</v>
      </c>
      <c r="E8" s="95">
        <f>C8*D8</f>
        <v>0</v>
      </c>
      <c r="F8" s="95">
        <f>D8*E8</f>
        <v>0</v>
      </c>
      <c r="G8" s="96">
        <f>E8*F8</f>
        <v>0</v>
      </c>
    </row>
    <row r="9" spans="1:7" x14ac:dyDescent="0.25">
      <c r="A9" s="173" t="s">
        <v>72</v>
      </c>
      <c r="B9" s="168"/>
      <c r="C9" s="172"/>
      <c r="D9" s="170"/>
      <c r="E9" s="176">
        <v>0</v>
      </c>
      <c r="F9" s="116">
        <v>0</v>
      </c>
      <c r="G9" s="249">
        <v>0</v>
      </c>
    </row>
    <row r="10" spans="1:7" x14ac:dyDescent="0.25">
      <c r="A10" s="177" t="s">
        <v>114</v>
      </c>
      <c r="B10" s="168"/>
      <c r="C10" s="172"/>
      <c r="D10" s="170"/>
      <c r="E10" s="166">
        <f>E11+E12+E13+E14+E15+E16+E17+E18</f>
        <v>7454750</v>
      </c>
      <c r="F10" s="166">
        <f>F11+F12+F13+F14+F15+F16+F17+F18</f>
        <v>7454750</v>
      </c>
      <c r="G10" s="93">
        <f>G11+G12+G13+G14+G15+G16+G17+G18</f>
        <v>7454750</v>
      </c>
    </row>
    <row r="11" spans="1:7" x14ac:dyDescent="0.25">
      <c r="A11" s="178" t="s">
        <v>71</v>
      </c>
      <c r="B11" s="168"/>
      <c r="C11" s="172"/>
      <c r="D11" s="170"/>
      <c r="E11" s="95">
        <v>787190</v>
      </c>
      <c r="F11" s="116">
        <v>787190</v>
      </c>
      <c r="G11" s="249">
        <v>787190</v>
      </c>
    </row>
    <row r="12" spans="1:7" x14ac:dyDescent="0.25">
      <c r="A12" s="178" t="s">
        <v>72</v>
      </c>
      <c r="B12" s="168"/>
      <c r="C12" s="172"/>
      <c r="D12" s="170"/>
      <c r="E12" s="176"/>
      <c r="F12" s="116"/>
      <c r="G12" s="249"/>
    </row>
    <row r="13" spans="1:7" x14ac:dyDescent="0.25">
      <c r="A13" s="178" t="s">
        <v>73</v>
      </c>
      <c r="B13" s="168"/>
      <c r="C13" s="169"/>
      <c r="D13" s="170"/>
      <c r="E13" s="95">
        <v>5696000</v>
      </c>
      <c r="F13" s="116">
        <v>5696000</v>
      </c>
      <c r="G13" s="249">
        <v>5696000</v>
      </c>
    </row>
    <row r="14" spans="1:7" x14ac:dyDescent="0.25">
      <c r="A14" s="178" t="s">
        <v>72</v>
      </c>
      <c r="B14" s="168"/>
      <c r="C14" s="169"/>
      <c r="D14" s="170"/>
      <c r="E14" s="176"/>
      <c r="F14" s="116"/>
      <c r="G14" s="249"/>
    </row>
    <row r="15" spans="1:7" x14ac:dyDescent="0.25">
      <c r="A15" s="178" t="s">
        <v>74</v>
      </c>
      <c r="B15" s="168"/>
      <c r="C15" s="169"/>
      <c r="D15" s="170"/>
      <c r="E15" s="95">
        <v>0</v>
      </c>
      <c r="F15" s="116"/>
      <c r="G15" s="249"/>
    </row>
    <row r="16" spans="1:7" x14ac:dyDescent="0.25">
      <c r="A16" s="178" t="s">
        <v>72</v>
      </c>
      <c r="B16" s="168"/>
      <c r="C16" s="169"/>
      <c r="D16" s="170"/>
      <c r="E16" s="176"/>
      <c r="F16" s="116"/>
      <c r="G16" s="249"/>
    </row>
    <row r="17" spans="1:7" x14ac:dyDescent="0.25">
      <c r="A17" s="178" t="s">
        <v>75</v>
      </c>
      <c r="B17" s="168"/>
      <c r="C17" s="169"/>
      <c r="D17" s="170"/>
      <c r="E17" s="95">
        <v>971560</v>
      </c>
      <c r="F17" s="116">
        <v>971560</v>
      </c>
      <c r="G17" s="249">
        <v>971560</v>
      </c>
    </row>
    <row r="18" spans="1:7" x14ac:dyDescent="0.25">
      <c r="A18" s="178" t="s">
        <v>72</v>
      </c>
      <c r="B18" s="168"/>
      <c r="C18" s="169"/>
      <c r="D18" s="170"/>
      <c r="E18" s="176"/>
      <c r="F18" s="116"/>
      <c r="G18" s="249"/>
    </row>
    <row r="19" spans="1:7" x14ac:dyDescent="0.25">
      <c r="A19" s="167" t="s">
        <v>115</v>
      </c>
      <c r="B19" s="168"/>
      <c r="C19" s="169"/>
      <c r="D19" s="170"/>
      <c r="E19" s="171">
        <f>E20+E21</f>
        <v>4892461</v>
      </c>
      <c r="F19" s="171">
        <f>F20+F21</f>
        <v>4892461</v>
      </c>
      <c r="G19" s="248">
        <f>G20+G21</f>
        <v>4892461</v>
      </c>
    </row>
    <row r="20" spans="1:7" x14ac:dyDescent="0.25">
      <c r="A20" s="173" t="s">
        <v>104</v>
      </c>
      <c r="B20" s="179"/>
      <c r="C20" s="179"/>
      <c r="D20" s="175">
        <v>2700</v>
      </c>
      <c r="E20" s="95">
        <v>5000000</v>
      </c>
      <c r="F20" s="116">
        <v>5000000</v>
      </c>
      <c r="G20" s="249">
        <v>5000000</v>
      </c>
    </row>
    <row r="21" spans="1:7" x14ac:dyDescent="0.25">
      <c r="A21" s="178" t="s">
        <v>72</v>
      </c>
      <c r="B21" s="168"/>
      <c r="C21" s="180"/>
      <c r="D21" s="175"/>
      <c r="E21" s="95">
        <v>-107539</v>
      </c>
      <c r="F21" s="116">
        <v>-107539</v>
      </c>
      <c r="G21" s="249">
        <v>-107539</v>
      </c>
    </row>
    <row r="22" spans="1:7" x14ac:dyDescent="0.25">
      <c r="A22" s="167" t="s">
        <v>116</v>
      </c>
      <c r="B22" s="168"/>
      <c r="C22" s="180"/>
      <c r="D22" s="175"/>
      <c r="E22" s="166">
        <f>E23+E24</f>
        <v>45900</v>
      </c>
      <c r="F22" s="166">
        <f>F23+F24</f>
        <v>45900</v>
      </c>
      <c r="G22" s="93">
        <f>G23+G24</f>
        <v>45900</v>
      </c>
    </row>
    <row r="23" spans="1:7" x14ac:dyDescent="0.25">
      <c r="A23" s="173" t="s">
        <v>81</v>
      </c>
      <c r="B23" s="168"/>
      <c r="C23" s="180"/>
      <c r="D23" s="181">
        <v>2550</v>
      </c>
      <c r="E23" s="182">
        <v>45900</v>
      </c>
      <c r="F23" s="116">
        <v>45900</v>
      </c>
      <c r="G23" s="249">
        <v>45900</v>
      </c>
    </row>
    <row r="24" spans="1:7" x14ac:dyDescent="0.25">
      <c r="A24" s="178" t="s">
        <v>72</v>
      </c>
      <c r="B24" s="168"/>
      <c r="C24" s="169"/>
      <c r="D24" s="183"/>
      <c r="E24" s="180"/>
      <c r="F24" s="116"/>
      <c r="G24" s="249"/>
    </row>
    <row r="25" spans="1:7" x14ac:dyDescent="0.25">
      <c r="A25" s="184" t="s">
        <v>117</v>
      </c>
      <c r="B25" s="168"/>
      <c r="C25" s="180"/>
      <c r="D25" s="175"/>
      <c r="E25" s="185">
        <f>E26</f>
        <v>319000</v>
      </c>
      <c r="F25" s="185">
        <f>F26</f>
        <v>319000</v>
      </c>
      <c r="G25" s="250">
        <f>G26</f>
        <v>319000</v>
      </c>
    </row>
    <row r="26" spans="1:7" x14ac:dyDescent="0.25">
      <c r="A26" s="186" t="s">
        <v>118</v>
      </c>
      <c r="B26" s="168"/>
      <c r="C26" s="180"/>
      <c r="D26" s="175"/>
      <c r="E26" s="116">
        <v>319000</v>
      </c>
      <c r="F26" s="116">
        <v>319000</v>
      </c>
      <c r="G26" s="249">
        <v>319000</v>
      </c>
    </row>
    <row r="27" spans="1:7" x14ac:dyDescent="0.25">
      <c r="A27" s="178" t="s">
        <v>72</v>
      </c>
      <c r="B27" s="168"/>
      <c r="C27" s="180"/>
      <c r="D27" s="175"/>
      <c r="E27" s="95"/>
      <c r="F27" s="116"/>
      <c r="G27" s="249"/>
    </row>
    <row r="28" spans="1:7" x14ac:dyDescent="0.25">
      <c r="A28" s="177" t="s">
        <v>148</v>
      </c>
      <c r="B28" s="168"/>
      <c r="C28" s="169"/>
      <c r="D28" s="170"/>
      <c r="E28" s="166"/>
      <c r="F28" s="116"/>
      <c r="G28" s="249"/>
    </row>
    <row r="29" spans="1:7" x14ac:dyDescent="0.25">
      <c r="A29" s="177"/>
      <c r="B29" s="168"/>
      <c r="C29" s="169"/>
      <c r="D29" s="170"/>
      <c r="E29" s="166"/>
      <c r="F29" s="116"/>
      <c r="G29" s="249"/>
    </row>
    <row r="30" spans="1:7" x14ac:dyDescent="0.25">
      <c r="A30" s="177" t="s">
        <v>210</v>
      </c>
      <c r="B30" s="168"/>
      <c r="C30" s="169"/>
      <c r="D30" s="170"/>
      <c r="E30" s="166"/>
      <c r="F30" s="116"/>
      <c r="G30" s="249">
        <v>1000000</v>
      </c>
    </row>
    <row r="31" spans="1:7" x14ac:dyDescent="0.25">
      <c r="A31" s="178"/>
      <c r="B31" s="168"/>
      <c r="C31" s="180"/>
      <c r="D31" s="175"/>
      <c r="E31" s="95"/>
      <c r="F31" s="116"/>
      <c r="G31" s="249"/>
    </row>
    <row r="32" spans="1:7" x14ac:dyDescent="0.25">
      <c r="A32" s="167" t="s">
        <v>119</v>
      </c>
      <c r="B32" s="168"/>
      <c r="C32" s="180"/>
      <c r="D32" s="175"/>
      <c r="E32" s="170"/>
      <c r="F32" s="116"/>
      <c r="G32" s="249"/>
    </row>
    <row r="33" spans="1:7" x14ac:dyDescent="0.25">
      <c r="A33" s="186"/>
      <c r="B33" s="179"/>
      <c r="C33" s="179"/>
      <c r="D33" s="175"/>
      <c r="E33" s="182"/>
      <c r="F33" s="116"/>
      <c r="G33" s="249"/>
    </row>
    <row r="34" spans="1:7" x14ac:dyDescent="0.25">
      <c r="A34" s="167" t="s">
        <v>109</v>
      </c>
      <c r="B34" s="168"/>
      <c r="C34" s="180"/>
      <c r="D34" s="175"/>
      <c r="E34" s="170">
        <f>E35+E38+E40</f>
        <v>4443000</v>
      </c>
      <c r="F34" s="170">
        <f>F35+F38+F40+F42</f>
        <v>4524862</v>
      </c>
      <c r="G34" s="251">
        <f>G35+G38+G40+G42</f>
        <v>4524862</v>
      </c>
    </row>
    <row r="35" spans="1:7" x14ac:dyDescent="0.25">
      <c r="A35" s="167" t="s">
        <v>76</v>
      </c>
      <c r="B35" s="168"/>
      <c r="C35" s="180"/>
      <c r="D35" s="175"/>
      <c r="E35" s="170">
        <f>SUM(E36:E37)</f>
        <v>1943000</v>
      </c>
      <c r="F35" s="170">
        <f>SUM(F36:F37)</f>
        <v>1943000</v>
      </c>
      <c r="G35" s="251">
        <f>SUM(G36:G37)</f>
        <v>1943000</v>
      </c>
    </row>
    <row r="36" spans="1:7" x14ac:dyDescent="0.25">
      <c r="A36" s="173" t="s">
        <v>106</v>
      </c>
      <c r="B36" s="168"/>
      <c r="C36" s="180"/>
      <c r="D36" s="175"/>
      <c r="E36" s="175"/>
      <c r="F36" s="116"/>
      <c r="G36" s="249"/>
    </row>
    <row r="37" spans="1:7" x14ac:dyDescent="0.25">
      <c r="A37" s="173" t="s">
        <v>105</v>
      </c>
      <c r="B37" s="168"/>
      <c r="C37" s="180"/>
      <c r="D37" s="175"/>
      <c r="E37" s="175">
        <v>1943000</v>
      </c>
      <c r="F37" s="116">
        <v>1943000</v>
      </c>
      <c r="G37" s="249">
        <v>1943000</v>
      </c>
    </row>
    <row r="38" spans="1:7" x14ac:dyDescent="0.25">
      <c r="A38" s="167" t="s">
        <v>77</v>
      </c>
      <c r="B38" s="179"/>
      <c r="C38" s="180"/>
      <c r="D38" s="175"/>
      <c r="E38" s="170">
        <f>E39</f>
        <v>2500000</v>
      </c>
      <c r="F38" s="170">
        <f>F39</f>
        <v>2500000</v>
      </c>
      <c r="G38" s="251">
        <f>G39</f>
        <v>2500000</v>
      </c>
    </row>
    <row r="39" spans="1:7" x14ac:dyDescent="0.25">
      <c r="A39" s="187" t="s">
        <v>145</v>
      </c>
      <c r="B39" s="179"/>
      <c r="C39" s="180"/>
      <c r="D39" s="175">
        <v>2500000</v>
      </c>
      <c r="E39" s="175">
        <v>2500000</v>
      </c>
      <c r="F39" s="116">
        <v>2500000</v>
      </c>
      <c r="G39" s="249">
        <v>2500000</v>
      </c>
    </row>
    <row r="40" spans="1:7" x14ac:dyDescent="0.25">
      <c r="A40" s="167" t="s">
        <v>78</v>
      </c>
      <c r="B40" s="168"/>
      <c r="C40" s="188"/>
      <c r="D40" s="170"/>
      <c r="E40" s="170"/>
      <c r="F40" s="116"/>
      <c r="G40" s="249"/>
    </row>
    <row r="41" spans="1:7" x14ac:dyDescent="0.25">
      <c r="A41" s="167"/>
      <c r="B41" s="168"/>
      <c r="C41" s="188"/>
      <c r="D41" s="170"/>
      <c r="E41" s="170"/>
      <c r="F41" s="116"/>
      <c r="G41" s="249"/>
    </row>
    <row r="42" spans="1:7" s="189" customFormat="1" x14ac:dyDescent="0.25">
      <c r="A42" s="167" t="s">
        <v>150</v>
      </c>
      <c r="B42" s="168"/>
      <c r="C42" s="188"/>
      <c r="D42" s="169"/>
      <c r="E42" s="169"/>
      <c r="F42" s="217">
        <v>81862</v>
      </c>
      <c r="G42" s="252">
        <v>81862</v>
      </c>
    </row>
    <row r="43" spans="1:7" x14ac:dyDescent="0.25">
      <c r="A43" s="173"/>
      <c r="B43" s="179"/>
      <c r="C43" s="179"/>
      <c r="D43" s="175"/>
      <c r="E43" s="190"/>
      <c r="F43" s="116"/>
      <c r="G43" s="249"/>
    </row>
    <row r="44" spans="1:7" x14ac:dyDescent="0.25">
      <c r="A44" s="191" t="s">
        <v>79</v>
      </c>
      <c r="B44" s="192"/>
      <c r="C44" s="192"/>
      <c r="D44" s="192"/>
      <c r="E44" s="185">
        <f>E45</f>
        <v>1200000</v>
      </c>
      <c r="F44" s="185">
        <f>F45</f>
        <v>1200000</v>
      </c>
      <c r="G44" s="250">
        <f>G45</f>
        <v>1200000</v>
      </c>
    </row>
    <row r="45" spans="1:7" x14ac:dyDescent="0.25">
      <c r="A45" s="193" t="s">
        <v>80</v>
      </c>
      <c r="B45" s="180"/>
      <c r="C45" s="180"/>
      <c r="D45" s="175"/>
      <c r="E45" s="182">
        <v>1200000</v>
      </c>
      <c r="F45" s="116">
        <v>1200000</v>
      </c>
      <c r="G45" s="249">
        <v>1200000</v>
      </c>
    </row>
    <row r="46" spans="1:7" x14ac:dyDescent="0.25">
      <c r="A46" s="193"/>
      <c r="B46" s="180"/>
      <c r="C46" s="180"/>
      <c r="D46" s="175"/>
      <c r="E46" s="182"/>
      <c r="F46" s="116"/>
      <c r="G46" s="249"/>
    </row>
    <row r="47" spans="1:7" x14ac:dyDescent="0.25">
      <c r="A47" s="191" t="s">
        <v>218</v>
      </c>
      <c r="B47" s="180"/>
      <c r="C47" s="180"/>
      <c r="D47" s="175"/>
      <c r="E47" s="182"/>
      <c r="F47" s="116"/>
      <c r="G47" s="249"/>
    </row>
    <row r="48" spans="1:7" x14ac:dyDescent="0.25">
      <c r="A48" s="193" t="s">
        <v>211</v>
      </c>
      <c r="B48" s="180"/>
      <c r="C48" s="180"/>
      <c r="D48" s="175"/>
      <c r="E48" s="182"/>
      <c r="F48" s="116"/>
      <c r="G48" s="249">
        <v>1194787</v>
      </c>
    </row>
    <row r="49" spans="1:8" x14ac:dyDescent="0.25">
      <c r="A49" s="193"/>
      <c r="B49" s="180"/>
      <c r="C49" s="180"/>
      <c r="D49" s="175"/>
      <c r="E49" s="182"/>
      <c r="F49" s="116"/>
      <c r="G49" s="249"/>
    </row>
    <row r="50" spans="1:8" ht="16.5" thickBot="1" x14ac:dyDescent="0.3">
      <c r="A50" s="253" t="s">
        <v>82</v>
      </c>
      <c r="B50" s="254"/>
      <c r="C50" s="254"/>
      <c r="D50" s="254"/>
      <c r="E50" s="255">
        <f>E44+E34+E32+E5</f>
        <v>18355111</v>
      </c>
      <c r="F50" s="255">
        <f>F44+F34+F32+F5</f>
        <v>18436973</v>
      </c>
      <c r="G50" s="256">
        <f>G44+G34+G32+G5+G48</f>
        <v>20631760</v>
      </c>
      <c r="H50" s="88">
        <f>G50-F50</f>
        <v>2194787</v>
      </c>
    </row>
    <row r="53" spans="1:8" x14ac:dyDescent="0.25">
      <c r="E53" s="88"/>
    </row>
  </sheetData>
  <mergeCells count="8">
    <mergeCell ref="G3:G4"/>
    <mergeCell ref="A1:G1"/>
    <mergeCell ref="F3:F4"/>
    <mergeCell ref="A3:A4"/>
    <mergeCell ref="B3:B4"/>
    <mergeCell ref="C3:C4"/>
    <mergeCell ref="D3:D4"/>
    <mergeCell ref="E3:E4"/>
  </mergeCells>
  <printOptions horizontalCentered="1"/>
  <pageMargins left="0.11811023622047245" right="0.11811023622047245" top="1.3385826771653544" bottom="0.74803149606299213" header="0.31496062992125984" footer="0.31496062992125984"/>
  <pageSetup paperSize="9" scale="56" orientation="landscape" r:id="rId1"/>
  <headerFooter>
    <oddHeader xml:space="preserve">&amp;C&amp;"Times New Roman,Félkövér"&amp;12 2/a melléklet a 9/2017. (IX. 30.) önkormányzati rendelethez
Az önkormányzat 2017. évi költségvetéséről szóló 1/2017. (II. 15.) önkormányzati rendelet 2/a mellékletének helyébe a következő 2/a melléklet lép:&amp;R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I36"/>
  <sheetViews>
    <sheetView view="pageLayout" zoomScaleNormal="75" zoomScaleSheetLayoutView="80" workbookViewId="0">
      <selection activeCell="A2" sqref="A2:E3"/>
    </sheetView>
  </sheetViews>
  <sheetFormatPr defaultColWidth="9" defaultRowHeight="15.75" x14ac:dyDescent="0.25"/>
  <cols>
    <col min="1" max="1" width="45.85546875" style="109" customWidth="1"/>
    <col min="2" max="4" width="15.28515625" style="109" customWidth="1"/>
    <col min="5" max="5" width="11.140625" style="109" bestFit="1" customWidth="1"/>
    <col min="6" max="6" width="15.28515625" style="109" customWidth="1"/>
    <col min="7" max="16384" width="9" style="109"/>
  </cols>
  <sheetData>
    <row r="1" spans="1:6" ht="16.5" thickBot="1" x14ac:dyDescent="0.3"/>
    <row r="2" spans="1:6" x14ac:dyDescent="0.25">
      <c r="A2" s="377" t="s">
        <v>194</v>
      </c>
      <c r="B2" s="378"/>
      <c r="C2" s="378"/>
      <c r="D2" s="378"/>
      <c r="E2" s="379"/>
    </row>
    <row r="3" spans="1:6" ht="16.5" thickBot="1" x14ac:dyDescent="0.3">
      <c r="A3" s="380"/>
      <c r="B3" s="381"/>
      <c r="C3" s="381"/>
      <c r="D3" s="381"/>
      <c r="E3" s="382"/>
    </row>
    <row r="4" spans="1:6" ht="51.75" customHeight="1" thickBot="1" x14ac:dyDescent="0.3">
      <c r="A4" s="274" t="s">
        <v>101</v>
      </c>
      <c r="B4" s="233" t="s">
        <v>198</v>
      </c>
      <c r="C4" s="234" t="s">
        <v>197</v>
      </c>
      <c r="D4" s="275" t="s">
        <v>196</v>
      </c>
      <c r="E4" s="235" t="s">
        <v>201</v>
      </c>
    </row>
    <row r="5" spans="1:6" ht="30.75" customHeight="1" x14ac:dyDescent="0.25">
      <c r="A5" s="269" t="s">
        <v>131</v>
      </c>
      <c r="B5" s="270"/>
      <c r="C5" s="271"/>
      <c r="D5" s="272"/>
      <c r="E5" s="273"/>
    </row>
    <row r="6" spans="1:6" s="113" customFormat="1" ht="18.95" customHeight="1" x14ac:dyDescent="0.25">
      <c r="A6" s="99" t="s">
        <v>84</v>
      </c>
      <c r="B6" s="100">
        <v>6405000</v>
      </c>
      <c r="C6" s="111">
        <f>B6+1467540</f>
        <v>7872540</v>
      </c>
      <c r="D6" s="202">
        <f>C6+17000+573750+20000</f>
        <v>8483290</v>
      </c>
      <c r="E6" s="112">
        <f>D6-C6</f>
        <v>610750</v>
      </c>
    </row>
    <row r="7" spans="1:6" s="113" customFormat="1" ht="18.95" customHeight="1" x14ac:dyDescent="0.25">
      <c r="A7" s="99" t="s">
        <v>85</v>
      </c>
      <c r="B7" s="100">
        <v>1614700</v>
      </c>
      <c r="C7" s="114">
        <f>B7+161442</f>
        <v>1776142</v>
      </c>
      <c r="D7" s="203">
        <f>C7+10000+126228+8600</f>
        <v>1920970</v>
      </c>
      <c r="E7" s="112">
        <f>D7-C7</f>
        <v>144828</v>
      </c>
      <c r="F7" s="115"/>
    </row>
    <row r="8" spans="1:6" s="113" customFormat="1" ht="18.95" customHeight="1" x14ac:dyDescent="0.25">
      <c r="A8" s="99" t="s">
        <v>86</v>
      </c>
      <c r="B8" s="100">
        <f>SUM(B9:B22)-B18</f>
        <v>13500000</v>
      </c>
      <c r="C8" s="100">
        <f>SUM(C9:C22)-1500000</f>
        <v>13500000</v>
      </c>
      <c r="D8" s="100">
        <f>SUM(D9:D22)-1500000</f>
        <v>13720000</v>
      </c>
      <c r="E8" s="112">
        <f>D8-C8</f>
        <v>220000</v>
      </c>
      <c r="F8" s="115"/>
    </row>
    <row r="9" spans="1:6" ht="19.7" customHeight="1" x14ac:dyDescent="0.25">
      <c r="A9" s="101" t="s">
        <v>139</v>
      </c>
      <c r="B9" s="38">
        <v>100000</v>
      </c>
      <c r="C9" s="116">
        <v>100000</v>
      </c>
      <c r="D9" s="204">
        <v>100000</v>
      </c>
      <c r="E9" s="117">
        <f t="shared" ref="E9:E34" si="0">C9-B9</f>
        <v>0</v>
      </c>
    </row>
    <row r="10" spans="1:6" ht="19.7" customHeight="1" x14ac:dyDescent="0.25">
      <c r="A10" s="101" t="s">
        <v>140</v>
      </c>
      <c r="B10" s="38">
        <v>2600000</v>
      </c>
      <c r="C10" s="116">
        <v>2600000</v>
      </c>
      <c r="D10" s="204">
        <v>2600000</v>
      </c>
      <c r="E10" s="117">
        <f t="shared" si="0"/>
        <v>0</v>
      </c>
    </row>
    <row r="11" spans="1:6" ht="19.7" customHeight="1" x14ac:dyDescent="0.25">
      <c r="A11" s="102" t="s">
        <v>121</v>
      </c>
      <c r="B11" s="38">
        <v>300000</v>
      </c>
      <c r="C11" s="116">
        <v>300000</v>
      </c>
      <c r="D11" s="204">
        <v>300000</v>
      </c>
      <c r="E11" s="117">
        <f t="shared" si="0"/>
        <v>0</v>
      </c>
    </row>
    <row r="12" spans="1:6" ht="19.7" customHeight="1" x14ac:dyDescent="0.25">
      <c r="A12" s="102" t="s">
        <v>122</v>
      </c>
      <c r="B12" s="38">
        <v>300000</v>
      </c>
      <c r="C12" s="116">
        <v>300000</v>
      </c>
      <c r="D12" s="204">
        <v>300000</v>
      </c>
      <c r="E12" s="117">
        <f t="shared" si="0"/>
        <v>0</v>
      </c>
    </row>
    <row r="13" spans="1:6" ht="19.7" customHeight="1" x14ac:dyDescent="0.25">
      <c r="A13" s="102" t="s">
        <v>123</v>
      </c>
      <c r="B13" s="38">
        <v>1800000</v>
      </c>
      <c r="C13" s="116">
        <v>1800000</v>
      </c>
      <c r="D13" s="204">
        <v>1800000</v>
      </c>
      <c r="E13" s="117">
        <f t="shared" si="0"/>
        <v>0</v>
      </c>
    </row>
    <row r="14" spans="1:6" ht="19.7" customHeight="1" x14ac:dyDescent="0.25">
      <c r="A14" s="102" t="s">
        <v>124</v>
      </c>
      <c r="B14" s="38"/>
      <c r="C14" s="116"/>
      <c r="D14" s="204"/>
      <c r="E14" s="117">
        <f t="shared" si="0"/>
        <v>0</v>
      </c>
    </row>
    <row r="15" spans="1:6" ht="19.7" customHeight="1" x14ac:dyDescent="0.25">
      <c r="A15" s="102" t="s">
        <v>125</v>
      </c>
      <c r="B15" s="38">
        <v>500000</v>
      </c>
      <c r="C15" s="116">
        <v>500000</v>
      </c>
      <c r="D15" s="204">
        <v>500000</v>
      </c>
      <c r="E15" s="117">
        <f t="shared" si="0"/>
        <v>0</v>
      </c>
    </row>
    <row r="16" spans="1:6" ht="19.7" customHeight="1" x14ac:dyDescent="0.25">
      <c r="A16" s="102" t="s">
        <v>126</v>
      </c>
      <c r="B16" s="38">
        <v>500000</v>
      </c>
      <c r="C16" s="116">
        <f>B16+680000</f>
        <v>1180000</v>
      </c>
      <c r="D16" s="204">
        <v>1180000</v>
      </c>
      <c r="E16" s="117">
        <f>D16-C16</f>
        <v>0</v>
      </c>
    </row>
    <row r="17" spans="1:9" ht="19.7" customHeight="1" x14ac:dyDescent="0.25">
      <c r="A17" s="102" t="s">
        <v>130</v>
      </c>
      <c r="B17" s="38">
        <v>4500000</v>
      </c>
      <c r="C17" s="116">
        <f>B17-680000</f>
        <v>3820000</v>
      </c>
      <c r="D17" s="204">
        <v>3820000</v>
      </c>
      <c r="E17" s="117">
        <f>D17-C17</f>
        <v>0</v>
      </c>
    </row>
    <row r="18" spans="1:9" ht="25.5" customHeight="1" x14ac:dyDescent="0.25">
      <c r="A18" s="219" t="s">
        <v>212</v>
      </c>
      <c r="B18" s="141">
        <v>1500000</v>
      </c>
      <c r="C18" s="162">
        <v>1500000</v>
      </c>
      <c r="D18" s="205">
        <v>1500000</v>
      </c>
      <c r="E18" s="117"/>
    </row>
    <row r="19" spans="1:9" ht="19.7" customHeight="1" x14ac:dyDescent="0.25">
      <c r="A19" s="102" t="s">
        <v>142</v>
      </c>
      <c r="B19" s="38">
        <v>100000</v>
      </c>
      <c r="C19" s="116">
        <v>100000</v>
      </c>
      <c r="D19" s="204">
        <v>100000</v>
      </c>
      <c r="E19" s="117">
        <f t="shared" si="0"/>
        <v>0</v>
      </c>
    </row>
    <row r="20" spans="1:9" ht="19.7" customHeight="1" x14ac:dyDescent="0.25">
      <c r="A20" s="102" t="s">
        <v>127</v>
      </c>
      <c r="B20" s="38">
        <v>2000000</v>
      </c>
      <c r="C20" s="116">
        <v>2000000</v>
      </c>
      <c r="D20" s="204">
        <v>2000000</v>
      </c>
      <c r="E20" s="117">
        <f t="shared" si="0"/>
        <v>0</v>
      </c>
    </row>
    <row r="21" spans="1:9" ht="19.7" customHeight="1" x14ac:dyDescent="0.25">
      <c r="A21" s="102" t="s">
        <v>128</v>
      </c>
      <c r="B21" s="38">
        <v>400000</v>
      </c>
      <c r="C21" s="116">
        <v>400000</v>
      </c>
      <c r="D21" s="204">
        <v>400000</v>
      </c>
      <c r="E21" s="117">
        <f t="shared" si="0"/>
        <v>0</v>
      </c>
    </row>
    <row r="22" spans="1:9" ht="19.7" customHeight="1" x14ac:dyDescent="0.25">
      <c r="A22" s="102" t="s">
        <v>129</v>
      </c>
      <c r="B22" s="38">
        <v>400000</v>
      </c>
      <c r="C22" s="116">
        <v>400000</v>
      </c>
      <c r="D22" s="204">
        <f>+C22+D23</f>
        <v>620000</v>
      </c>
      <c r="E22" s="117">
        <f>D22-C22</f>
        <v>220000</v>
      </c>
    </row>
    <row r="23" spans="1:9" customFormat="1" ht="31.5" x14ac:dyDescent="0.25">
      <c r="A23" s="219" t="s">
        <v>199</v>
      </c>
      <c r="B23" s="220">
        <v>0</v>
      </c>
      <c r="C23" s="221">
        <v>0</v>
      </c>
      <c r="D23" s="222">
        <v>220000</v>
      </c>
      <c r="E23" s="223">
        <f>D23-C23</f>
        <v>220000</v>
      </c>
    </row>
    <row r="24" spans="1:9" s="113" customFormat="1" x14ac:dyDescent="0.25">
      <c r="A24" s="99" t="s">
        <v>143</v>
      </c>
      <c r="B24" s="100">
        <f>B25+B26+B27</f>
        <v>1943000</v>
      </c>
      <c r="C24" s="100">
        <f>C25+C26+C27</f>
        <v>1943000</v>
      </c>
      <c r="D24" s="100">
        <f>D25+D26+D27</f>
        <v>1943000</v>
      </c>
      <c r="E24" s="112">
        <f t="shared" si="0"/>
        <v>0</v>
      </c>
    </row>
    <row r="25" spans="1:9" s="113" customFormat="1" x14ac:dyDescent="0.25">
      <c r="A25" s="211" t="s">
        <v>168</v>
      </c>
      <c r="B25" s="38">
        <v>1843000</v>
      </c>
      <c r="C25" s="38">
        <v>1843000</v>
      </c>
      <c r="D25" s="206">
        <v>1843000</v>
      </c>
      <c r="E25" s="117">
        <f>C25-B25</f>
        <v>0</v>
      </c>
    </row>
    <row r="26" spans="1:9" s="113" customFormat="1" x14ac:dyDescent="0.25">
      <c r="A26" s="211" t="s">
        <v>169</v>
      </c>
      <c r="B26" s="38">
        <v>40000</v>
      </c>
      <c r="C26" s="38">
        <v>40000</v>
      </c>
      <c r="D26" s="206">
        <v>40000</v>
      </c>
      <c r="E26" s="117">
        <f>C26-B26</f>
        <v>0</v>
      </c>
    </row>
    <row r="27" spans="1:9" ht="19.7" customHeight="1" x14ac:dyDescent="0.25">
      <c r="A27" s="137" t="s">
        <v>170</v>
      </c>
      <c r="B27" s="38">
        <v>60000</v>
      </c>
      <c r="C27" s="116">
        <v>60000</v>
      </c>
      <c r="D27" s="204">
        <v>60000</v>
      </c>
      <c r="E27" s="117">
        <f t="shared" si="0"/>
        <v>0</v>
      </c>
    </row>
    <row r="28" spans="1:9" s="113" customFormat="1" ht="27" customHeight="1" x14ac:dyDescent="0.25">
      <c r="A28" s="99" t="s">
        <v>87</v>
      </c>
      <c r="B28" s="100">
        <f>B29+B30+B31+B32+B33+B34+B35</f>
        <v>7690491</v>
      </c>
      <c r="C28" s="100">
        <f>C29+C30+C31+C32+C33+C34+C35</f>
        <v>7752891</v>
      </c>
      <c r="D28" s="100">
        <f t="shared" ref="D28" si="1">D29+D30+D31+D32+D33+D34+D35</f>
        <v>7720090</v>
      </c>
      <c r="E28" s="100">
        <f>E29+E30+E31+E32+E33+E34+E35</f>
        <v>-32801</v>
      </c>
      <c r="F28" s="103"/>
      <c r="G28" s="118"/>
      <c r="H28" s="118"/>
      <c r="I28" s="118"/>
    </row>
    <row r="29" spans="1:9" ht="43.5" customHeight="1" x14ac:dyDescent="0.25">
      <c r="A29" s="104" t="s">
        <v>144</v>
      </c>
      <c r="B29" s="38"/>
      <c r="C29" s="38"/>
      <c r="D29" s="206"/>
      <c r="E29" s="117">
        <f t="shared" si="0"/>
        <v>0</v>
      </c>
      <c r="F29" s="103"/>
      <c r="G29" s="119"/>
      <c r="H29" s="119"/>
      <c r="I29" s="119"/>
    </row>
    <row r="30" spans="1:9" ht="31.5" x14ac:dyDescent="0.25">
      <c r="A30" s="104" t="s">
        <v>88</v>
      </c>
      <c r="B30" s="38"/>
      <c r="C30" s="110"/>
      <c r="D30" s="201"/>
      <c r="E30" s="117">
        <f t="shared" si="0"/>
        <v>0</v>
      </c>
      <c r="F30" s="103"/>
      <c r="G30" s="119"/>
      <c r="H30" s="119"/>
      <c r="I30" s="119"/>
    </row>
    <row r="31" spans="1:9" ht="31.5" x14ac:dyDescent="0.25">
      <c r="A31" s="104" t="s">
        <v>89</v>
      </c>
      <c r="B31" s="38"/>
      <c r="C31" s="110"/>
      <c r="D31" s="201"/>
      <c r="E31" s="117">
        <f t="shared" si="0"/>
        <v>0</v>
      </c>
      <c r="F31" s="103"/>
      <c r="G31" s="119"/>
      <c r="H31" s="119"/>
      <c r="I31" s="119"/>
    </row>
    <row r="32" spans="1:9" ht="24" customHeight="1" x14ac:dyDescent="0.25">
      <c r="A32" s="104" t="s">
        <v>90</v>
      </c>
      <c r="B32" s="38">
        <f>'4.sz.tábla'!B4</f>
        <v>7550491</v>
      </c>
      <c r="C32" s="38">
        <f>'4.sz.tábla'!C4</f>
        <v>7522891</v>
      </c>
      <c r="D32" s="38">
        <f>'4.sz.tábla'!D4</f>
        <v>7710090</v>
      </c>
      <c r="E32" s="117">
        <f>D32-C32</f>
        <v>187199</v>
      </c>
      <c r="F32" s="105"/>
      <c r="G32" s="106"/>
      <c r="H32" s="106"/>
      <c r="I32" s="106"/>
    </row>
    <row r="33" spans="1:9" ht="47.25" x14ac:dyDescent="0.25">
      <c r="A33" s="104" t="s">
        <v>91</v>
      </c>
      <c r="B33" s="38"/>
      <c r="C33" s="110"/>
      <c r="D33" s="201"/>
      <c r="E33" s="117">
        <f t="shared" si="0"/>
        <v>0</v>
      </c>
      <c r="F33" s="105"/>
      <c r="G33" s="106"/>
      <c r="H33" s="106"/>
      <c r="I33" s="106"/>
    </row>
    <row r="34" spans="1:9" ht="31.5" x14ac:dyDescent="0.25">
      <c r="A34" s="104" t="s">
        <v>3</v>
      </c>
      <c r="B34" s="38"/>
      <c r="C34" s="120"/>
      <c r="D34" s="207"/>
      <c r="E34" s="117">
        <f t="shared" si="0"/>
        <v>0</v>
      </c>
      <c r="F34" s="105"/>
      <c r="G34" s="106"/>
      <c r="H34" s="106"/>
      <c r="I34" s="106"/>
    </row>
    <row r="35" spans="1:9" ht="32.25" thickBot="1" x14ac:dyDescent="0.3">
      <c r="A35" s="263" t="s">
        <v>92</v>
      </c>
      <c r="B35" s="264">
        <f>'4.sz.tábla'!B11</f>
        <v>140000</v>
      </c>
      <c r="C35" s="264">
        <f>'4.sz.tábla'!C11</f>
        <v>230000</v>
      </c>
      <c r="D35" s="264">
        <f>'4.sz.tábla'!D11</f>
        <v>10000</v>
      </c>
      <c r="E35" s="265">
        <f>D35-C35</f>
        <v>-220000</v>
      </c>
      <c r="F35" s="105"/>
      <c r="G35" s="106"/>
      <c r="H35" s="106"/>
      <c r="I35" s="106"/>
    </row>
    <row r="36" spans="1:9" s="113" customFormat="1" ht="32.25" thickBot="1" x14ac:dyDescent="0.3">
      <c r="A36" s="266" t="s">
        <v>93</v>
      </c>
      <c r="B36" s="267">
        <f>B6+B7+B8+B24+B28</f>
        <v>31153191</v>
      </c>
      <c r="C36" s="267">
        <f>C6+C7+C8+C24+C28</f>
        <v>32844573</v>
      </c>
      <c r="D36" s="267">
        <f>D6+D7+D8+D24+D28</f>
        <v>33787350</v>
      </c>
      <c r="E36" s="268">
        <f>E6+E7+E8+E24+E28</f>
        <v>942777</v>
      </c>
      <c r="F36" s="107">
        <f>E6+E7+E8+E24+E28</f>
        <v>942777</v>
      </c>
      <c r="G36" s="108"/>
      <c r="H36" s="108"/>
      <c r="I36" s="108"/>
    </row>
  </sheetData>
  <sheetProtection selectLockedCells="1" selectUnlockedCells="1"/>
  <mergeCells count="1">
    <mergeCell ref="A2:E3"/>
  </mergeCells>
  <phoneticPr fontId="20" type="noConversion"/>
  <printOptions horizontalCentered="1"/>
  <pageMargins left="0.74803149606299213" right="0.74803149606299213" top="1.3779527559055118" bottom="0.19685039370078741" header="0.51181102362204722" footer="0.51181102362204722"/>
  <pageSetup paperSize="9" scale="85" firstPageNumber="0" orientation="portrait" r:id="rId1"/>
  <headerFooter alignWithMargins="0">
    <oddHeader xml:space="preserve">&amp;C&amp;"Times New Roman,Félkövér"&amp;12 3. melléklet a 9/2017. (IX. 30.) önkormányzati rendelethez
Az önkormányzat 2017. évi költségvetéséről szóló 1/2017. (II. 15.) önkormányzati rendelet 3. mellékletének helyébe a következő 3. melléklet lép:&amp;R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33"/>
  <sheetViews>
    <sheetView view="pageLayout" zoomScaleNormal="100" workbookViewId="0">
      <selection sqref="A1:E1"/>
    </sheetView>
  </sheetViews>
  <sheetFormatPr defaultColWidth="9" defaultRowHeight="15.75" x14ac:dyDescent="0.25"/>
  <cols>
    <col min="1" max="1" width="46.85546875" style="84" customWidth="1"/>
    <col min="2" max="2" width="15.28515625" style="84" customWidth="1"/>
    <col min="3" max="4" width="15.28515625" style="85" customWidth="1"/>
    <col min="5" max="5" width="11.140625" style="85" bestFit="1" customWidth="1"/>
    <col min="6" max="6" width="15.28515625" style="85" customWidth="1"/>
    <col min="7" max="16384" width="9" style="85"/>
  </cols>
  <sheetData>
    <row r="1" spans="1:6" ht="36.75" customHeight="1" x14ac:dyDescent="0.25">
      <c r="A1" s="383" t="s">
        <v>194</v>
      </c>
      <c r="B1" s="383"/>
      <c r="C1" s="383"/>
      <c r="D1" s="383"/>
      <c r="E1" s="383"/>
    </row>
    <row r="2" spans="1:6" ht="16.5" thickBot="1" x14ac:dyDescent="0.3"/>
    <row r="3" spans="1:6" ht="31.5" x14ac:dyDescent="0.25">
      <c r="A3" s="86" t="s">
        <v>101</v>
      </c>
      <c r="B3" s="10" t="s">
        <v>198</v>
      </c>
      <c r="C3" s="16" t="s">
        <v>197</v>
      </c>
      <c r="D3" s="200" t="s">
        <v>196</v>
      </c>
      <c r="E3" s="136" t="s">
        <v>201</v>
      </c>
    </row>
    <row r="4" spans="1:6" ht="31.5" x14ac:dyDescent="0.25">
      <c r="A4" s="87" t="s">
        <v>132</v>
      </c>
      <c r="B4" s="92">
        <f>SUM(B5:B10)</f>
        <v>7550491</v>
      </c>
      <c r="C4" s="92">
        <f>SUM(C5:C10)</f>
        <v>7522891</v>
      </c>
      <c r="D4" s="92">
        <f>SUM(D5:D10)</f>
        <v>7710090</v>
      </c>
      <c r="E4" s="93">
        <f>D4-C4</f>
        <v>187199</v>
      </c>
      <c r="F4" s="88"/>
    </row>
    <row r="5" spans="1:6" ht="31.5" x14ac:dyDescent="0.25">
      <c r="A5" s="78" t="s">
        <v>133</v>
      </c>
      <c r="B5" s="94">
        <v>2011386</v>
      </c>
      <c r="C5" s="95">
        <f>B5-27600</f>
        <v>1983786</v>
      </c>
      <c r="D5" s="209">
        <f>1983786-299111+486310</f>
        <v>2170985</v>
      </c>
      <c r="E5" s="96">
        <f>D5-C5</f>
        <v>187199</v>
      </c>
    </row>
    <row r="6" spans="1:6" ht="28.5" customHeight="1" x14ac:dyDescent="0.25">
      <c r="A6" s="78" t="s">
        <v>202</v>
      </c>
      <c r="B6" s="94">
        <v>4939105</v>
      </c>
      <c r="C6" s="95">
        <v>4939105</v>
      </c>
      <c r="D6" s="209">
        <v>4939105</v>
      </c>
      <c r="E6" s="96">
        <f t="shared" ref="E6:E16" si="0">C6-B6</f>
        <v>0</v>
      </c>
    </row>
    <row r="7" spans="1:6" ht="28.5" customHeight="1" x14ac:dyDescent="0.25">
      <c r="A7" s="78" t="s">
        <v>137</v>
      </c>
      <c r="B7" s="94">
        <v>400000</v>
      </c>
      <c r="C7" s="95">
        <v>400000</v>
      </c>
      <c r="D7" s="209">
        <v>350000</v>
      </c>
      <c r="E7" s="96">
        <f>D7-C7</f>
        <v>-50000</v>
      </c>
    </row>
    <row r="8" spans="1:6" ht="28.5" customHeight="1" x14ac:dyDescent="0.25">
      <c r="A8" s="78" t="s">
        <v>205</v>
      </c>
      <c r="B8" s="94"/>
      <c r="C8" s="95"/>
      <c r="D8" s="209">
        <v>50000</v>
      </c>
      <c r="E8" s="96">
        <f>D8-C8</f>
        <v>50000</v>
      </c>
    </row>
    <row r="9" spans="1:6" ht="28.5" customHeight="1" x14ac:dyDescent="0.25">
      <c r="A9" s="215" t="s">
        <v>203</v>
      </c>
      <c r="B9" s="94">
        <v>100000</v>
      </c>
      <c r="C9" s="95">
        <v>100000</v>
      </c>
      <c r="D9" s="209">
        <v>100000</v>
      </c>
      <c r="E9" s="96">
        <f t="shared" si="0"/>
        <v>0</v>
      </c>
    </row>
    <row r="10" spans="1:6" ht="28.5" customHeight="1" x14ac:dyDescent="0.25">
      <c r="A10" s="216" t="s">
        <v>204</v>
      </c>
      <c r="B10" s="94">
        <v>100000</v>
      </c>
      <c r="C10" s="95">
        <v>100000</v>
      </c>
      <c r="D10" s="209">
        <v>100000</v>
      </c>
      <c r="E10" s="96">
        <f t="shared" si="0"/>
        <v>0</v>
      </c>
    </row>
    <row r="11" spans="1:6" ht="31.5" x14ac:dyDescent="0.25">
      <c r="A11" s="87" t="s">
        <v>134</v>
      </c>
      <c r="B11" s="92">
        <f>SUM(B12:B15)</f>
        <v>140000</v>
      </c>
      <c r="C11" s="92">
        <f>C12+C13</f>
        <v>230000</v>
      </c>
      <c r="D11" s="208">
        <f>D12+D13</f>
        <v>10000</v>
      </c>
      <c r="E11" s="93">
        <f>D11-C11</f>
        <v>-220000</v>
      </c>
      <c r="F11" s="88"/>
    </row>
    <row r="12" spans="1:6" ht="28.5" customHeight="1" x14ac:dyDescent="0.25">
      <c r="A12" s="89" t="s">
        <v>216</v>
      </c>
      <c r="B12" s="94">
        <v>140000</v>
      </c>
      <c r="C12" s="95">
        <f>B12+80000</f>
        <v>220000</v>
      </c>
      <c r="D12" s="209">
        <v>0</v>
      </c>
      <c r="E12" s="96">
        <f>D12-C12</f>
        <v>-220000</v>
      </c>
    </row>
    <row r="13" spans="1:6" ht="28.5" customHeight="1" x14ac:dyDescent="0.25">
      <c r="A13" s="89" t="s">
        <v>173</v>
      </c>
      <c r="B13" s="94">
        <v>0</v>
      </c>
      <c r="C13" s="95">
        <v>10000</v>
      </c>
      <c r="D13" s="209">
        <v>10000</v>
      </c>
      <c r="E13" s="96">
        <f>D13-C13</f>
        <v>0</v>
      </c>
    </row>
    <row r="14" spans="1:6" ht="28.5" customHeight="1" x14ac:dyDescent="0.25">
      <c r="A14" s="89"/>
      <c r="B14" s="94"/>
      <c r="C14" s="95"/>
      <c r="D14" s="209"/>
      <c r="E14" s="96"/>
    </row>
    <row r="15" spans="1:6" ht="28.5" customHeight="1" x14ac:dyDescent="0.25">
      <c r="A15" s="135"/>
      <c r="B15" s="94"/>
      <c r="C15" s="95"/>
      <c r="D15" s="209"/>
      <c r="E15" s="96"/>
    </row>
    <row r="16" spans="1:6" ht="42" customHeight="1" x14ac:dyDescent="0.25">
      <c r="A16" s="243" t="s">
        <v>135</v>
      </c>
      <c r="B16" s="97">
        <v>0</v>
      </c>
      <c r="C16" s="166">
        <v>0</v>
      </c>
      <c r="D16" s="210">
        <v>0</v>
      </c>
      <c r="E16" s="93">
        <f t="shared" si="0"/>
        <v>0</v>
      </c>
    </row>
    <row r="17" spans="1:6" x14ac:dyDescent="0.25">
      <c r="A17" s="89"/>
      <c r="B17" s="94"/>
      <c r="C17" s="95"/>
      <c r="D17" s="209"/>
      <c r="E17" s="96"/>
    </row>
    <row r="18" spans="1:6" ht="23.25" customHeight="1" x14ac:dyDescent="0.25">
      <c r="A18" s="244" t="s">
        <v>136</v>
      </c>
      <c r="B18" s="94"/>
      <c r="C18" s="95"/>
      <c r="D18" s="209"/>
      <c r="E18" s="96"/>
    </row>
    <row r="19" spans="1:6" x14ac:dyDescent="0.25">
      <c r="A19" s="89"/>
      <c r="B19" s="94"/>
      <c r="C19" s="95"/>
      <c r="D19" s="209"/>
      <c r="E19" s="96"/>
    </row>
    <row r="20" spans="1:6" x14ac:dyDescent="0.25">
      <c r="A20" s="89"/>
      <c r="B20" s="94"/>
      <c r="C20" s="95"/>
      <c r="D20" s="209"/>
      <c r="E20" s="96"/>
    </row>
    <row r="21" spans="1:6" x14ac:dyDescent="0.25">
      <c r="A21" s="89"/>
      <c r="B21" s="94"/>
      <c r="C21" s="95"/>
      <c r="D21" s="209"/>
      <c r="E21" s="96"/>
    </row>
    <row r="22" spans="1:6" x14ac:dyDescent="0.25">
      <c r="A22" s="89"/>
      <c r="B22" s="94"/>
      <c r="C22" s="95"/>
      <c r="D22" s="209"/>
      <c r="E22" s="96"/>
    </row>
    <row r="23" spans="1:6" x14ac:dyDescent="0.25">
      <c r="A23" s="89"/>
      <c r="B23" s="94"/>
      <c r="C23" s="95"/>
      <c r="D23" s="209"/>
      <c r="E23" s="96"/>
    </row>
    <row r="24" spans="1:6" ht="16.5" thickBot="1" x14ac:dyDescent="0.3">
      <c r="A24" s="245" t="s">
        <v>83</v>
      </c>
      <c r="B24" s="246">
        <f>B11+B4</f>
        <v>7690491</v>
      </c>
      <c r="C24" s="246">
        <f>C11+C4</f>
        <v>7752891</v>
      </c>
      <c r="D24" s="246">
        <f>D11+D4</f>
        <v>7720090</v>
      </c>
      <c r="E24" s="247">
        <f>D24-C24</f>
        <v>-32801</v>
      </c>
      <c r="F24" s="88"/>
    </row>
    <row r="25" spans="1:6" x14ac:dyDescent="0.25">
      <c r="A25" s="164"/>
      <c r="B25" s="164"/>
      <c r="C25" s="165"/>
      <c r="D25" s="165"/>
      <c r="E25" s="165"/>
    </row>
    <row r="26" spans="1:6" x14ac:dyDescent="0.25">
      <c r="B26" s="90"/>
    </row>
    <row r="31" spans="1:6" x14ac:dyDescent="0.25">
      <c r="B31" s="91"/>
    </row>
    <row r="32" spans="1:6" x14ac:dyDescent="0.25">
      <c r="B32" s="91"/>
    </row>
    <row r="33" spans="2:2" x14ac:dyDescent="0.25">
      <c r="B33" s="91"/>
    </row>
  </sheetData>
  <mergeCells count="1">
    <mergeCell ref="A1:E1"/>
  </mergeCells>
  <pageMargins left="0.70866141732283472" right="0.70866141732283472" top="1.1417322834645669" bottom="0.74803149606299213" header="0.31496062992125984" footer="0.31496062992125984"/>
  <pageSetup paperSize="9" scale="85" orientation="portrait" r:id="rId1"/>
  <headerFooter>
    <oddHeader xml:space="preserve">&amp;C&amp;"Times New Roman,Félkövér"&amp;12 4. melléklet a 9/2017. (IX. 30.) önkormányzati rendelethez
Az önkormányzat 2017. évi költségvetéséről szóló 1/2017. (II. 15.) önkormányzati rendelet 4. mellékletének helyébe a következő 4. melléklet lép:&amp;R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29"/>
  <sheetViews>
    <sheetView view="pageLayout" zoomScaleNormal="80" zoomScaleSheetLayoutView="80" workbookViewId="0">
      <selection sqref="A1:E1"/>
    </sheetView>
  </sheetViews>
  <sheetFormatPr defaultColWidth="9" defaultRowHeight="18" customHeight="1" x14ac:dyDescent="0.25"/>
  <cols>
    <col min="1" max="1" width="39.5703125" style="74" customWidth="1"/>
    <col min="2" max="5" width="15.28515625" style="75" customWidth="1"/>
    <col min="6" max="6" width="15.28515625" style="76" customWidth="1"/>
    <col min="7" max="7" width="23.85546875" style="77" customWidth="1"/>
    <col min="8" max="16384" width="9" style="77"/>
  </cols>
  <sheetData>
    <row r="1" spans="1:6" ht="33.75" customHeight="1" x14ac:dyDescent="0.25">
      <c r="A1" s="384" t="s">
        <v>195</v>
      </c>
      <c r="B1" s="384"/>
      <c r="C1" s="384"/>
      <c r="D1" s="384"/>
      <c r="E1" s="384"/>
    </row>
    <row r="2" spans="1:6" ht="18" customHeight="1" thickBot="1" x14ac:dyDescent="0.3"/>
    <row r="3" spans="1:6" ht="48.75" customHeight="1" thickBot="1" x14ac:dyDescent="0.3">
      <c r="A3" s="232" t="s">
        <v>101</v>
      </c>
      <c r="B3" s="233" t="s">
        <v>198</v>
      </c>
      <c r="C3" s="234" t="s">
        <v>197</v>
      </c>
      <c r="D3" s="234" t="s">
        <v>196</v>
      </c>
      <c r="E3" s="235" t="s">
        <v>201</v>
      </c>
    </row>
    <row r="4" spans="1:6" s="60" customFormat="1" ht="22.5" customHeight="1" x14ac:dyDescent="0.25">
      <c r="A4" s="229" t="s">
        <v>213</v>
      </c>
      <c r="B4" s="230">
        <f>B6+B7+B8+B9+B10+B11+B12+B13+B14+B15+B16</f>
        <v>24270000</v>
      </c>
      <c r="C4" s="230">
        <f>C6+C7+C8+C9+C10+C11+C12+C13+C14+C15+C16</f>
        <v>20770000</v>
      </c>
      <c r="D4" s="230">
        <f>D5+D6+D7+D8+D9+D10+D11+D12+D13+D14+D15+D16</f>
        <v>21770000</v>
      </c>
      <c r="E4" s="231">
        <f>D4-C4</f>
        <v>1000000</v>
      </c>
      <c r="F4" s="59"/>
    </row>
    <row r="5" spans="1:6" s="60" customFormat="1" ht="21.75" customHeight="1" x14ac:dyDescent="0.25">
      <c r="A5" s="61" t="s">
        <v>200</v>
      </c>
      <c r="B5" s="66">
        <v>0</v>
      </c>
      <c r="C5" s="66">
        <v>0</v>
      </c>
      <c r="D5" s="66">
        <v>1000000</v>
      </c>
      <c r="E5" s="228">
        <f>D5-C5</f>
        <v>1000000</v>
      </c>
      <c r="F5" s="59"/>
    </row>
    <row r="6" spans="1:6" s="60" customFormat="1" ht="21" customHeight="1" x14ac:dyDescent="0.25">
      <c r="A6" s="61" t="s">
        <v>152</v>
      </c>
      <c r="B6" s="66">
        <v>10000000</v>
      </c>
      <c r="C6" s="62">
        <v>10000000</v>
      </c>
      <c r="D6" s="62">
        <v>10000000</v>
      </c>
      <c r="E6" s="63">
        <f>D6-C6</f>
        <v>0</v>
      </c>
      <c r="F6" s="59"/>
    </row>
    <row r="7" spans="1:6" s="60" customFormat="1" ht="21.75" customHeight="1" x14ac:dyDescent="0.25">
      <c r="A7" s="61" t="s">
        <v>153</v>
      </c>
      <c r="B7" s="66">
        <v>2750000</v>
      </c>
      <c r="C7" s="62">
        <f>B7-2500000</f>
        <v>250000</v>
      </c>
      <c r="D7" s="62">
        <v>250000</v>
      </c>
      <c r="E7" s="63">
        <f t="shared" ref="E7:E16" si="0">D7-C7</f>
        <v>0</v>
      </c>
      <c r="F7" s="59"/>
    </row>
    <row r="8" spans="1:6" s="60" customFormat="1" ht="21.75" customHeight="1" x14ac:dyDescent="0.25">
      <c r="A8" s="61" t="s">
        <v>154</v>
      </c>
      <c r="B8" s="66">
        <v>600000</v>
      </c>
      <c r="C8" s="62">
        <v>600000</v>
      </c>
      <c r="D8" s="62">
        <v>600000</v>
      </c>
      <c r="E8" s="63">
        <f t="shared" si="0"/>
        <v>0</v>
      </c>
      <c r="F8" s="59"/>
    </row>
    <row r="9" spans="1:6" s="60" customFormat="1" ht="22.5" customHeight="1" x14ac:dyDescent="0.25">
      <c r="A9" s="61" t="s">
        <v>155</v>
      </c>
      <c r="B9" s="66">
        <v>100000</v>
      </c>
      <c r="C9" s="62">
        <v>100000</v>
      </c>
      <c r="D9" s="62">
        <v>100000</v>
      </c>
      <c r="E9" s="63">
        <f t="shared" si="0"/>
        <v>0</v>
      </c>
      <c r="F9" s="59"/>
    </row>
    <row r="10" spans="1:6" s="60" customFormat="1" ht="21.75" customHeight="1" x14ac:dyDescent="0.25">
      <c r="A10" s="61" t="s">
        <v>156</v>
      </c>
      <c r="B10" s="66">
        <v>3000000</v>
      </c>
      <c r="C10" s="62">
        <v>2000000</v>
      </c>
      <c r="D10" s="62">
        <v>2000000</v>
      </c>
      <c r="E10" s="63">
        <f t="shared" si="0"/>
        <v>0</v>
      </c>
      <c r="F10" s="59"/>
    </row>
    <row r="11" spans="1:6" s="60" customFormat="1" ht="15.75" x14ac:dyDescent="0.25">
      <c r="A11" s="61" t="s">
        <v>157</v>
      </c>
      <c r="B11" s="66">
        <v>1000000</v>
      </c>
      <c r="C11" s="62">
        <v>1000000</v>
      </c>
      <c r="D11" s="62">
        <v>1000000</v>
      </c>
      <c r="E11" s="63">
        <f t="shared" si="0"/>
        <v>0</v>
      </c>
      <c r="F11" s="59"/>
    </row>
    <row r="12" spans="1:6" s="65" customFormat="1" ht="21.75" customHeight="1" x14ac:dyDescent="0.25">
      <c r="A12" s="61" t="s">
        <v>158</v>
      </c>
      <c r="B12" s="161">
        <v>6000000</v>
      </c>
      <c r="C12" s="69">
        <v>6000000</v>
      </c>
      <c r="D12" s="69">
        <v>6000000</v>
      </c>
      <c r="E12" s="63">
        <f t="shared" si="0"/>
        <v>0</v>
      </c>
      <c r="F12" s="64"/>
    </row>
    <row r="13" spans="1:6" s="60" customFormat="1" ht="21" customHeight="1" x14ac:dyDescent="0.25">
      <c r="A13" s="61" t="s">
        <v>159</v>
      </c>
      <c r="B13" s="66">
        <v>200000</v>
      </c>
      <c r="C13" s="62">
        <v>200000</v>
      </c>
      <c r="D13" s="62">
        <v>200000</v>
      </c>
      <c r="E13" s="63">
        <f t="shared" si="0"/>
        <v>0</v>
      </c>
      <c r="F13" s="59"/>
    </row>
    <row r="14" spans="1:6" s="60" customFormat="1" ht="22.5" customHeight="1" x14ac:dyDescent="0.25">
      <c r="A14" s="61" t="s">
        <v>160</v>
      </c>
      <c r="B14" s="66">
        <v>120000</v>
      </c>
      <c r="C14" s="62">
        <v>120000</v>
      </c>
      <c r="D14" s="62">
        <v>120000</v>
      </c>
      <c r="E14" s="63">
        <f t="shared" si="0"/>
        <v>0</v>
      </c>
      <c r="F14" s="59"/>
    </row>
    <row r="15" spans="1:6" s="60" customFormat="1" ht="21.75" customHeight="1" x14ac:dyDescent="0.25">
      <c r="A15" s="61" t="s">
        <v>161</v>
      </c>
      <c r="B15" s="66">
        <v>250000</v>
      </c>
      <c r="C15" s="62">
        <v>250000</v>
      </c>
      <c r="D15" s="62">
        <v>250000</v>
      </c>
      <c r="E15" s="63">
        <f t="shared" si="0"/>
        <v>0</v>
      </c>
      <c r="F15" s="59"/>
    </row>
    <row r="16" spans="1:6" s="60" customFormat="1" ht="21.75" customHeight="1" x14ac:dyDescent="0.25">
      <c r="A16" s="163" t="s">
        <v>162</v>
      </c>
      <c r="B16" s="66">
        <v>250000</v>
      </c>
      <c r="C16" s="62">
        <v>250000</v>
      </c>
      <c r="D16" s="62">
        <v>250000</v>
      </c>
      <c r="E16" s="63">
        <f t="shared" si="0"/>
        <v>0</v>
      </c>
      <c r="F16" s="59"/>
    </row>
    <row r="17" spans="1:6" s="65" customFormat="1" ht="27" customHeight="1" x14ac:dyDescent="0.25">
      <c r="A17" s="67" t="s">
        <v>214</v>
      </c>
      <c r="B17" s="68">
        <f>B18+B19+B20+B21+B22</f>
        <v>90704000</v>
      </c>
      <c r="C17" s="68">
        <f>C18+C19+C20+C21+C22</f>
        <v>94204000</v>
      </c>
      <c r="D17" s="68">
        <f>D18+D19+D20+D21+D22</f>
        <v>95704000</v>
      </c>
      <c r="E17" s="58">
        <f>D17-C17</f>
        <v>1500000</v>
      </c>
      <c r="F17" s="64"/>
    </row>
    <row r="18" spans="1:6" s="65" customFormat="1" ht="27" customHeight="1" x14ac:dyDescent="0.25">
      <c r="A18" s="163" t="s">
        <v>163</v>
      </c>
      <c r="B18" s="69">
        <v>210000</v>
      </c>
      <c r="C18" s="69">
        <v>210000</v>
      </c>
      <c r="D18" s="69">
        <v>210000</v>
      </c>
      <c r="E18" s="63">
        <f>C18-B18</f>
        <v>0</v>
      </c>
      <c r="F18" s="64"/>
    </row>
    <row r="19" spans="1:6" s="65" customFormat="1" ht="27" customHeight="1" x14ac:dyDescent="0.25">
      <c r="A19" s="163" t="s">
        <v>164</v>
      </c>
      <c r="B19" s="69">
        <v>200000</v>
      </c>
      <c r="C19" s="69">
        <v>200000</v>
      </c>
      <c r="D19" s="69">
        <v>200000</v>
      </c>
      <c r="E19" s="63">
        <f t="shared" ref="E19" si="1">C19-B19</f>
        <v>0</v>
      </c>
      <c r="F19" s="64"/>
    </row>
    <row r="20" spans="1:6" s="65" customFormat="1" ht="27" customHeight="1" x14ac:dyDescent="0.25">
      <c r="A20" s="163" t="s">
        <v>165</v>
      </c>
      <c r="B20" s="69">
        <v>75000000</v>
      </c>
      <c r="C20" s="69">
        <v>78500000</v>
      </c>
      <c r="D20" s="69">
        <f>C20+1500000</f>
        <v>80000000</v>
      </c>
      <c r="E20" s="63">
        <f>D20-C20</f>
        <v>1500000</v>
      </c>
      <c r="F20" s="64"/>
    </row>
    <row r="21" spans="1:6" s="65" customFormat="1" ht="27" customHeight="1" x14ac:dyDescent="0.25">
      <c r="A21" s="163" t="s">
        <v>166</v>
      </c>
      <c r="B21" s="69">
        <v>15042000</v>
      </c>
      <c r="C21" s="70">
        <v>15042000</v>
      </c>
      <c r="D21" s="70">
        <v>15042000</v>
      </c>
      <c r="E21" s="63">
        <f t="shared" ref="E21:E27" si="2">C21-B21</f>
        <v>0</v>
      </c>
      <c r="F21" s="64"/>
    </row>
    <row r="22" spans="1:6" s="65" customFormat="1" ht="27" customHeight="1" x14ac:dyDescent="0.25">
      <c r="A22" s="163" t="s">
        <v>167</v>
      </c>
      <c r="B22" s="69">
        <v>252000</v>
      </c>
      <c r="C22" s="70">
        <v>252000</v>
      </c>
      <c r="D22" s="70">
        <v>252000</v>
      </c>
      <c r="E22" s="63">
        <f t="shared" si="2"/>
        <v>0</v>
      </c>
      <c r="F22" s="64"/>
    </row>
    <row r="23" spans="1:6" s="65" customFormat="1" ht="22.5" customHeight="1" x14ac:dyDescent="0.25">
      <c r="A23" s="67" t="s">
        <v>215</v>
      </c>
      <c r="B23" s="68">
        <f>SUM(B24:B24)</f>
        <v>0</v>
      </c>
      <c r="C23" s="68">
        <f>C24</f>
        <v>27600</v>
      </c>
      <c r="D23" s="68">
        <f>D24</f>
        <v>27600</v>
      </c>
      <c r="E23" s="58">
        <f>D23-C23</f>
        <v>0</v>
      </c>
      <c r="F23" s="64"/>
    </row>
    <row r="24" spans="1:6" s="65" customFormat="1" ht="31.5" customHeight="1" x14ac:dyDescent="0.25">
      <c r="A24" s="78" t="s">
        <v>190</v>
      </c>
      <c r="B24" s="69">
        <v>0</v>
      </c>
      <c r="C24" s="69">
        <v>27600</v>
      </c>
      <c r="D24" s="69">
        <v>27600</v>
      </c>
      <c r="E24" s="63">
        <f>D24-C24</f>
        <v>0</v>
      </c>
      <c r="F24" s="64"/>
    </row>
    <row r="25" spans="1:6" s="80" customFormat="1" ht="22.5" customHeight="1" x14ac:dyDescent="0.25">
      <c r="A25" s="71" t="s">
        <v>96</v>
      </c>
      <c r="B25" s="72">
        <f t="shared" ref="B25:C25" si="3">B26+B27+B28</f>
        <v>1140000</v>
      </c>
      <c r="C25" s="72">
        <f t="shared" si="3"/>
        <v>1793076</v>
      </c>
      <c r="D25" s="72">
        <v>1793076</v>
      </c>
      <c r="E25" s="58">
        <f>D25-C25</f>
        <v>0</v>
      </c>
      <c r="F25" s="79"/>
    </row>
    <row r="26" spans="1:6" s="82" customFormat="1" ht="21" customHeight="1" x14ac:dyDescent="0.25">
      <c r="A26" s="19" t="s">
        <v>97</v>
      </c>
      <c r="B26" s="73">
        <v>0</v>
      </c>
      <c r="C26" s="83">
        <v>0</v>
      </c>
      <c r="D26" s="83">
        <v>0</v>
      </c>
      <c r="E26" s="63">
        <f t="shared" si="2"/>
        <v>0</v>
      </c>
      <c r="F26" s="81"/>
    </row>
    <row r="27" spans="1:6" s="82" customFormat="1" ht="21" customHeight="1" x14ac:dyDescent="0.25">
      <c r="A27" s="19" t="s">
        <v>94</v>
      </c>
      <c r="B27" s="73">
        <v>0</v>
      </c>
      <c r="C27" s="83">
        <v>0</v>
      </c>
      <c r="D27" s="83">
        <v>0</v>
      </c>
      <c r="E27" s="63">
        <f t="shared" si="2"/>
        <v>0</v>
      </c>
      <c r="F27" s="81"/>
    </row>
    <row r="28" spans="1:6" s="82" customFormat="1" ht="39" customHeight="1" thickBot="1" x14ac:dyDescent="0.3">
      <c r="A28" s="236" t="s">
        <v>113</v>
      </c>
      <c r="B28" s="237">
        <v>1140000</v>
      </c>
      <c r="C28" s="238">
        <f>B28+653076</f>
        <v>1793076</v>
      </c>
      <c r="D28" s="238">
        <v>1793076</v>
      </c>
      <c r="E28" s="239">
        <f>D28-C28</f>
        <v>0</v>
      </c>
      <c r="F28" s="81"/>
    </row>
    <row r="29" spans="1:6" s="80" customFormat="1" ht="31.5" customHeight="1" thickBot="1" x14ac:dyDescent="0.3">
      <c r="A29" s="240" t="s">
        <v>98</v>
      </c>
      <c r="B29" s="241">
        <f>B4+B17+B23+B25</f>
        <v>116114000</v>
      </c>
      <c r="C29" s="241">
        <f>C4+C17+C23+C25</f>
        <v>116794676</v>
      </c>
      <c r="D29" s="241">
        <f>D4+D17+D23+D25</f>
        <v>119294676</v>
      </c>
      <c r="E29" s="242">
        <f>D29-C29</f>
        <v>2500000</v>
      </c>
      <c r="F29" s="79"/>
    </row>
  </sheetData>
  <sheetProtection selectLockedCells="1" selectUnlockedCells="1"/>
  <mergeCells count="1">
    <mergeCell ref="A1:E1"/>
  </mergeCells>
  <phoneticPr fontId="20" type="noConversion"/>
  <printOptions horizontalCentered="1"/>
  <pageMargins left="0.23622047244094491" right="0.23622047244094491" top="1.299212598425197" bottom="0.31496062992125984" header="0.39370078740157483" footer="0.51181102362204722"/>
  <pageSetup paperSize="9" scale="95" firstPageNumber="0" orientation="portrait" r:id="rId1"/>
  <headerFooter alignWithMargins="0">
    <oddHeader>&amp;C&amp;"Times New Roman,Félkövér"&amp;12 5. melléklet a 9/2017. (IX. 30.) önkormányzati rendelethez
Az önkormányzat 2017. évi költségvetéséről szóló 1/2017. (II. 15.) önkormányzati rendelet 5. mellékletének helyébe a következő 5. melléklet lép: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zoomScaleNormal="100" workbookViewId="0">
      <selection activeCell="A3" sqref="A3:J3"/>
    </sheetView>
  </sheetViews>
  <sheetFormatPr defaultColWidth="9.140625" defaultRowHeight="15.75" x14ac:dyDescent="0.25"/>
  <cols>
    <col min="1" max="1" width="35.42578125" style="279" customWidth="1"/>
    <col min="2" max="2" width="18.42578125" style="278" bestFit="1" customWidth="1"/>
    <col min="3" max="3" width="14.7109375" style="278" bestFit="1" customWidth="1"/>
    <col min="4" max="4" width="15.5703125" style="278" bestFit="1" customWidth="1"/>
    <col min="5" max="5" width="11.140625" style="278" bestFit="1" customWidth="1"/>
    <col min="6" max="6" width="40.7109375" style="279" customWidth="1"/>
    <col min="7" max="7" width="18.42578125" style="278" bestFit="1" customWidth="1"/>
    <col min="8" max="8" width="14.7109375" style="278" bestFit="1" customWidth="1"/>
    <col min="9" max="10" width="12.42578125" style="278" bestFit="1" customWidth="1"/>
    <col min="11" max="11" width="9.140625" style="278"/>
    <col min="12" max="12" width="10.5703125" style="278" customWidth="1"/>
    <col min="13" max="13" width="9.140625" style="278"/>
    <col min="14" max="14" width="12.28515625" style="278" customWidth="1"/>
    <col min="15" max="16384" width="9.140625" style="278"/>
  </cols>
  <sheetData>
    <row r="2" spans="1:12" x14ac:dyDescent="0.25">
      <c r="A2" s="385"/>
      <c r="B2" s="385"/>
      <c r="C2" s="385"/>
      <c r="D2" s="385"/>
      <c r="E2" s="385"/>
      <c r="F2" s="385"/>
      <c r="G2" s="385"/>
      <c r="H2" s="385"/>
      <c r="I2" s="385"/>
      <c r="J2" s="385"/>
    </row>
    <row r="3" spans="1:12" x14ac:dyDescent="0.25">
      <c r="A3" s="386" t="s">
        <v>219</v>
      </c>
      <c r="B3" s="386"/>
      <c r="C3" s="386"/>
      <c r="D3" s="386"/>
      <c r="E3" s="386"/>
      <c r="F3" s="386"/>
      <c r="G3" s="386"/>
      <c r="H3" s="386"/>
      <c r="I3" s="386"/>
      <c r="J3" s="386"/>
    </row>
    <row r="4" spans="1:12" ht="16.5" thickBot="1" x14ac:dyDescent="0.3"/>
    <row r="5" spans="1:12" s="279" customFormat="1" ht="31.5" x14ac:dyDescent="0.25">
      <c r="A5" s="280" t="s">
        <v>220</v>
      </c>
      <c r="B5" s="10" t="s">
        <v>198</v>
      </c>
      <c r="C5" s="10" t="s">
        <v>197</v>
      </c>
      <c r="D5" s="10" t="s">
        <v>196</v>
      </c>
      <c r="E5" s="277" t="s">
        <v>201</v>
      </c>
      <c r="F5" s="281" t="s">
        <v>221</v>
      </c>
      <c r="G5" s="10" t="s">
        <v>198</v>
      </c>
      <c r="H5" s="10" t="s">
        <v>197</v>
      </c>
      <c r="I5" s="357" t="s">
        <v>196</v>
      </c>
      <c r="J5" s="276" t="s">
        <v>201</v>
      </c>
    </row>
    <row r="6" spans="1:12" ht="31.5" x14ac:dyDescent="0.25">
      <c r="A6" s="282" t="s">
        <v>222</v>
      </c>
      <c r="B6" s="120">
        <f>'[2]1.sz.tábla '!B5</f>
        <v>21955111</v>
      </c>
      <c r="C6" s="120">
        <f>'[2]1.sz.tábla '!C5</f>
        <v>23846951</v>
      </c>
      <c r="D6" s="120">
        <f>'1.sz.tábla '!D5</f>
        <v>26741716</v>
      </c>
      <c r="E6" s="120">
        <f>D6-C6</f>
        <v>2894765</v>
      </c>
      <c r="F6" s="283" t="s">
        <v>223</v>
      </c>
      <c r="G6" s="120">
        <f>'[2]3.sz.tábla '!B6</f>
        <v>6405000</v>
      </c>
      <c r="H6" s="120">
        <f>'[2]3.sz.tábla '!C6</f>
        <v>7872540</v>
      </c>
      <c r="I6" s="207">
        <f>'3.sz.tábla '!D6</f>
        <v>8483290</v>
      </c>
      <c r="J6" s="117">
        <f>I6-H6</f>
        <v>610750</v>
      </c>
    </row>
    <row r="7" spans="1:12" ht="31.5" x14ac:dyDescent="0.25">
      <c r="A7" s="282" t="s">
        <v>224</v>
      </c>
      <c r="B7" s="120">
        <f>'[2]1.sz.tábla '!B7</f>
        <v>10650000</v>
      </c>
      <c r="C7" s="120">
        <f>'[2]1.sz.tábla '!C7</f>
        <v>10650000</v>
      </c>
      <c r="D7" s="120">
        <f>'1.sz.tábla '!D7</f>
        <v>10650000</v>
      </c>
      <c r="E7" s="120">
        <f t="shared" ref="E7:E8" si="0">D7-C7</f>
        <v>0</v>
      </c>
      <c r="F7" s="283" t="s">
        <v>225</v>
      </c>
      <c r="G7" s="283">
        <f>'[2]3.sz.tábla '!B7</f>
        <v>1614700</v>
      </c>
      <c r="H7" s="283">
        <f>'[2]3.sz.tábla '!C7</f>
        <v>1776142</v>
      </c>
      <c r="I7" s="207">
        <f>'3.sz.tábla '!D7</f>
        <v>1920970</v>
      </c>
      <c r="J7" s="117">
        <f t="shared" ref="J7:J13" si="1">I7-H7</f>
        <v>144828</v>
      </c>
    </row>
    <row r="8" spans="1:12" x14ac:dyDescent="0.25">
      <c r="A8" s="284" t="s">
        <v>226</v>
      </c>
      <c r="B8" s="120">
        <f>'[2]1.sz.tábla '!B8</f>
        <v>4852500</v>
      </c>
      <c r="C8" s="120">
        <f>'[2]1.sz.tábla '!C8</f>
        <v>4852500</v>
      </c>
      <c r="D8" s="120">
        <f>'1.sz.tábla '!D8</f>
        <v>4852500</v>
      </c>
      <c r="E8" s="120">
        <f t="shared" si="0"/>
        <v>0</v>
      </c>
      <c r="F8" s="283" t="s">
        <v>227</v>
      </c>
      <c r="G8" s="120">
        <f>'[2]3.sz.tábla '!B8</f>
        <v>13500000</v>
      </c>
      <c r="H8" s="120">
        <f>'[2]3.sz.tábla '!C8</f>
        <v>13500000</v>
      </c>
      <c r="I8" s="207">
        <f>'3.sz.tábla '!D8</f>
        <v>13720000</v>
      </c>
      <c r="J8" s="117">
        <f t="shared" si="1"/>
        <v>220000</v>
      </c>
      <c r="L8" s="285"/>
    </row>
    <row r="9" spans="1:12" ht="31.5" x14ac:dyDescent="0.25">
      <c r="A9" s="282" t="s">
        <v>228</v>
      </c>
      <c r="B9" s="120"/>
      <c r="C9" s="120"/>
      <c r="D9" s="120"/>
      <c r="E9" s="120"/>
      <c r="F9" s="283" t="s">
        <v>229</v>
      </c>
      <c r="G9" s="120">
        <f>'[2]3.sz.tábla '!B23</f>
        <v>1943000</v>
      </c>
      <c r="H9" s="120">
        <f>'[2]3.sz.tábla '!C23</f>
        <v>1943000</v>
      </c>
      <c r="I9" s="207">
        <f>'3.sz.tábla '!D24</f>
        <v>1943000</v>
      </c>
      <c r="J9" s="117">
        <f t="shared" si="1"/>
        <v>0</v>
      </c>
    </row>
    <row r="10" spans="1:12" x14ac:dyDescent="0.25">
      <c r="A10" s="284"/>
      <c r="B10" s="120"/>
      <c r="C10" s="120"/>
      <c r="D10" s="120"/>
      <c r="E10" s="120"/>
      <c r="F10" s="283" t="s">
        <v>87</v>
      </c>
      <c r="G10" s="120">
        <f>G12+G13+G14</f>
        <v>7690491</v>
      </c>
      <c r="H10" s="120">
        <f>H12+H13+H14</f>
        <v>7752891</v>
      </c>
      <c r="I10" s="120">
        <f>I12+I13+I14</f>
        <v>7720090</v>
      </c>
      <c r="J10" s="117">
        <f>I10-H10</f>
        <v>-32801</v>
      </c>
    </row>
    <row r="11" spans="1:12" x14ac:dyDescent="0.25">
      <c r="A11" s="284"/>
      <c r="B11" s="120"/>
      <c r="C11" s="120"/>
      <c r="D11" s="120"/>
      <c r="E11" s="120"/>
      <c r="F11" s="283" t="s">
        <v>230</v>
      </c>
      <c r="G11" s="120">
        <v>0</v>
      </c>
      <c r="H11" s="120">
        <v>0</v>
      </c>
      <c r="I11" s="207">
        <v>0</v>
      </c>
      <c r="J11" s="117">
        <f t="shared" si="1"/>
        <v>0</v>
      </c>
    </row>
    <row r="12" spans="1:12" ht="31.5" x14ac:dyDescent="0.25">
      <c r="A12" s="282"/>
      <c r="B12" s="120"/>
      <c r="C12" s="120"/>
      <c r="D12" s="120"/>
      <c r="E12" s="120"/>
      <c r="F12" s="283" t="s">
        <v>231</v>
      </c>
      <c r="G12" s="120">
        <f>'[2]3.sz.tábla '!B31</f>
        <v>7550491</v>
      </c>
      <c r="H12" s="120">
        <f>'[2]3.sz.tábla '!C31</f>
        <v>7522891</v>
      </c>
      <c r="I12" s="207">
        <f>'3.sz.tábla '!D32</f>
        <v>7710090</v>
      </c>
      <c r="J12" s="117">
        <f t="shared" si="1"/>
        <v>187199</v>
      </c>
    </row>
    <row r="13" spans="1:12" ht="31.5" x14ac:dyDescent="0.25">
      <c r="A13" s="286"/>
      <c r="B13" s="120"/>
      <c r="C13" s="120"/>
      <c r="D13" s="120"/>
      <c r="E13" s="120"/>
      <c r="F13" s="283" t="s">
        <v>232</v>
      </c>
      <c r="G13" s="283">
        <f>'[2]3.sz.tábla '!B34</f>
        <v>140000</v>
      </c>
      <c r="H13" s="283">
        <f>'[2]3.sz.tábla '!C34</f>
        <v>230000</v>
      </c>
      <c r="I13" s="207">
        <f>'3.sz.tábla '!D35</f>
        <v>10000</v>
      </c>
      <c r="J13" s="117">
        <f t="shared" si="1"/>
        <v>-220000</v>
      </c>
    </row>
    <row r="14" spans="1:12" ht="47.25" x14ac:dyDescent="0.25">
      <c r="A14" s="282"/>
      <c r="B14" s="120"/>
      <c r="C14" s="120"/>
      <c r="D14" s="120"/>
      <c r="E14" s="120"/>
      <c r="F14" s="283" t="s">
        <v>233</v>
      </c>
      <c r="G14" s="120"/>
      <c r="H14" s="120"/>
      <c r="I14" s="207"/>
      <c r="J14" s="117"/>
    </row>
    <row r="15" spans="1:12" x14ac:dyDescent="0.25">
      <c r="A15" s="284"/>
      <c r="B15" s="120"/>
      <c r="C15" s="120"/>
      <c r="D15" s="120"/>
      <c r="E15" s="120"/>
      <c r="F15" s="283" t="s">
        <v>234</v>
      </c>
      <c r="G15" s="120">
        <f>'[2]1.sz.tábla '!B26</f>
        <v>1595420</v>
      </c>
      <c r="H15" s="120">
        <f>'[2]1.sz.tábla '!C26</f>
        <v>3097542</v>
      </c>
      <c r="I15" s="207">
        <f>'1.sz.tábla '!D25</f>
        <v>2549530</v>
      </c>
      <c r="J15" s="117">
        <f>I15-H15</f>
        <v>-548012</v>
      </c>
    </row>
    <row r="16" spans="1:12" s="115" customFormat="1" ht="31.5" x14ac:dyDescent="0.25">
      <c r="A16" s="287" t="s">
        <v>235</v>
      </c>
      <c r="B16" s="111">
        <f>SUM(B6:B15)</f>
        <v>37457611</v>
      </c>
      <c r="C16" s="111">
        <f>SUM(C6:C15)</f>
        <v>39349451</v>
      </c>
      <c r="D16" s="111">
        <f>SUM(D6:D15)</f>
        <v>42244216</v>
      </c>
      <c r="E16" s="111">
        <f>D16-C16</f>
        <v>2894765</v>
      </c>
      <c r="F16" s="288" t="s">
        <v>236</v>
      </c>
      <c r="G16" s="111">
        <f>G6+G7+G8+G9+G10+G15</f>
        <v>32748611</v>
      </c>
      <c r="H16" s="111">
        <f>H6+H7+H8+H9+H10+H15</f>
        <v>35942115</v>
      </c>
      <c r="I16" s="111">
        <f>I6+I7+I8+I9+I10+I15</f>
        <v>36336880</v>
      </c>
      <c r="J16" s="112">
        <f>I16-H16</f>
        <v>394765</v>
      </c>
    </row>
    <row r="17" spans="1:10" s="115" customFormat="1" x14ac:dyDescent="0.25">
      <c r="A17" s="287" t="s">
        <v>237</v>
      </c>
      <c r="B17" s="111"/>
      <c r="C17" s="111"/>
      <c r="D17" s="111"/>
      <c r="E17" s="120">
        <f t="shared" ref="E17:E21" si="2">C17-B17</f>
        <v>0</v>
      </c>
      <c r="F17" s="288" t="s">
        <v>238</v>
      </c>
      <c r="G17" s="111">
        <f>G16-B16</f>
        <v>-4709000</v>
      </c>
      <c r="H17" s="111">
        <f>H16-C16</f>
        <v>-3407336</v>
      </c>
      <c r="I17" s="111">
        <f>I16-D16</f>
        <v>-5907336</v>
      </c>
      <c r="J17" s="112">
        <f>I17-H17</f>
        <v>-2500000</v>
      </c>
    </row>
    <row r="18" spans="1:10" s="115" customFormat="1" ht="31.5" x14ac:dyDescent="0.25">
      <c r="A18" s="287" t="s">
        <v>239</v>
      </c>
      <c r="B18" s="111">
        <f>SUM(B19)</f>
        <v>36000000</v>
      </c>
      <c r="C18" s="111">
        <f>SUM(C19)</f>
        <v>37329264</v>
      </c>
      <c r="D18" s="111">
        <f>SUM(D19)</f>
        <v>37329264</v>
      </c>
      <c r="E18" s="111">
        <f>D18-C18</f>
        <v>0</v>
      </c>
      <c r="F18" s="288" t="s">
        <v>240</v>
      </c>
      <c r="G18" s="111">
        <f>G19+G20+G21+G22</f>
        <v>1140000</v>
      </c>
      <c r="H18" s="111">
        <f>H19+H20+H21+H22</f>
        <v>1793076</v>
      </c>
      <c r="I18" s="111">
        <f t="shared" ref="I18" si="3">I19+I20+I21+I22</f>
        <v>1793076</v>
      </c>
      <c r="J18" s="112">
        <f>I18-H18</f>
        <v>0</v>
      </c>
    </row>
    <row r="19" spans="1:10" ht="31.5" x14ac:dyDescent="0.25">
      <c r="A19" s="284" t="s">
        <v>241</v>
      </c>
      <c r="B19" s="120">
        <f>'[2]2.sz.tábla'!B66</f>
        <v>36000000</v>
      </c>
      <c r="C19" s="120">
        <f>'[2]2.sz.tábla'!C66</f>
        <v>37329264</v>
      </c>
      <c r="D19" s="120">
        <f>'2.sz.tábla'!D66</f>
        <v>37329264</v>
      </c>
      <c r="E19" s="120">
        <f>D19-C19</f>
        <v>0</v>
      </c>
      <c r="F19" s="283" t="s">
        <v>242</v>
      </c>
      <c r="G19" s="120">
        <f>'[2]5. sz. tábla'!B28</f>
        <v>1140000</v>
      </c>
      <c r="H19" s="120">
        <f>'[2]5. sz. tábla'!C28</f>
        <v>1793076</v>
      </c>
      <c r="I19" s="207">
        <f>'5. sz. tábla'!D28</f>
        <v>1793076</v>
      </c>
      <c r="J19" s="117">
        <f>I19-H19</f>
        <v>0</v>
      </c>
    </row>
    <row r="20" spans="1:10" s="115" customFormat="1" ht="31.5" x14ac:dyDescent="0.25">
      <c r="A20" s="287" t="s">
        <v>243</v>
      </c>
      <c r="B20" s="288">
        <f t="shared" ref="B20:D20" si="4">SUM(B21:B23)</f>
        <v>405000</v>
      </c>
      <c r="C20" s="288">
        <f t="shared" si="4"/>
        <v>1058076</v>
      </c>
      <c r="D20" s="288">
        <f t="shared" si="4"/>
        <v>1058076</v>
      </c>
      <c r="E20" s="111">
        <f>D20-C20</f>
        <v>0</v>
      </c>
      <c r="F20" s="283" t="s">
        <v>244</v>
      </c>
      <c r="G20" s="111">
        <v>0</v>
      </c>
      <c r="H20" s="111">
        <v>0</v>
      </c>
      <c r="I20" s="202">
        <v>0</v>
      </c>
      <c r="J20" s="117">
        <v>0</v>
      </c>
    </row>
    <row r="21" spans="1:10" x14ac:dyDescent="0.25">
      <c r="A21" s="284" t="s">
        <v>245</v>
      </c>
      <c r="B21" s="120">
        <f>'[2]2.sz.tábla'!B70</f>
        <v>0</v>
      </c>
      <c r="C21" s="120">
        <f>'[2]2.sz.tábla'!C70</f>
        <v>0</v>
      </c>
      <c r="D21" s="120">
        <v>0</v>
      </c>
      <c r="E21" s="120">
        <f t="shared" si="2"/>
        <v>0</v>
      </c>
      <c r="F21" s="283" t="s">
        <v>246</v>
      </c>
      <c r="G21" s="120">
        <v>0</v>
      </c>
      <c r="H21" s="120">
        <v>0</v>
      </c>
      <c r="I21" s="207">
        <v>0</v>
      </c>
      <c r="J21" s="117">
        <v>0</v>
      </c>
    </row>
    <row r="22" spans="1:10" x14ac:dyDescent="0.25">
      <c r="A22" s="284" t="s">
        <v>247</v>
      </c>
      <c r="B22" s="120">
        <v>0</v>
      </c>
      <c r="C22" s="120">
        <v>0</v>
      </c>
      <c r="D22" s="120">
        <v>0</v>
      </c>
      <c r="E22" s="120">
        <v>0</v>
      </c>
      <c r="F22" s="283" t="s">
        <v>248</v>
      </c>
      <c r="G22" s="283">
        <f>'[2]5. sz. tábla'!B27</f>
        <v>0</v>
      </c>
      <c r="H22" s="283">
        <f>'[2]5. sz. tábla'!C27</f>
        <v>0</v>
      </c>
      <c r="I22" s="354">
        <v>0</v>
      </c>
      <c r="J22" s="117">
        <f t="shared" ref="J22:J23" si="5">H22-G22</f>
        <v>0</v>
      </c>
    </row>
    <row r="23" spans="1:10" ht="31.5" x14ac:dyDescent="0.25">
      <c r="A23" s="284" t="s">
        <v>249</v>
      </c>
      <c r="B23" s="120">
        <f>'[2]2.sz.tábla'!B71</f>
        <v>405000</v>
      </c>
      <c r="C23" s="120">
        <f>'[2]2.sz.tábla'!C71</f>
        <v>1058076</v>
      </c>
      <c r="D23" s="120">
        <f>'2.sz.tábla'!D71</f>
        <v>1058076</v>
      </c>
      <c r="E23" s="120">
        <f>D23-C23</f>
        <v>0</v>
      </c>
      <c r="F23" s="283"/>
      <c r="G23" s="283"/>
      <c r="H23" s="283"/>
      <c r="I23" s="354"/>
      <c r="J23" s="117">
        <f t="shared" si="5"/>
        <v>0</v>
      </c>
    </row>
    <row r="24" spans="1:10" ht="16.5" thickBot="1" x14ac:dyDescent="0.3">
      <c r="A24" s="289" t="s">
        <v>250</v>
      </c>
      <c r="B24" s="290">
        <f>B16+B18+B20</f>
        <v>73862611</v>
      </c>
      <c r="C24" s="290">
        <f>C16+C18+C20</f>
        <v>77736791</v>
      </c>
      <c r="D24" s="290">
        <f>D16+D18+D20</f>
        <v>80631556</v>
      </c>
      <c r="E24" s="290">
        <f>D24-C24</f>
        <v>2894765</v>
      </c>
      <c r="F24" s="291" t="s">
        <v>251</v>
      </c>
      <c r="G24" s="290">
        <f>G16+G18</f>
        <v>33888611</v>
      </c>
      <c r="H24" s="290">
        <f>H18+H16</f>
        <v>37735191</v>
      </c>
      <c r="I24" s="290">
        <f>I18+I16</f>
        <v>38129956</v>
      </c>
      <c r="J24" s="292">
        <f>J18+J16</f>
        <v>394765</v>
      </c>
    </row>
    <row r="26" spans="1:10" x14ac:dyDescent="0.25">
      <c r="A26" s="385" t="s">
        <v>366</v>
      </c>
      <c r="B26" s="385"/>
      <c r="C26" s="385"/>
      <c r="D26" s="385"/>
      <c r="E26" s="385"/>
      <c r="F26" s="385"/>
      <c r="G26" s="385"/>
      <c r="H26" s="385"/>
      <c r="I26" s="385"/>
      <c r="J26" s="385"/>
    </row>
    <row r="27" spans="1:10" ht="16.5" thickBot="1" x14ac:dyDescent="0.3"/>
    <row r="28" spans="1:10" s="279" customFormat="1" ht="31.5" x14ac:dyDescent="0.25">
      <c r="A28" s="280" t="s">
        <v>252</v>
      </c>
      <c r="B28" s="10" t="s">
        <v>198</v>
      </c>
      <c r="C28" s="10" t="s">
        <v>197</v>
      </c>
      <c r="D28" s="10" t="s">
        <v>196</v>
      </c>
      <c r="E28" s="277" t="s">
        <v>201</v>
      </c>
      <c r="F28" s="281" t="s">
        <v>253</v>
      </c>
      <c r="G28" s="10" t="s">
        <v>198</v>
      </c>
      <c r="H28" s="10" t="s">
        <v>197</v>
      </c>
      <c r="I28" s="357" t="s">
        <v>196</v>
      </c>
      <c r="J28" s="276" t="s">
        <v>201</v>
      </c>
    </row>
    <row r="29" spans="1:10" ht="31.5" x14ac:dyDescent="0.25">
      <c r="A29" s="282" t="s">
        <v>254</v>
      </c>
      <c r="B29" s="120">
        <f>'[2]2.sz.tábla'!B20</f>
        <v>75000000</v>
      </c>
      <c r="C29" s="120">
        <f>'[2]2.sz.tábla'!C20</f>
        <v>75000000</v>
      </c>
      <c r="D29" s="120">
        <f>'2.sz.tábla'!D20</f>
        <v>75000000</v>
      </c>
      <c r="E29" s="120">
        <f>C29-B29</f>
        <v>0</v>
      </c>
      <c r="F29" s="283" t="s">
        <v>255</v>
      </c>
      <c r="G29" s="120">
        <f>'[2]5. sz. tábla'!B4</f>
        <v>24270000</v>
      </c>
      <c r="H29" s="120">
        <f>'[2]5. sz. tábla'!C4</f>
        <v>20770000</v>
      </c>
      <c r="I29" s="207">
        <f>'5. sz. tábla'!D4</f>
        <v>21770000</v>
      </c>
      <c r="J29" s="117">
        <f>I29-H29</f>
        <v>1000000</v>
      </c>
    </row>
    <row r="30" spans="1:10" x14ac:dyDescent="0.25">
      <c r="A30" s="284" t="s">
        <v>256</v>
      </c>
      <c r="B30" s="120">
        <f>'[2]2.sz.tábla'!B52</f>
        <v>0</v>
      </c>
      <c r="C30" s="120">
        <f>'[2]2.sz.tábla'!C52</f>
        <v>0</v>
      </c>
      <c r="D30" s="120">
        <v>0</v>
      </c>
      <c r="E30" s="120">
        <f t="shared" ref="E30:E43" si="6">C30-B30</f>
        <v>0</v>
      </c>
      <c r="F30" s="283" t="s">
        <v>257</v>
      </c>
      <c r="G30" s="283"/>
      <c r="H30" s="283"/>
      <c r="I30" s="354"/>
      <c r="J30" s="117"/>
    </row>
    <row r="31" spans="1:10" ht="31.5" x14ac:dyDescent="0.25">
      <c r="A31" s="284" t="s">
        <v>258</v>
      </c>
      <c r="B31" s="120">
        <f>'[2]1.sz.tábla '!B11</f>
        <v>0</v>
      </c>
      <c r="C31" s="120">
        <f>'[2]1.sz.tábla '!C11</f>
        <v>0</v>
      </c>
      <c r="D31" s="120">
        <v>0</v>
      </c>
      <c r="E31" s="120">
        <f t="shared" si="6"/>
        <v>0</v>
      </c>
      <c r="F31" s="283" t="s">
        <v>259</v>
      </c>
      <c r="G31" s="120">
        <f>'[2]5. sz. tábla'!B16</f>
        <v>90704000</v>
      </c>
      <c r="H31" s="120">
        <f>'[2]5. sz. tábla'!C16</f>
        <v>94204000</v>
      </c>
      <c r="I31" s="207">
        <f>'5. sz. tábla'!D17</f>
        <v>95704000</v>
      </c>
      <c r="J31" s="117">
        <f t="shared" ref="J31:J32" si="7">I31-H31</f>
        <v>1500000</v>
      </c>
    </row>
    <row r="32" spans="1:10" x14ac:dyDescent="0.25">
      <c r="A32" s="284"/>
      <c r="B32" s="120"/>
      <c r="C32" s="120"/>
      <c r="D32" s="120"/>
      <c r="E32" s="120"/>
      <c r="F32" s="283" t="s">
        <v>260</v>
      </c>
      <c r="G32" s="120">
        <f>'[2]5. sz. tábla'!B23</f>
        <v>0</v>
      </c>
      <c r="H32" s="120">
        <f>'[2]5. sz. tábla'!C23</f>
        <v>27600</v>
      </c>
      <c r="I32" s="207">
        <f>'5. sz. tábla'!D23</f>
        <v>27600</v>
      </c>
      <c r="J32" s="117">
        <f t="shared" si="7"/>
        <v>0</v>
      </c>
    </row>
    <row r="33" spans="1:10" ht="31.5" x14ac:dyDescent="0.25">
      <c r="A33" s="284"/>
      <c r="B33" s="283"/>
      <c r="C33" s="283"/>
      <c r="D33" s="283"/>
      <c r="E33" s="120"/>
      <c r="F33" s="283" t="s">
        <v>261</v>
      </c>
      <c r="G33" s="283"/>
      <c r="H33" s="283"/>
      <c r="I33" s="354"/>
      <c r="J33" s="117">
        <f t="shared" ref="J33:J43" si="8">H33-G33</f>
        <v>0</v>
      </c>
    </row>
    <row r="34" spans="1:10" ht="31.5" x14ac:dyDescent="0.25">
      <c r="A34" s="284"/>
      <c r="B34" s="283"/>
      <c r="C34" s="283"/>
      <c r="D34" s="283"/>
      <c r="E34" s="120"/>
      <c r="F34" s="293" t="s">
        <v>262</v>
      </c>
      <c r="G34" s="294"/>
      <c r="H34" s="294"/>
      <c r="I34" s="355"/>
      <c r="J34" s="117">
        <f t="shared" si="8"/>
        <v>0</v>
      </c>
    </row>
    <row r="35" spans="1:10" ht="47.25" x14ac:dyDescent="0.25">
      <c r="A35" s="284"/>
      <c r="B35" s="120"/>
      <c r="C35" s="120"/>
      <c r="D35" s="120"/>
      <c r="E35" s="120"/>
      <c r="F35" s="283" t="s">
        <v>263</v>
      </c>
      <c r="G35" s="120"/>
      <c r="H35" s="120"/>
      <c r="I35" s="207"/>
      <c r="J35" s="117">
        <f t="shared" si="8"/>
        <v>0</v>
      </c>
    </row>
    <row r="36" spans="1:10" ht="47.25" x14ac:dyDescent="0.25">
      <c r="A36" s="284"/>
      <c r="B36" s="120"/>
      <c r="C36" s="120"/>
      <c r="D36" s="120"/>
      <c r="E36" s="120"/>
      <c r="F36" s="283" t="s">
        <v>264</v>
      </c>
      <c r="G36" s="120"/>
      <c r="H36" s="120"/>
      <c r="I36" s="207"/>
      <c r="J36" s="117">
        <f t="shared" si="8"/>
        <v>0</v>
      </c>
    </row>
    <row r="37" spans="1:10" s="115" customFormat="1" ht="31.5" x14ac:dyDescent="0.25">
      <c r="A37" s="287" t="s">
        <v>265</v>
      </c>
      <c r="B37" s="111">
        <f>SUM(B29:B35)</f>
        <v>75000000</v>
      </c>
      <c r="C37" s="111">
        <f>SUM(C29:C35)</f>
        <v>75000000</v>
      </c>
      <c r="D37" s="111">
        <f>SUM(D29:D35)</f>
        <v>75000000</v>
      </c>
      <c r="E37" s="111">
        <f t="shared" si="6"/>
        <v>0</v>
      </c>
      <c r="F37" s="288" t="s">
        <v>266</v>
      </c>
      <c r="G37" s="111">
        <f>SUM(G29:G32)</f>
        <v>114974000</v>
      </c>
      <c r="H37" s="111">
        <f>SUM(H29:H32)</f>
        <v>115001600</v>
      </c>
      <c r="I37" s="111">
        <f>SUM(I29:I32)</f>
        <v>117501600</v>
      </c>
      <c r="J37" s="112">
        <f t="shared" si="8"/>
        <v>27600</v>
      </c>
    </row>
    <row r="38" spans="1:10" s="115" customFormat="1" x14ac:dyDescent="0.25">
      <c r="A38" s="287" t="s">
        <v>267</v>
      </c>
      <c r="B38" s="111"/>
      <c r="C38" s="111"/>
      <c r="D38" s="111"/>
      <c r="E38" s="120"/>
      <c r="F38" s="288" t="s">
        <v>268</v>
      </c>
      <c r="G38" s="111">
        <f>G37-B37</f>
        <v>39974000</v>
      </c>
      <c r="H38" s="111">
        <f>H37-C37</f>
        <v>40001600</v>
      </c>
      <c r="I38" s="111">
        <f>I37-D37</f>
        <v>42501600</v>
      </c>
      <c r="J38" s="112">
        <f t="shared" si="8"/>
        <v>27600</v>
      </c>
    </row>
    <row r="39" spans="1:10" s="115" customFormat="1" ht="31.5" x14ac:dyDescent="0.25">
      <c r="A39" s="287" t="s">
        <v>269</v>
      </c>
      <c r="B39" s="111">
        <f>SUM(B40)</f>
        <v>36000000</v>
      </c>
      <c r="C39" s="111">
        <f t="shared" ref="C39:D39" si="9">SUM(C40)</f>
        <v>37329264</v>
      </c>
      <c r="D39" s="111">
        <f t="shared" si="9"/>
        <v>37329264</v>
      </c>
      <c r="E39" s="111">
        <f>D39-C39</f>
        <v>0</v>
      </c>
      <c r="F39" s="288" t="s">
        <v>270</v>
      </c>
      <c r="G39" s="111">
        <f>SUM(G40:G42)</f>
        <v>0</v>
      </c>
      <c r="H39" s="111">
        <f t="shared" ref="H39" si="10">SUM(H40:H42)</f>
        <v>0</v>
      </c>
      <c r="I39" s="202">
        <v>0</v>
      </c>
      <c r="J39" s="117">
        <f t="shared" si="8"/>
        <v>0</v>
      </c>
    </row>
    <row r="40" spans="1:10" x14ac:dyDescent="0.25">
      <c r="A40" s="284" t="s">
        <v>271</v>
      </c>
      <c r="B40" s="120">
        <f>'[2]2.sz.tábla'!B67</f>
        <v>36000000</v>
      </c>
      <c r="C40" s="120">
        <f>'[2]2.sz.tábla'!C67</f>
        <v>37329264</v>
      </c>
      <c r="D40" s="120">
        <f>'2.sz.tábla'!D67</f>
        <v>37329264</v>
      </c>
      <c r="E40" s="120">
        <f>D40-C40</f>
        <v>0</v>
      </c>
      <c r="F40" s="283" t="s">
        <v>272</v>
      </c>
      <c r="G40" s="120"/>
      <c r="H40" s="120"/>
      <c r="I40" s="207"/>
      <c r="J40" s="117">
        <f t="shared" si="8"/>
        <v>0</v>
      </c>
    </row>
    <row r="41" spans="1:10" ht="31.5" x14ac:dyDescent="0.25">
      <c r="A41" s="287" t="s">
        <v>273</v>
      </c>
      <c r="B41" s="111">
        <f>SUM(B42:B43)</f>
        <v>0</v>
      </c>
      <c r="C41" s="111">
        <f>SUM(C42:C43)</f>
        <v>0</v>
      </c>
      <c r="D41" s="111">
        <f>SUM(D42:D43)</f>
        <v>0</v>
      </c>
      <c r="E41" s="120">
        <f t="shared" si="6"/>
        <v>0</v>
      </c>
      <c r="F41" s="283" t="s">
        <v>274</v>
      </c>
      <c r="G41" s="120"/>
      <c r="H41" s="120"/>
      <c r="I41" s="207"/>
      <c r="J41" s="117">
        <f t="shared" si="8"/>
        <v>0</v>
      </c>
    </row>
    <row r="42" spans="1:10" ht="31.5" x14ac:dyDescent="0.25">
      <c r="A42" s="284" t="s">
        <v>275</v>
      </c>
      <c r="B42" s="120"/>
      <c r="C42" s="120"/>
      <c r="D42" s="120"/>
      <c r="E42" s="120">
        <f t="shared" si="6"/>
        <v>0</v>
      </c>
      <c r="F42" s="283" t="s">
        <v>276</v>
      </c>
      <c r="G42" s="120"/>
      <c r="H42" s="120"/>
      <c r="I42" s="207"/>
      <c r="J42" s="117">
        <f t="shared" si="8"/>
        <v>0</v>
      </c>
    </row>
    <row r="43" spans="1:10" x14ac:dyDescent="0.25">
      <c r="A43" s="284" t="s">
        <v>277</v>
      </c>
      <c r="B43" s="120"/>
      <c r="C43" s="120"/>
      <c r="D43" s="120"/>
      <c r="E43" s="120">
        <f t="shared" si="6"/>
        <v>0</v>
      </c>
      <c r="F43" s="283"/>
      <c r="G43" s="120"/>
      <c r="H43" s="120"/>
      <c r="I43" s="207"/>
      <c r="J43" s="117">
        <f t="shared" si="8"/>
        <v>0</v>
      </c>
    </row>
    <row r="44" spans="1:10" s="115" customFormat="1" ht="16.5" thickBot="1" x14ac:dyDescent="0.3">
      <c r="A44" s="289" t="s">
        <v>278</v>
      </c>
      <c r="B44" s="290">
        <f>B37+B39+B41</f>
        <v>111000000</v>
      </c>
      <c r="C44" s="290">
        <f>C37+C39+C41</f>
        <v>112329264</v>
      </c>
      <c r="D44" s="290">
        <f>D37+D39+D41</f>
        <v>112329264</v>
      </c>
      <c r="E44" s="290">
        <f>D44-C44</f>
        <v>0</v>
      </c>
      <c r="F44" s="291" t="s">
        <v>279</v>
      </c>
      <c r="G44" s="290">
        <f>G37+G39</f>
        <v>114974000</v>
      </c>
      <c r="H44" s="290">
        <f>H37+H39</f>
        <v>115001600</v>
      </c>
      <c r="I44" s="290">
        <f>I37+I39</f>
        <v>117501600</v>
      </c>
      <c r="J44" s="292">
        <f>I44-H44</f>
        <v>2500000</v>
      </c>
    </row>
    <row r="45" spans="1:10" x14ac:dyDescent="0.25">
      <c r="A45" s="295"/>
      <c r="B45" s="296"/>
      <c r="C45" s="296"/>
      <c r="D45" s="296"/>
      <c r="E45" s="296"/>
      <c r="F45" s="295"/>
      <c r="G45" s="296"/>
      <c r="H45" s="296"/>
      <c r="I45" s="296"/>
      <c r="J45" s="296"/>
    </row>
    <row r="46" spans="1:10" x14ac:dyDescent="0.25">
      <c r="A46" s="295"/>
      <c r="B46" s="296"/>
      <c r="C46" s="296"/>
      <c r="D46" s="296"/>
      <c r="E46" s="296"/>
      <c r="F46" s="295"/>
      <c r="G46" s="296"/>
      <c r="H46" s="296"/>
      <c r="I46" s="296"/>
      <c r="J46" s="296"/>
    </row>
    <row r="47" spans="1:10" x14ac:dyDescent="0.25">
      <c r="A47" s="295"/>
      <c r="B47" s="296"/>
      <c r="C47" s="296"/>
      <c r="D47" s="296"/>
      <c r="E47" s="296"/>
      <c r="F47" s="295"/>
      <c r="G47" s="296"/>
      <c r="H47" s="296"/>
      <c r="I47" s="296"/>
      <c r="J47" s="296"/>
    </row>
    <row r="48" spans="1:10" x14ac:dyDescent="0.25">
      <c r="A48" s="295"/>
      <c r="B48" s="296"/>
      <c r="C48" s="296"/>
      <c r="D48" s="296"/>
      <c r="E48" s="296"/>
      <c r="F48" s="295"/>
      <c r="G48" s="296"/>
      <c r="H48" s="296"/>
      <c r="I48" s="296"/>
      <c r="J48" s="296"/>
    </row>
    <row r="49" spans="1:10" x14ac:dyDescent="0.25">
      <c r="A49" s="385" t="s">
        <v>365</v>
      </c>
      <c r="B49" s="385"/>
      <c r="C49" s="385"/>
      <c r="D49" s="385"/>
      <c r="E49" s="385"/>
      <c r="F49" s="385"/>
      <c r="G49" s="385"/>
      <c r="H49" s="385"/>
      <c r="I49" s="385"/>
      <c r="J49" s="385"/>
    </row>
    <row r="50" spans="1:10" ht="16.5" thickBot="1" x14ac:dyDescent="0.3"/>
    <row r="51" spans="1:10" s="279" customFormat="1" ht="31.5" x14ac:dyDescent="0.25">
      <c r="A51" s="280" t="s">
        <v>280</v>
      </c>
      <c r="B51" s="10" t="s">
        <v>198</v>
      </c>
      <c r="C51" s="10" t="s">
        <v>197</v>
      </c>
      <c r="D51" s="10" t="s">
        <v>196</v>
      </c>
      <c r="E51" s="277" t="s">
        <v>201</v>
      </c>
      <c r="F51" s="281" t="s">
        <v>281</v>
      </c>
      <c r="G51" s="10" t="s">
        <v>198</v>
      </c>
      <c r="H51" s="10" t="s">
        <v>197</v>
      </c>
      <c r="I51" s="357" t="s">
        <v>196</v>
      </c>
      <c r="J51" s="276" t="s">
        <v>201</v>
      </c>
    </row>
    <row r="52" spans="1:10" x14ac:dyDescent="0.25">
      <c r="A52" s="284" t="s">
        <v>282</v>
      </c>
      <c r="B52" s="120">
        <f>B16</f>
        <v>37457611</v>
      </c>
      <c r="C52" s="120">
        <f t="shared" ref="C52:E52" si="11">C16</f>
        <v>39349451</v>
      </c>
      <c r="D52" s="120">
        <f t="shared" si="11"/>
        <v>42244216</v>
      </c>
      <c r="E52" s="120">
        <f t="shared" si="11"/>
        <v>2894765</v>
      </c>
      <c r="F52" s="283" t="s">
        <v>283</v>
      </c>
      <c r="G52" s="120">
        <f>G16</f>
        <v>32748611</v>
      </c>
      <c r="H52" s="120">
        <f>H16</f>
        <v>35942115</v>
      </c>
      <c r="I52" s="120">
        <f>I16</f>
        <v>36336880</v>
      </c>
      <c r="J52" s="117">
        <f>I52-H52</f>
        <v>394765</v>
      </c>
    </row>
    <row r="53" spans="1:10" x14ac:dyDescent="0.25">
      <c r="A53" s="284" t="s">
        <v>284</v>
      </c>
      <c r="B53" s="120">
        <f>B37</f>
        <v>75000000</v>
      </c>
      <c r="C53" s="120">
        <f t="shared" ref="C53:E53" si="12">C37</f>
        <v>75000000</v>
      </c>
      <c r="D53" s="120">
        <f t="shared" si="12"/>
        <v>75000000</v>
      </c>
      <c r="E53" s="120">
        <f t="shared" si="12"/>
        <v>0</v>
      </c>
      <c r="F53" s="283" t="s">
        <v>285</v>
      </c>
      <c r="G53" s="120">
        <f>G37</f>
        <v>114974000</v>
      </c>
      <c r="H53" s="120">
        <f>H37</f>
        <v>115001600</v>
      </c>
      <c r="I53" s="120">
        <f>I37</f>
        <v>117501600</v>
      </c>
      <c r="J53" s="117">
        <f>I53-H53</f>
        <v>2500000</v>
      </c>
    </row>
    <row r="54" spans="1:10" s="115" customFormat="1" x14ac:dyDescent="0.25">
      <c r="A54" s="287" t="s">
        <v>11</v>
      </c>
      <c r="B54" s="111">
        <f>SUM(B52:B53)</f>
        <v>112457611</v>
      </c>
      <c r="C54" s="111">
        <f t="shared" ref="C54:E54" si="13">SUM(C52:C53)</f>
        <v>114349451</v>
      </c>
      <c r="D54" s="111">
        <f t="shared" si="13"/>
        <v>117244216</v>
      </c>
      <c r="E54" s="111">
        <f t="shared" si="13"/>
        <v>2894765</v>
      </c>
      <c r="F54" s="288" t="s">
        <v>20</v>
      </c>
      <c r="G54" s="111">
        <f>SUM(G52:G53)</f>
        <v>147722611</v>
      </c>
      <c r="H54" s="111">
        <f>SUM(H52:H53)</f>
        <v>150943715</v>
      </c>
      <c r="I54" s="111">
        <f>SUM(I52:I53)</f>
        <v>153838480</v>
      </c>
      <c r="J54" s="112">
        <f>SUM(J52:J53)</f>
        <v>2894765</v>
      </c>
    </row>
    <row r="55" spans="1:10" s="115" customFormat="1" x14ac:dyDescent="0.25">
      <c r="A55" s="287" t="s">
        <v>286</v>
      </c>
      <c r="B55" s="111"/>
      <c r="C55" s="111"/>
      <c r="D55" s="111"/>
      <c r="E55" s="111"/>
      <c r="F55" s="288" t="s">
        <v>287</v>
      </c>
      <c r="G55" s="111">
        <f>G54-B54</f>
        <v>35265000</v>
      </c>
      <c r="H55" s="111">
        <f>H54-C54</f>
        <v>36594264</v>
      </c>
      <c r="I55" s="111">
        <f>I54-D54</f>
        <v>36594264</v>
      </c>
      <c r="J55" s="112">
        <f>J54-E54</f>
        <v>0</v>
      </c>
    </row>
    <row r="56" spans="1:10" s="115" customFormat="1" ht="31.5" x14ac:dyDescent="0.25">
      <c r="A56" s="287" t="s">
        <v>288</v>
      </c>
      <c r="B56" s="111">
        <f>SUM(B57:B58)</f>
        <v>36000000</v>
      </c>
      <c r="C56" s="111">
        <f t="shared" ref="C56:E56" si="14">SUM(C57:C58)</f>
        <v>37329264</v>
      </c>
      <c r="D56" s="111">
        <f t="shared" si="14"/>
        <v>37329264</v>
      </c>
      <c r="E56" s="111">
        <f t="shared" si="14"/>
        <v>0</v>
      </c>
      <c r="F56" s="288" t="s">
        <v>289</v>
      </c>
      <c r="G56" s="111">
        <f>SUM(G57:G58)</f>
        <v>1140000</v>
      </c>
      <c r="H56" s="111">
        <f>SUM(H57:H58)</f>
        <v>1793076</v>
      </c>
      <c r="I56" s="111">
        <f>SUM(I57:I58)</f>
        <v>1793076</v>
      </c>
      <c r="J56" s="112">
        <f>SUM(J57:J58)</f>
        <v>0</v>
      </c>
    </row>
    <row r="57" spans="1:10" ht="31.5" x14ac:dyDescent="0.25">
      <c r="A57" s="284" t="s">
        <v>239</v>
      </c>
      <c r="B57" s="120">
        <f>B18</f>
        <v>36000000</v>
      </c>
      <c r="C57" s="120">
        <f t="shared" ref="C57:E57" si="15">C18</f>
        <v>37329264</v>
      </c>
      <c r="D57" s="120">
        <f t="shared" si="15"/>
        <v>37329264</v>
      </c>
      <c r="E57" s="120">
        <f t="shared" si="15"/>
        <v>0</v>
      </c>
      <c r="F57" s="283" t="s">
        <v>290</v>
      </c>
      <c r="G57" s="120">
        <f>G18</f>
        <v>1140000</v>
      </c>
      <c r="H57" s="120">
        <f>H18</f>
        <v>1793076</v>
      </c>
      <c r="I57" s="120">
        <f>I18</f>
        <v>1793076</v>
      </c>
      <c r="J57" s="117">
        <f>J18</f>
        <v>0</v>
      </c>
    </row>
    <row r="58" spans="1:10" ht="31.5" x14ac:dyDescent="0.25">
      <c r="A58" s="284" t="s">
        <v>269</v>
      </c>
      <c r="B58" s="120"/>
      <c r="C58" s="120"/>
      <c r="D58" s="120"/>
      <c r="E58" s="120"/>
      <c r="F58" s="283" t="s">
        <v>291</v>
      </c>
      <c r="G58" s="120">
        <f>G39</f>
        <v>0</v>
      </c>
      <c r="H58" s="120">
        <f>H39</f>
        <v>0</v>
      </c>
      <c r="I58" s="120">
        <f>I39</f>
        <v>0</v>
      </c>
      <c r="J58" s="117">
        <f>J39</f>
        <v>0</v>
      </c>
    </row>
    <row r="59" spans="1:10" s="115" customFormat="1" ht="31.5" x14ac:dyDescent="0.25">
      <c r="A59" s="287" t="s">
        <v>292</v>
      </c>
      <c r="B59" s="111">
        <f>SUM(B60:B61)</f>
        <v>405000</v>
      </c>
      <c r="C59" s="111">
        <f t="shared" ref="C59:E59" si="16">SUM(C60:C61)</f>
        <v>1058076</v>
      </c>
      <c r="D59" s="111">
        <f t="shared" si="16"/>
        <v>1058076</v>
      </c>
      <c r="E59" s="111">
        <f t="shared" si="16"/>
        <v>0</v>
      </c>
      <c r="F59" s="288"/>
      <c r="G59" s="288"/>
      <c r="H59" s="288"/>
      <c r="I59" s="356"/>
      <c r="J59" s="297"/>
    </row>
    <row r="60" spans="1:10" ht="31.5" x14ac:dyDescent="0.25">
      <c r="A60" s="284" t="s">
        <v>243</v>
      </c>
      <c r="B60" s="120">
        <f>B20</f>
        <v>405000</v>
      </c>
      <c r="C60" s="120">
        <f t="shared" ref="C60:E60" si="17">C20</f>
        <v>1058076</v>
      </c>
      <c r="D60" s="120">
        <f t="shared" si="17"/>
        <v>1058076</v>
      </c>
      <c r="E60" s="120">
        <f t="shared" si="17"/>
        <v>0</v>
      </c>
      <c r="F60" s="283"/>
      <c r="G60" s="120"/>
      <c r="H60" s="120"/>
      <c r="I60" s="207"/>
      <c r="J60" s="117"/>
    </row>
    <row r="61" spans="1:10" ht="31.5" x14ac:dyDescent="0.25">
      <c r="A61" s="284" t="s">
        <v>273</v>
      </c>
      <c r="B61" s="120">
        <f>B41</f>
        <v>0</v>
      </c>
      <c r="C61" s="120">
        <f>C41</f>
        <v>0</v>
      </c>
      <c r="D61" s="120">
        <f>D41</f>
        <v>0</v>
      </c>
      <c r="E61" s="120">
        <f>E41</f>
        <v>0</v>
      </c>
      <c r="F61" s="288"/>
      <c r="G61" s="111"/>
      <c r="H61" s="111"/>
      <c r="I61" s="202"/>
      <c r="J61" s="112"/>
    </row>
    <row r="62" spans="1:10" s="115" customFormat="1" ht="16.5" thickBot="1" x14ac:dyDescent="0.3">
      <c r="A62" s="289" t="s">
        <v>67</v>
      </c>
      <c r="B62" s="290">
        <f>B54+B56+B59</f>
        <v>148862611</v>
      </c>
      <c r="C62" s="290">
        <f>C54+C56+C59</f>
        <v>152736791</v>
      </c>
      <c r="D62" s="290">
        <f>D54+D56+D59</f>
        <v>155631556</v>
      </c>
      <c r="E62" s="290">
        <f>E54+E56+E59</f>
        <v>2894765</v>
      </c>
      <c r="F62" s="291" t="s">
        <v>293</v>
      </c>
      <c r="G62" s="290">
        <f>G54+G56</f>
        <v>148862611</v>
      </c>
      <c r="H62" s="290">
        <f>H54+H56</f>
        <v>152736791</v>
      </c>
      <c r="I62" s="290">
        <f>I54+I56</f>
        <v>155631556</v>
      </c>
      <c r="J62" s="292">
        <f>J54+J56</f>
        <v>2894765</v>
      </c>
    </row>
    <row r="63" spans="1:10" x14ac:dyDescent="0.25">
      <c r="A63" s="279" t="s">
        <v>294</v>
      </c>
      <c r="G63" s="278">
        <f>B62-G62</f>
        <v>0</v>
      </c>
      <c r="H63" s="278">
        <f>C62-H62</f>
        <v>0</v>
      </c>
      <c r="I63" s="278">
        <f>D62-I62</f>
        <v>0</v>
      </c>
      <c r="J63" s="278">
        <f>E62-J62</f>
        <v>0</v>
      </c>
    </row>
  </sheetData>
  <mergeCells count="4">
    <mergeCell ref="A2:J2"/>
    <mergeCell ref="A3:J3"/>
    <mergeCell ref="A26:J26"/>
    <mergeCell ref="A49:J49"/>
  </mergeCells>
  <pageMargins left="1.8897637795275593" right="0.70866141732283472" top="0.94488188976377963" bottom="0.74803149606299213" header="0.51181102362204722" footer="0.31496062992125984"/>
  <pageSetup paperSize="9" scale="52" orientation="landscape" r:id="rId1"/>
  <headerFooter>
    <oddHeader>&amp;C&amp;"Times New Roman,Normál"&amp;12 6. melléklet a 9/2017. (IX. 30.) önkormányzati rendelethez
Az önkormányzat 2017. évi költségvetéséről szóló 1/2017. (II. 15.) önkormányzati rendelet 6. mellékletének helyébe a következő 6. melléklet lép:</oddHeader>
  </headerFooter>
  <rowBreaks count="1" manualBreakCount="1">
    <brk id="2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view="pageLayout" zoomScaleNormal="100" workbookViewId="0">
      <selection activeCell="A3" sqref="A3:J3"/>
    </sheetView>
  </sheetViews>
  <sheetFormatPr defaultColWidth="9.140625" defaultRowHeight="15.75" x14ac:dyDescent="0.25"/>
  <cols>
    <col min="1" max="1" width="43.28515625" style="298" customWidth="1"/>
    <col min="2" max="2" width="14.140625" style="299" customWidth="1"/>
    <col min="3" max="3" width="14.7109375" style="299" bestFit="1" customWidth="1"/>
    <col min="4" max="4" width="15.5703125" style="299" bestFit="1" customWidth="1"/>
    <col min="5" max="5" width="12.140625" style="299" customWidth="1"/>
    <col min="6" max="6" width="43.5703125" style="299" customWidth="1"/>
    <col min="7" max="9" width="14.28515625" style="299" customWidth="1"/>
    <col min="10" max="10" width="13.7109375" style="299" customWidth="1"/>
    <col min="11" max="16384" width="9.140625" style="299"/>
  </cols>
  <sheetData>
    <row r="2" spans="1:10" x14ac:dyDescent="0.25">
      <c r="F2" s="300"/>
    </row>
    <row r="3" spans="1:10" ht="15.75" customHeight="1" x14ac:dyDescent="0.25">
      <c r="A3" s="387" t="s">
        <v>295</v>
      </c>
      <c r="B3" s="387"/>
      <c r="C3" s="387"/>
      <c r="D3" s="387"/>
      <c r="E3" s="387"/>
      <c r="F3" s="387"/>
      <c r="G3" s="387"/>
      <c r="H3" s="387"/>
      <c r="I3" s="387"/>
      <c r="J3" s="387"/>
    </row>
    <row r="4" spans="1:10" ht="16.5" thickBot="1" x14ac:dyDescent="0.3"/>
    <row r="5" spans="1:10" s="298" customFormat="1" ht="31.5" x14ac:dyDescent="0.25">
      <c r="A5" s="301" t="s">
        <v>220</v>
      </c>
      <c r="B5" s="10" t="s">
        <v>198</v>
      </c>
      <c r="C5" s="10" t="s">
        <v>197</v>
      </c>
      <c r="D5" s="10" t="s">
        <v>196</v>
      </c>
      <c r="E5" s="277" t="s">
        <v>201</v>
      </c>
      <c r="F5" s="302" t="s">
        <v>221</v>
      </c>
      <c r="G5" s="10" t="s">
        <v>198</v>
      </c>
      <c r="H5" s="277" t="s">
        <v>197</v>
      </c>
      <c r="I5" s="357" t="s">
        <v>196</v>
      </c>
      <c r="J5" s="276" t="s">
        <v>201</v>
      </c>
    </row>
    <row r="6" spans="1:10" s="298" customFormat="1" x14ac:dyDescent="0.25">
      <c r="A6" s="303" t="s">
        <v>296</v>
      </c>
      <c r="B6" s="304"/>
      <c r="C6" s="304"/>
      <c r="D6" s="304"/>
      <c r="E6" s="304"/>
      <c r="F6" s="305" t="s">
        <v>15</v>
      </c>
      <c r="G6" s="306"/>
      <c r="H6" s="306"/>
      <c r="I6" s="358"/>
      <c r="J6" s="307"/>
    </row>
    <row r="7" spans="1:10" ht="31.5" x14ac:dyDescent="0.25">
      <c r="A7" s="308" t="s">
        <v>297</v>
      </c>
      <c r="B7" s="309">
        <f>'[2]6. sz. tábla '!B6</f>
        <v>21955111</v>
      </c>
      <c r="C7" s="309">
        <f>'[2]6. sz. tábla '!C6</f>
        <v>23846951</v>
      </c>
      <c r="D7" s="309">
        <f>'6. sz. tábla'!D6</f>
        <v>26741716</v>
      </c>
      <c r="E7" s="309">
        <f>D7-C7</f>
        <v>2894765</v>
      </c>
      <c r="F7" s="310" t="s">
        <v>223</v>
      </c>
      <c r="G7" s="309">
        <f>'[2]6. sz. tábla '!F6</f>
        <v>6405000</v>
      </c>
      <c r="H7" s="309">
        <f>'[2]6. sz. tábla '!G6</f>
        <v>7872540</v>
      </c>
      <c r="I7" s="359">
        <f>'6. sz. tábla'!I6</f>
        <v>8483290</v>
      </c>
      <c r="J7" s="311">
        <f>I7-H7</f>
        <v>610750</v>
      </c>
    </row>
    <row r="8" spans="1:10" ht="17.25" customHeight="1" x14ac:dyDescent="0.25">
      <c r="A8" s="312" t="s">
        <v>224</v>
      </c>
      <c r="B8" s="120">
        <f>'[2]6. sz. tábla '!B7</f>
        <v>10650000</v>
      </c>
      <c r="C8" s="120">
        <f>'[2]6. sz. tábla '!C7</f>
        <v>10650000</v>
      </c>
      <c r="D8" s="120">
        <f>'6. sz. tábla'!D7</f>
        <v>10650000</v>
      </c>
      <c r="E8" s="309">
        <f t="shared" ref="E8:E28" si="0">C8-B8</f>
        <v>0</v>
      </c>
      <c r="F8" s="310" t="s">
        <v>85</v>
      </c>
      <c r="G8" s="309">
        <f>'[2]6. sz. tábla '!F7</f>
        <v>1614700</v>
      </c>
      <c r="H8" s="309">
        <f>'[2]6. sz. tábla '!G7</f>
        <v>1776142</v>
      </c>
      <c r="I8" s="359">
        <f>'6. sz. tábla'!I7</f>
        <v>1920970</v>
      </c>
      <c r="J8" s="311">
        <f>I8-H8</f>
        <v>144828</v>
      </c>
    </row>
    <row r="9" spans="1:10" x14ac:dyDescent="0.25">
      <c r="A9" s="312" t="s">
        <v>226</v>
      </c>
      <c r="B9" s="309">
        <f>'[2]6. sz. tábla '!B8-B38</f>
        <v>4852500</v>
      </c>
      <c r="C9" s="309">
        <f>'[2]6. sz. tábla '!C8-C38</f>
        <v>4852500</v>
      </c>
      <c r="D9" s="309">
        <f>'6. sz. tábla'!D8</f>
        <v>4852500</v>
      </c>
      <c r="E9" s="309">
        <f t="shared" si="0"/>
        <v>0</v>
      </c>
      <c r="F9" s="310" t="s">
        <v>86</v>
      </c>
      <c r="G9" s="309">
        <f>'[2]6. sz. tábla '!F8-G38</f>
        <v>13500000</v>
      </c>
      <c r="H9" s="309">
        <f>'[2]6. sz. tábla '!G8-H38</f>
        <v>13500000</v>
      </c>
      <c r="I9" s="359">
        <f>'6. sz. tábla'!I8</f>
        <v>13720000</v>
      </c>
      <c r="J9" s="311">
        <f t="shared" ref="J9:J16" si="1">I9-H9</f>
        <v>220000</v>
      </c>
    </row>
    <row r="10" spans="1:10" ht="31.5" x14ac:dyDescent="0.25">
      <c r="A10" s="282" t="s">
        <v>228</v>
      </c>
      <c r="B10" s="309">
        <f>'[2]6. sz. tábla '!B9</f>
        <v>0</v>
      </c>
      <c r="C10" s="309">
        <f>'[2]6. sz. tábla '!C9</f>
        <v>0</v>
      </c>
      <c r="D10" s="309">
        <v>0</v>
      </c>
      <c r="E10" s="309">
        <f t="shared" si="0"/>
        <v>0</v>
      </c>
      <c r="F10" s="310" t="s">
        <v>229</v>
      </c>
      <c r="G10" s="309">
        <f>'[2]6. sz. tábla '!F9</f>
        <v>1943000</v>
      </c>
      <c r="H10" s="309">
        <f>'[2]6. sz. tábla '!G9</f>
        <v>1943000</v>
      </c>
      <c r="I10" s="359">
        <f>'6. sz. tábla'!I9</f>
        <v>1943000</v>
      </c>
      <c r="J10" s="311">
        <f t="shared" si="1"/>
        <v>0</v>
      </c>
    </row>
    <row r="11" spans="1:10" x14ac:dyDescent="0.25">
      <c r="A11" s="312"/>
      <c r="B11" s="309"/>
      <c r="C11" s="309"/>
      <c r="D11" s="309"/>
      <c r="E11" s="309">
        <f t="shared" si="0"/>
        <v>0</v>
      </c>
      <c r="F11" s="310" t="s">
        <v>87</v>
      </c>
      <c r="G11" s="309">
        <f>G13+G14+G15</f>
        <v>7690491</v>
      </c>
      <c r="H11" s="309">
        <f t="shared" ref="H11" si="2">H13+H14+H15</f>
        <v>7752891</v>
      </c>
      <c r="I11" s="359">
        <f>'6. sz. tábla'!I10</f>
        <v>7720090</v>
      </c>
      <c r="J11" s="311">
        <f>I11-H11</f>
        <v>-32801</v>
      </c>
    </row>
    <row r="12" spans="1:10" x14ac:dyDescent="0.25">
      <c r="A12" s="312"/>
      <c r="B12" s="309"/>
      <c r="C12" s="309"/>
      <c r="D12" s="309"/>
      <c r="E12" s="309">
        <f t="shared" si="0"/>
        <v>0</v>
      </c>
      <c r="F12" s="283" t="s">
        <v>230</v>
      </c>
      <c r="G12" s="309">
        <f>'[2]6. sz. tábla '!F11</f>
        <v>0</v>
      </c>
      <c r="H12" s="309">
        <f>'[2]6. sz. tábla '!G11</f>
        <v>0</v>
      </c>
      <c r="I12" s="359">
        <f>'6. sz. tábla'!I11</f>
        <v>0</v>
      </c>
      <c r="J12" s="311">
        <f t="shared" si="1"/>
        <v>0</v>
      </c>
    </row>
    <row r="13" spans="1:10" ht="31.5" x14ac:dyDescent="0.25">
      <c r="A13" s="312"/>
      <c r="B13" s="309"/>
      <c r="C13" s="309"/>
      <c r="D13" s="309"/>
      <c r="E13" s="309">
        <f t="shared" si="0"/>
        <v>0</v>
      </c>
      <c r="F13" s="283" t="s">
        <v>231</v>
      </c>
      <c r="G13" s="309">
        <f>'[2]6. sz. tábla '!F12</f>
        <v>7550491</v>
      </c>
      <c r="H13" s="309">
        <f>'[2]6. sz. tábla '!G12</f>
        <v>7522891</v>
      </c>
      <c r="I13" s="359">
        <f>'6. sz. tábla'!I12</f>
        <v>7710090</v>
      </c>
      <c r="J13" s="311">
        <f t="shared" si="1"/>
        <v>187199</v>
      </c>
    </row>
    <row r="14" spans="1:10" ht="31.5" x14ac:dyDescent="0.25">
      <c r="A14" s="308"/>
      <c r="B14" s="309"/>
      <c r="C14" s="313"/>
      <c r="D14" s="313"/>
      <c r="E14" s="309">
        <f t="shared" si="0"/>
        <v>0</v>
      </c>
      <c r="F14" s="283" t="s">
        <v>232</v>
      </c>
      <c r="G14" s="309">
        <f>'[2]6. sz. tábla '!F13-G43</f>
        <v>140000</v>
      </c>
      <c r="H14" s="309">
        <f>'[2]6. sz. tábla '!G13-H43</f>
        <v>230000</v>
      </c>
      <c r="I14" s="359">
        <f>'6. sz. tábla'!I13</f>
        <v>10000</v>
      </c>
      <c r="J14" s="311">
        <f t="shared" si="1"/>
        <v>-220000</v>
      </c>
    </row>
    <row r="15" spans="1:10" ht="30.75" customHeight="1" x14ac:dyDescent="0.25">
      <c r="A15" s="282"/>
      <c r="B15" s="309"/>
      <c r="C15" s="309"/>
      <c r="D15" s="309"/>
      <c r="E15" s="309">
        <f t="shared" si="0"/>
        <v>0</v>
      </c>
      <c r="F15" s="283" t="s">
        <v>233</v>
      </c>
      <c r="G15" s="309">
        <f>'[2]6. sz. tábla '!F14</f>
        <v>0</v>
      </c>
      <c r="H15" s="309">
        <f>'[2]6. sz. tábla '!G14</f>
        <v>0</v>
      </c>
      <c r="I15" s="359">
        <f>'6. sz. tábla'!I14</f>
        <v>0</v>
      </c>
      <c r="J15" s="311">
        <f t="shared" si="1"/>
        <v>0</v>
      </c>
    </row>
    <row r="16" spans="1:10" x14ac:dyDescent="0.25">
      <c r="A16" s="312"/>
      <c r="B16" s="309"/>
      <c r="C16" s="309"/>
      <c r="D16" s="309"/>
      <c r="E16" s="309">
        <f t="shared" si="0"/>
        <v>0</v>
      </c>
      <c r="F16" s="283" t="s">
        <v>234</v>
      </c>
      <c r="G16" s="309">
        <f>'[2]6. sz. tábla '!F15</f>
        <v>1595420</v>
      </c>
      <c r="H16" s="309">
        <f>'[2]6. sz. tábla '!G15</f>
        <v>3097542</v>
      </c>
      <c r="I16" s="359">
        <f>'6. sz. tábla'!I15</f>
        <v>2549530</v>
      </c>
      <c r="J16" s="311">
        <f t="shared" si="1"/>
        <v>-548012</v>
      </c>
    </row>
    <row r="17" spans="1:10" s="316" customFormat="1" ht="31.5" x14ac:dyDescent="0.25">
      <c r="A17" s="303" t="s">
        <v>298</v>
      </c>
      <c r="B17" s="314">
        <f>SUM(B7:B16)</f>
        <v>37457611</v>
      </c>
      <c r="C17" s="314">
        <f t="shared" ref="C17:D17" si="3">SUM(C7:C16)</f>
        <v>39349451</v>
      </c>
      <c r="D17" s="314">
        <f t="shared" si="3"/>
        <v>42244216</v>
      </c>
      <c r="E17" s="309">
        <f>D17-C17</f>
        <v>2894765</v>
      </c>
      <c r="F17" s="305" t="s">
        <v>299</v>
      </c>
      <c r="G17" s="314">
        <f>G7+G8+G9+G10+G11+G16</f>
        <v>32748611</v>
      </c>
      <c r="H17" s="314">
        <f t="shared" ref="H17:I17" si="4">H7+H8+H9+H10+H11+H16</f>
        <v>35942115</v>
      </c>
      <c r="I17" s="314">
        <f t="shared" si="4"/>
        <v>36336880</v>
      </c>
      <c r="J17" s="315">
        <f>I17-H17</f>
        <v>394765</v>
      </c>
    </row>
    <row r="18" spans="1:10" x14ac:dyDescent="0.25">
      <c r="A18" s="317" t="s">
        <v>300</v>
      </c>
      <c r="B18" s="309">
        <f>'[2]6. sz. tábla '!B56</f>
        <v>36000000</v>
      </c>
      <c r="C18" s="309">
        <f>'[2]6. sz. tábla '!C56</f>
        <v>37329264</v>
      </c>
      <c r="D18" s="309">
        <f>'6. sz. tábla'!D56</f>
        <v>37329264</v>
      </c>
      <c r="E18" s="309">
        <f>D18-C18</f>
        <v>0</v>
      </c>
      <c r="F18" s="306" t="s">
        <v>301</v>
      </c>
      <c r="G18" s="309">
        <f>'[2]6. sz. tábla '!F18-G59</f>
        <v>1140000</v>
      </c>
      <c r="H18" s="309">
        <f>'[2]6. sz. tábla '!G18-H59</f>
        <v>1793076</v>
      </c>
      <c r="I18" s="309">
        <f>'6. sz. tábla'!I19</f>
        <v>1793076</v>
      </c>
      <c r="J18" s="311">
        <f>I18-H18</f>
        <v>0</v>
      </c>
    </row>
    <row r="19" spans="1:10" ht="47.25" x14ac:dyDescent="0.25">
      <c r="A19" s="303" t="s">
        <v>302</v>
      </c>
      <c r="B19" s="314">
        <f>B17+B18</f>
        <v>73457611</v>
      </c>
      <c r="C19" s="314">
        <f>C17+C18</f>
        <v>76678715</v>
      </c>
      <c r="D19" s="314">
        <f>D17+D18</f>
        <v>79573480</v>
      </c>
      <c r="E19" s="309">
        <f>D19-C19</f>
        <v>2894765</v>
      </c>
      <c r="F19" s="305" t="s">
        <v>303</v>
      </c>
      <c r="G19" s="314">
        <f>G17+G18</f>
        <v>33888611</v>
      </c>
      <c r="H19" s="314">
        <f t="shared" ref="H19:I19" si="5">H17+H18</f>
        <v>37735191</v>
      </c>
      <c r="I19" s="314">
        <f t="shared" si="5"/>
        <v>38129956</v>
      </c>
      <c r="J19" s="315">
        <f>I19-H19</f>
        <v>394765</v>
      </c>
    </row>
    <row r="20" spans="1:10" x14ac:dyDescent="0.25">
      <c r="A20" s="303" t="s">
        <v>304</v>
      </c>
      <c r="B20" s="314"/>
      <c r="C20" s="314"/>
      <c r="D20" s="314"/>
      <c r="E20" s="309"/>
      <c r="F20" s="314" t="s">
        <v>16</v>
      </c>
      <c r="G20" s="309"/>
      <c r="H20" s="309"/>
      <c r="I20" s="359"/>
      <c r="J20" s="311">
        <f t="shared" ref="J20:J27" si="6">H20-G20</f>
        <v>0</v>
      </c>
    </row>
    <row r="21" spans="1:10" ht="31.5" x14ac:dyDescent="0.25">
      <c r="A21" s="282" t="s">
        <v>254</v>
      </c>
      <c r="B21" s="309">
        <f>'[2]6. sz. tábla '!B29-B50</f>
        <v>75000000</v>
      </c>
      <c r="C21" s="309">
        <f>'[2]6. sz. tábla '!C29-C50</f>
        <v>75000000</v>
      </c>
      <c r="D21" s="309">
        <f>'6. sz. tábla'!D29</f>
        <v>75000000</v>
      </c>
      <c r="E21" s="309">
        <f>D21-C21</f>
        <v>0</v>
      </c>
      <c r="F21" s="310" t="s">
        <v>255</v>
      </c>
      <c r="G21" s="309">
        <f>'[2]6. sz. tábla '!F29-G50</f>
        <v>24270000</v>
      </c>
      <c r="H21" s="309">
        <f>'[2]6. sz. tábla '!G29-H50</f>
        <v>20770000</v>
      </c>
      <c r="I21" s="359">
        <f>'6. sz. tábla'!I29</f>
        <v>21770000</v>
      </c>
      <c r="J21" s="311">
        <f>I21-H21</f>
        <v>1000000</v>
      </c>
    </row>
    <row r="22" spans="1:10" x14ac:dyDescent="0.25">
      <c r="A22" s="284" t="s">
        <v>305</v>
      </c>
      <c r="B22" s="309">
        <f>'[2]6. sz. tábla '!B30-B51</f>
        <v>0</v>
      </c>
      <c r="C22" s="309">
        <f>'[2]6. sz. tábla '!C30-C51</f>
        <v>0</v>
      </c>
      <c r="D22" s="309">
        <v>0</v>
      </c>
      <c r="E22" s="309">
        <f t="shared" si="0"/>
        <v>0</v>
      </c>
      <c r="F22" s="310" t="s">
        <v>257</v>
      </c>
      <c r="G22" s="309"/>
      <c r="H22" s="309"/>
      <c r="I22" s="359"/>
      <c r="J22" s="311"/>
    </row>
    <row r="23" spans="1:10" ht="31.5" x14ac:dyDescent="0.25">
      <c r="A23" s="284" t="s">
        <v>306</v>
      </c>
      <c r="B23" s="309">
        <f>'[2]6. sz. tábla '!B31-B52</f>
        <v>0</v>
      </c>
      <c r="C23" s="309">
        <f>'[2]6. sz. tábla '!C31-C52</f>
        <v>0</v>
      </c>
      <c r="D23" s="309">
        <v>0</v>
      </c>
      <c r="E23" s="309">
        <f t="shared" si="0"/>
        <v>0</v>
      </c>
      <c r="F23" s="310" t="s">
        <v>259</v>
      </c>
      <c r="G23" s="309">
        <f>'[2]6. sz. tábla '!F31-G52</f>
        <v>90704000</v>
      </c>
      <c r="H23" s="309">
        <f>'[2]6. sz. tábla '!G31-H52</f>
        <v>94204000</v>
      </c>
      <c r="I23" s="359">
        <f>'6. sz. tábla'!I31</f>
        <v>95704000</v>
      </c>
      <c r="J23" s="311">
        <f>I23-H23</f>
        <v>1500000</v>
      </c>
    </row>
    <row r="24" spans="1:10" x14ac:dyDescent="0.25">
      <c r="A24" s="312"/>
      <c r="B24" s="309"/>
      <c r="C24" s="309"/>
      <c r="D24" s="309"/>
      <c r="E24" s="309">
        <f t="shared" si="0"/>
        <v>0</v>
      </c>
      <c r="F24" s="310" t="s">
        <v>307</v>
      </c>
      <c r="G24" s="309">
        <f>'[2]6. sz. tábla '!F32</f>
        <v>0</v>
      </c>
      <c r="H24" s="309">
        <f>'[2]6. sz. tábla '!G32</f>
        <v>27600</v>
      </c>
      <c r="I24" s="359">
        <f>'6. sz. tábla'!I32</f>
        <v>27600</v>
      </c>
      <c r="J24" s="311">
        <f>I24-H24</f>
        <v>0</v>
      </c>
    </row>
    <row r="25" spans="1:10" ht="31.5" x14ac:dyDescent="0.25">
      <c r="A25" s="312"/>
      <c r="B25" s="309"/>
      <c r="C25" s="309"/>
      <c r="D25" s="309"/>
      <c r="E25" s="309">
        <f t="shared" si="0"/>
        <v>0</v>
      </c>
      <c r="F25" s="310" t="s">
        <v>308</v>
      </c>
      <c r="G25" s="309"/>
      <c r="H25" s="309"/>
      <c r="I25" s="359"/>
      <c r="J25" s="311">
        <f t="shared" si="6"/>
        <v>0</v>
      </c>
    </row>
    <row r="26" spans="1:10" ht="31.5" x14ac:dyDescent="0.25">
      <c r="A26" s="312"/>
      <c r="B26" s="309"/>
      <c r="C26" s="309"/>
      <c r="D26" s="309"/>
      <c r="E26" s="309">
        <f t="shared" si="0"/>
        <v>0</v>
      </c>
      <c r="F26" s="318" t="s">
        <v>309</v>
      </c>
      <c r="G26" s="309"/>
      <c r="H26" s="309"/>
      <c r="I26" s="359"/>
      <c r="J26" s="311">
        <f t="shared" si="6"/>
        <v>0</v>
      </c>
    </row>
    <row r="27" spans="1:10" ht="30.75" customHeight="1" x14ac:dyDescent="0.25">
      <c r="A27" s="317"/>
      <c r="B27" s="309"/>
      <c r="C27" s="309"/>
      <c r="D27" s="309"/>
      <c r="E27" s="309">
        <f t="shared" si="0"/>
        <v>0</v>
      </c>
      <c r="F27" s="310" t="s">
        <v>310</v>
      </c>
      <c r="G27" s="309"/>
      <c r="H27" s="309"/>
      <c r="I27" s="359"/>
      <c r="J27" s="311">
        <f t="shared" si="6"/>
        <v>0</v>
      </c>
    </row>
    <row r="28" spans="1:10" s="316" customFormat="1" ht="31.5" x14ac:dyDescent="0.25">
      <c r="A28" s="303" t="s">
        <v>311</v>
      </c>
      <c r="B28" s="314">
        <f>SUM(B21:B27)</f>
        <v>75000000</v>
      </c>
      <c r="C28" s="314">
        <f>SUM(C21:C27)</f>
        <v>75000000</v>
      </c>
      <c r="D28" s="314">
        <f>SUM(D21:D27)</f>
        <v>75000000</v>
      </c>
      <c r="E28" s="309">
        <f t="shared" si="0"/>
        <v>0</v>
      </c>
      <c r="F28" s="305" t="s">
        <v>299</v>
      </c>
      <c r="G28" s="314">
        <f>SUM(G21:G27)</f>
        <v>114974000</v>
      </c>
      <c r="H28" s="314">
        <f>SUM(H21:H27)</f>
        <v>115001600</v>
      </c>
      <c r="I28" s="314">
        <f>SUM(I21:I27)</f>
        <v>117501600</v>
      </c>
      <c r="J28" s="315">
        <f>I28-H28</f>
        <v>2500000</v>
      </c>
    </row>
    <row r="29" spans="1:10" ht="15" customHeight="1" x14ac:dyDescent="0.25">
      <c r="A29" s="317" t="s">
        <v>300</v>
      </c>
      <c r="B29" s="309">
        <f>'[2]6. sz. tábla '!B20-B59</f>
        <v>405000</v>
      </c>
      <c r="C29" s="309">
        <f>'[2]6. sz. tábla '!C20-C59</f>
        <v>1058076</v>
      </c>
      <c r="D29" s="309">
        <f>'6. sz. tábla'!D60</f>
        <v>1058076</v>
      </c>
      <c r="E29" s="309">
        <f>D29-C29</f>
        <v>0</v>
      </c>
      <c r="F29" s="306" t="s">
        <v>301</v>
      </c>
      <c r="G29" s="309">
        <f>'[2]6. sz. tábla '!F39</f>
        <v>0</v>
      </c>
      <c r="H29" s="309">
        <f>'[2]6. sz. tábla '!G39</f>
        <v>0</v>
      </c>
      <c r="I29" s="309">
        <f>'[2]6. sz. tábla '!H39</f>
        <v>0</v>
      </c>
      <c r="J29" s="311">
        <f>I29-H29</f>
        <v>0</v>
      </c>
    </row>
    <row r="30" spans="1:10" ht="48" thickBot="1" x14ac:dyDescent="0.3">
      <c r="A30" s="319" t="s">
        <v>312</v>
      </c>
      <c r="B30" s="320">
        <f>B28+B29</f>
        <v>75405000</v>
      </c>
      <c r="C30" s="320">
        <f>C28+C29</f>
        <v>76058076</v>
      </c>
      <c r="D30" s="320">
        <f>D28+D29</f>
        <v>76058076</v>
      </c>
      <c r="E30" s="321">
        <f>D30-C30</f>
        <v>0</v>
      </c>
      <c r="F30" s="322" t="s">
        <v>313</v>
      </c>
      <c r="G30" s="320">
        <f>G28+G29</f>
        <v>114974000</v>
      </c>
      <c r="H30" s="320">
        <f>H28+H29</f>
        <v>115001600</v>
      </c>
      <c r="I30" s="320">
        <f>I28+I29</f>
        <v>117501600</v>
      </c>
      <c r="J30" s="323">
        <f>I30-H30</f>
        <v>2500000</v>
      </c>
    </row>
    <row r="31" spans="1:10" x14ac:dyDescent="0.25">
      <c r="B31" s="299">
        <f>B30+B19</f>
        <v>148862611</v>
      </c>
      <c r="C31" s="299">
        <f>C30+C19</f>
        <v>152736791</v>
      </c>
      <c r="D31" s="299">
        <f>D30+D19</f>
        <v>155631556</v>
      </c>
      <c r="E31" s="299">
        <f>E30+E19</f>
        <v>2894765</v>
      </c>
      <c r="G31" s="299">
        <f>G30+G19</f>
        <v>148862611</v>
      </c>
      <c r="H31" s="299">
        <f>H30+H19</f>
        <v>152736791</v>
      </c>
      <c r="I31" s="299">
        <f>I30+I19</f>
        <v>155631556</v>
      </c>
      <c r="J31" s="299">
        <f>J30+J19</f>
        <v>2894765</v>
      </c>
    </row>
    <row r="32" spans="1:10" ht="15.75" customHeight="1" x14ac:dyDescent="0.25">
      <c r="A32" s="387" t="s">
        <v>367</v>
      </c>
      <c r="B32" s="387"/>
      <c r="C32" s="387"/>
      <c r="D32" s="387"/>
      <c r="E32" s="387"/>
      <c r="F32" s="387"/>
      <c r="G32" s="387"/>
      <c r="H32" s="387"/>
      <c r="I32" s="387"/>
      <c r="J32" s="387"/>
    </row>
    <row r="33" spans="1:10" ht="16.5" thickBot="1" x14ac:dyDescent="0.3"/>
    <row r="34" spans="1:10" s="298" customFormat="1" ht="31.5" x14ac:dyDescent="0.25">
      <c r="A34" s="301" t="s">
        <v>220</v>
      </c>
      <c r="B34" s="10" t="s">
        <v>198</v>
      </c>
      <c r="C34" s="10" t="s">
        <v>197</v>
      </c>
      <c r="D34" s="10" t="s">
        <v>196</v>
      </c>
      <c r="E34" s="277" t="s">
        <v>201</v>
      </c>
      <c r="F34" s="302" t="s">
        <v>221</v>
      </c>
      <c r="G34" s="10" t="s">
        <v>198</v>
      </c>
      <c r="H34" s="277" t="s">
        <v>197</v>
      </c>
      <c r="I34" s="200" t="s">
        <v>196</v>
      </c>
      <c r="J34" s="276" t="s">
        <v>201</v>
      </c>
    </row>
    <row r="35" spans="1:10" x14ac:dyDescent="0.25">
      <c r="A35" s="303" t="s">
        <v>296</v>
      </c>
      <c r="B35" s="304"/>
      <c r="C35" s="304"/>
      <c r="D35" s="304"/>
      <c r="E35" s="304"/>
      <c r="F35" s="305" t="s">
        <v>15</v>
      </c>
      <c r="G35" s="309"/>
      <c r="H35" s="309"/>
      <c r="I35" s="359"/>
      <c r="J35" s="311"/>
    </row>
    <row r="36" spans="1:10" ht="31.5" x14ac:dyDescent="0.25">
      <c r="A36" s="308" t="s">
        <v>297</v>
      </c>
      <c r="B36" s="309"/>
      <c r="C36" s="309"/>
      <c r="D36" s="309"/>
      <c r="E36" s="309"/>
      <c r="F36" s="310" t="s">
        <v>223</v>
      </c>
      <c r="G36" s="309"/>
      <c r="H36" s="309"/>
      <c r="I36" s="359"/>
      <c r="J36" s="311"/>
    </row>
    <row r="37" spans="1:10" x14ac:dyDescent="0.25">
      <c r="A37" s="312" t="s">
        <v>224</v>
      </c>
      <c r="B37" s="309"/>
      <c r="C37" s="309"/>
      <c r="D37" s="309"/>
      <c r="E37" s="309"/>
      <c r="F37" s="310" t="s">
        <v>85</v>
      </c>
      <c r="G37" s="309"/>
      <c r="H37" s="309"/>
      <c r="I37" s="359"/>
      <c r="J37" s="311"/>
    </row>
    <row r="38" spans="1:10" x14ac:dyDescent="0.25">
      <c r="A38" s="312" t="s">
        <v>226</v>
      </c>
      <c r="B38" s="309"/>
      <c r="C38" s="309"/>
      <c r="D38" s="309"/>
      <c r="E38" s="309">
        <f>C38-B38</f>
        <v>0</v>
      </c>
      <c r="F38" s="310" t="s">
        <v>86</v>
      </c>
      <c r="G38" s="309"/>
      <c r="H38" s="309"/>
      <c r="I38" s="359"/>
      <c r="J38" s="311">
        <f>H38-G38</f>
        <v>0</v>
      </c>
    </row>
    <row r="39" spans="1:10" ht="31.5" x14ac:dyDescent="0.25">
      <c r="A39" s="282" t="s">
        <v>228</v>
      </c>
      <c r="B39" s="309"/>
      <c r="C39" s="309"/>
      <c r="D39" s="309"/>
      <c r="E39" s="309">
        <f t="shared" ref="E39:E61" si="7">C39-B39</f>
        <v>0</v>
      </c>
      <c r="F39" s="310" t="s">
        <v>229</v>
      </c>
      <c r="G39" s="309"/>
      <c r="H39" s="309"/>
      <c r="I39" s="359"/>
      <c r="J39" s="311"/>
    </row>
    <row r="40" spans="1:10" x14ac:dyDescent="0.25">
      <c r="A40" s="312"/>
      <c r="B40" s="309"/>
      <c r="C40" s="309"/>
      <c r="D40" s="309"/>
      <c r="E40" s="309">
        <f t="shared" si="7"/>
        <v>0</v>
      </c>
      <c r="F40" s="310" t="s">
        <v>87</v>
      </c>
      <c r="G40" s="309"/>
      <c r="H40" s="309"/>
      <c r="I40" s="359"/>
      <c r="J40" s="311"/>
    </row>
    <row r="41" spans="1:10" x14ac:dyDescent="0.25">
      <c r="A41" s="312"/>
      <c r="B41" s="309"/>
      <c r="C41" s="309"/>
      <c r="D41" s="309"/>
      <c r="E41" s="309">
        <f t="shared" si="7"/>
        <v>0</v>
      </c>
      <c r="F41" s="283" t="s">
        <v>230</v>
      </c>
      <c r="G41" s="309"/>
      <c r="H41" s="309"/>
      <c r="I41" s="359"/>
      <c r="J41" s="311"/>
    </row>
    <row r="42" spans="1:10" ht="31.5" x14ac:dyDescent="0.25">
      <c r="A42" s="312"/>
      <c r="B42" s="309"/>
      <c r="C42" s="309"/>
      <c r="D42" s="309"/>
      <c r="E42" s="309">
        <f t="shared" si="7"/>
        <v>0</v>
      </c>
      <c r="F42" s="283" t="s">
        <v>231</v>
      </c>
      <c r="G42" s="309"/>
      <c r="H42" s="309"/>
      <c r="I42" s="359"/>
      <c r="J42" s="311"/>
    </row>
    <row r="43" spans="1:10" ht="31.5" x14ac:dyDescent="0.25">
      <c r="A43" s="308"/>
      <c r="B43" s="309"/>
      <c r="C43" s="313"/>
      <c r="D43" s="313"/>
      <c r="E43" s="309">
        <f t="shared" si="7"/>
        <v>0</v>
      </c>
      <c r="F43" s="283" t="s">
        <v>232</v>
      </c>
      <c r="G43" s="309"/>
      <c r="H43" s="309"/>
      <c r="I43" s="359"/>
      <c r="J43" s="311">
        <f t="shared" ref="J43" si="8">H43-G43</f>
        <v>0</v>
      </c>
    </row>
    <row r="44" spans="1:10" ht="30" customHeight="1" x14ac:dyDescent="0.25">
      <c r="A44" s="282"/>
      <c r="B44" s="309"/>
      <c r="C44" s="309"/>
      <c r="D44" s="309"/>
      <c r="E44" s="309">
        <f t="shared" si="7"/>
        <v>0</v>
      </c>
      <c r="F44" s="283" t="s">
        <v>233</v>
      </c>
      <c r="G44" s="309"/>
      <c r="H44" s="309"/>
      <c r="I44" s="359"/>
      <c r="J44" s="311"/>
    </row>
    <row r="45" spans="1:10" x14ac:dyDescent="0.25">
      <c r="A45" s="312"/>
      <c r="B45" s="309"/>
      <c r="C45" s="309"/>
      <c r="D45" s="309"/>
      <c r="E45" s="309">
        <f t="shared" si="7"/>
        <v>0</v>
      </c>
      <c r="F45" s="283" t="s">
        <v>234</v>
      </c>
      <c r="G45" s="309"/>
      <c r="H45" s="309"/>
      <c r="I45" s="359"/>
      <c r="J45" s="311"/>
    </row>
    <row r="46" spans="1:10" ht="31.5" x14ac:dyDescent="0.25">
      <c r="A46" s="303" t="s">
        <v>314</v>
      </c>
      <c r="B46" s="314">
        <f>SUM(B36:B45)</f>
        <v>0</v>
      </c>
      <c r="C46" s="314">
        <f>SUM(C36:C45)</f>
        <v>0</v>
      </c>
      <c r="D46" s="314"/>
      <c r="E46" s="309">
        <f t="shared" si="7"/>
        <v>0</v>
      </c>
      <c r="F46" s="305" t="s">
        <v>315</v>
      </c>
      <c r="G46" s="314">
        <f>SUM(G36:G45)</f>
        <v>0</v>
      </c>
      <c r="H46" s="314">
        <f>SUM(H36:H45)</f>
        <v>0</v>
      </c>
      <c r="I46" s="360"/>
      <c r="J46" s="315">
        <f t="shared" ref="J46:J61" si="9">H46-G46</f>
        <v>0</v>
      </c>
    </row>
    <row r="47" spans="1:10" x14ac:dyDescent="0.25">
      <c r="A47" s="317" t="s">
        <v>300</v>
      </c>
      <c r="B47" s="309"/>
      <c r="C47" s="309"/>
      <c r="D47" s="309"/>
      <c r="E47" s="309">
        <f t="shared" si="7"/>
        <v>0</v>
      </c>
      <c r="F47" s="306" t="s">
        <v>301</v>
      </c>
      <c r="G47" s="309"/>
      <c r="H47" s="309"/>
      <c r="I47" s="359"/>
      <c r="J47" s="311"/>
    </row>
    <row r="48" spans="1:10" ht="47.25" x14ac:dyDescent="0.25">
      <c r="A48" s="303" t="s">
        <v>316</v>
      </c>
      <c r="B48" s="314">
        <f>B46+B47</f>
        <v>0</v>
      </c>
      <c r="C48" s="314">
        <f>C46+C47</f>
        <v>0</v>
      </c>
      <c r="D48" s="314"/>
      <c r="E48" s="309">
        <f t="shared" si="7"/>
        <v>0</v>
      </c>
      <c r="F48" s="305" t="s">
        <v>317</v>
      </c>
      <c r="G48" s="314">
        <f>G46+G47</f>
        <v>0</v>
      </c>
      <c r="H48" s="314">
        <f>H46+H47</f>
        <v>0</v>
      </c>
      <c r="I48" s="360"/>
      <c r="J48" s="315">
        <f t="shared" si="9"/>
        <v>0</v>
      </c>
    </row>
    <row r="49" spans="1:10" x14ac:dyDescent="0.25">
      <c r="A49" s="303" t="s">
        <v>304</v>
      </c>
      <c r="B49" s="314"/>
      <c r="C49" s="314"/>
      <c r="D49" s="314"/>
      <c r="E49" s="309">
        <f t="shared" si="7"/>
        <v>0</v>
      </c>
      <c r="F49" s="314" t="s">
        <v>16</v>
      </c>
      <c r="G49" s="309"/>
      <c r="H49" s="309"/>
      <c r="I49" s="359"/>
      <c r="J49" s="311">
        <f t="shared" si="9"/>
        <v>0</v>
      </c>
    </row>
    <row r="50" spans="1:10" ht="31.5" x14ac:dyDescent="0.25">
      <c r="A50" s="282" t="s">
        <v>254</v>
      </c>
      <c r="B50" s="309"/>
      <c r="C50" s="309"/>
      <c r="D50" s="309"/>
      <c r="E50" s="309">
        <f t="shared" si="7"/>
        <v>0</v>
      </c>
      <c r="F50" s="310" t="s">
        <v>255</v>
      </c>
      <c r="G50" s="309"/>
      <c r="H50" s="309"/>
      <c r="I50" s="359"/>
      <c r="J50" s="311">
        <f t="shared" si="9"/>
        <v>0</v>
      </c>
    </row>
    <row r="51" spans="1:10" x14ac:dyDescent="0.25">
      <c r="A51" s="284" t="s">
        <v>305</v>
      </c>
      <c r="B51" s="309">
        <f>'[2]2.sz.tábla'!B54</f>
        <v>0</v>
      </c>
      <c r="C51" s="309">
        <f>'[2]2.sz.tábla'!C54</f>
        <v>0</v>
      </c>
      <c r="D51" s="309"/>
      <c r="E51" s="309">
        <f t="shared" si="7"/>
        <v>0</v>
      </c>
      <c r="F51" s="310" t="s">
        <v>257</v>
      </c>
      <c r="G51" s="309"/>
      <c r="H51" s="309"/>
      <c r="I51" s="359"/>
      <c r="J51" s="311">
        <f t="shared" si="9"/>
        <v>0</v>
      </c>
    </row>
    <row r="52" spans="1:10" ht="31.5" x14ac:dyDescent="0.25">
      <c r="A52" s="284" t="s">
        <v>306</v>
      </c>
      <c r="B52" s="309">
        <f>'[2]2.sz.tábla'!B63</f>
        <v>0</v>
      </c>
      <c r="C52" s="309">
        <f>'[2]2.sz.tábla'!C63</f>
        <v>0</v>
      </c>
      <c r="D52" s="309"/>
      <c r="E52" s="309">
        <f t="shared" si="7"/>
        <v>0</v>
      </c>
      <c r="F52" s="310" t="s">
        <v>259</v>
      </c>
      <c r="G52" s="309"/>
      <c r="H52" s="309"/>
      <c r="I52" s="359"/>
      <c r="J52" s="311">
        <f t="shared" si="9"/>
        <v>0</v>
      </c>
    </row>
    <row r="53" spans="1:10" x14ac:dyDescent="0.25">
      <c r="A53" s="312"/>
      <c r="B53" s="309"/>
      <c r="C53" s="309"/>
      <c r="D53" s="309"/>
      <c r="E53" s="309">
        <f t="shared" si="7"/>
        <v>0</v>
      </c>
      <c r="F53" s="310" t="s">
        <v>307</v>
      </c>
      <c r="G53" s="309"/>
      <c r="H53" s="309"/>
      <c r="I53" s="359"/>
      <c r="J53" s="311">
        <f t="shared" si="9"/>
        <v>0</v>
      </c>
    </row>
    <row r="54" spans="1:10" ht="31.5" x14ac:dyDescent="0.25">
      <c r="A54" s="312"/>
      <c r="B54" s="309"/>
      <c r="C54" s="309"/>
      <c r="D54" s="309"/>
      <c r="E54" s="309">
        <f t="shared" si="7"/>
        <v>0</v>
      </c>
      <c r="F54" s="310" t="s">
        <v>308</v>
      </c>
      <c r="G54" s="309"/>
      <c r="H54" s="309"/>
      <c r="I54" s="359"/>
      <c r="J54" s="311">
        <f t="shared" si="9"/>
        <v>0</v>
      </c>
    </row>
    <row r="55" spans="1:10" ht="31.5" x14ac:dyDescent="0.25">
      <c r="A55" s="312"/>
      <c r="B55" s="309"/>
      <c r="C55" s="309"/>
      <c r="D55" s="309"/>
      <c r="E55" s="309">
        <f t="shared" si="7"/>
        <v>0</v>
      </c>
      <c r="F55" s="318" t="s">
        <v>309</v>
      </c>
      <c r="G55" s="309"/>
      <c r="H55" s="309"/>
      <c r="I55" s="359"/>
      <c r="J55" s="311">
        <f t="shared" si="9"/>
        <v>0</v>
      </c>
    </row>
    <row r="56" spans="1:10" ht="28.5" customHeight="1" x14ac:dyDescent="0.25">
      <c r="A56" s="317"/>
      <c r="B56" s="309"/>
      <c r="C56" s="309"/>
      <c r="D56" s="309"/>
      <c r="E56" s="309">
        <f t="shared" si="7"/>
        <v>0</v>
      </c>
      <c r="F56" s="283" t="s">
        <v>263</v>
      </c>
      <c r="G56" s="309"/>
      <c r="H56" s="309"/>
      <c r="I56" s="359"/>
      <c r="J56" s="311">
        <f t="shared" si="9"/>
        <v>0</v>
      </c>
    </row>
    <row r="57" spans="1:10" ht="27" customHeight="1" x14ac:dyDescent="0.25">
      <c r="A57" s="317"/>
      <c r="B57" s="309"/>
      <c r="C57" s="309"/>
      <c r="D57" s="309"/>
      <c r="E57" s="309">
        <f t="shared" si="7"/>
        <v>0</v>
      </c>
      <c r="F57" s="283" t="s">
        <v>310</v>
      </c>
      <c r="G57" s="309"/>
      <c r="H57" s="309"/>
      <c r="I57" s="359"/>
      <c r="J57" s="311">
        <f t="shared" si="9"/>
        <v>0</v>
      </c>
    </row>
    <row r="58" spans="1:10" ht="31.5" x14ac:dyDescent="0.25">
      <c r="A58" s="303" t="s">
        <v>318</v>
      </c>
      <c r="B58" s="314">
        <f>SUM(B50:B56)</f>
        <v>0</v>
      </c>
      <c r="C58" s="314">
        <f>SUM(C50:C56)</f>
        <v>0</v>
      </c>
      <c r="D58" s="314"/>
      <c r="E58" s="314">
        <f t="shared" si="7"/>
        <v>0</v>
      </c>
      <c r="F58" s="305" t="s">
        <v>319</v>
      </c>
      <c r="G58" s="314">
        <f>SUM(G50:G56)</f>
        <v>0</v>
      </c>
      <c r="H58" s="314">
        <f>SUM(H50:H56)</f>
        <v>0</v>
      </c>
      <c r="I58" s="360"/>
      <c r="J58" s="315">
        <f t="shared" si="9"/>
        <v>0</v>
      </c>
    </row>
    <row r="59" spans="1:10" x14ac:dyDescent="0.25">
      <c r="A59" s="317" t="s">
        <v>300</v>
      </c>
      <c r="B59" s="309">
        <f>'[2]2.sz.tábla'!B70</f>
        <v>0</v>
      </c>
      <c r="C59" s="309">
        <f>'[2]2.sz.tábla'!C70</f>
        <v>0</v>
      </c>
      <c r="D59" s="309"/>
      <c r="E59" s="309">
        <f t="shared" si="7"/>
        <v>0</v>
      </c>
      <c r="F59" s="306" t="s">
        <v>301</v>
      </c>
      <c r="G59" s="309">
        <f>'[2]5. sz. tábla'!B27</f>
        <v>0</v>
      </c>
      <c r="H59" s="309">
        <f>'[2]5. sz. tábla'!C27</f>
        <v>0</v>
      </c>
      <c r="I59" s="359"/>
      <c r="J59" s="311">
        <f t="shared" si="9"/>
        <v>0</v>
      </c>
    </row>
    <row r="60" spans="1:10" x14ac:dyDescent="0.25">
      <c r="A60" s="317"/>
      <c r="B60" s="309"/>
      <c r="C60" s="309"/>
      <c r="D60" s="309"/>
      <c r="E60" s="309">
        <f t="shared" si="7"/>
        <v>0</v>
      </c>
      <c r="F60" s="310"/>
      <c r="G60" s="309"/>
      <c r="H60" s="309"/>
      <c r="I60" s="359"/>
      <c r="J60" s="311">
        <f t="shared" si="9"/>
        <v>0</v>
      </c>
    </row>
    <row r="61" spans="1:10" ht="48" thickBot="1" x14ac:dyDescent="0.3">
      <c r="A61" s="319" t="s">
        <v>320</v>
      </c>
      <c r="B61" s="320">
        <f>B58+B59</f>
        <v>0</v>
      </c>
      <c r="C61" s="320">
        <f>C58+C59</f>
        <v>0</v>
      </c>
      <c r="D61" s="320"/>
      <c r="E61" s="320">
        <f t="shared" si="7"/>
        <v>0</v>
      </c>
      <c r="F61" s="322" t="s">
        <v>321</v>
      </c>
      <c r="G61" s="320">
        <f>G58+G59</f>
        <v>0</v>
      </c>
      <c r="H61" s="320">
        <f>H58+H59</f>
        <v>0</v>
      </c>
      <c r="I61" s="361"/>
      <c r="J61" s="323">
        <f t="shared" si="9"/>
        <v>0</v>
      </c>
    </row>
    <row r="62" spans="1:10" ht="15.75" customHeight="1" x14ac:dyDescent="0.25">
      <c r="A62" s="388" t="s">
        <v>368</v>
      </c>
      <c r="B62" s="388"/>
      <c r="C62" s="388"/>
      <c r="D62" s="388"/>
      <c r="E62" s="388"/>
      <c r="F62" s="388"/>
      <c r="G62" s="388"/>
      <c r="H62" s="388"/>
      <c r="I62" s="388"/>
      <c r="J62" s="388"/>
    </row>
    <row r="63" spans="1:10" ht="16.5" thickBot="1" x14ac:dyDescent="0.3"/>
    <row r="64" spans="1:10" s="298" customFormat="1" ht="31.5" x14ac:dyDescent="0.25">
      <c r="A64" s="301" t="s">
        <v>220</v>
      </c>
      <c r="B64" s="10" t="s">
        <v>198</v>
      </c>
      <c r="C64" s="10" t="s">
        <v>197</v>
      </c>
      <c r="D64" s="10" t="s">
        <v>196</v>
      </c>
      <c r="E64" s="277" t="s">
        <v>201</v>
      </c>
      <c r="F64" s="302" t="s">
        <v>221</v>
      </c>
      <c r="G64" s="10" t="s">
        <v>198</v>
      </c>
      <c r="H64" s="277" t="s">
        <v>197</v>
      </c>
      <c r="I64" s="200" t="s">
        <v>196</v>
      </c>
      <c r="J64" s="276" t="s">
        <v>201</v>
      </c>
    </row>
    <row r="65" spans="1:10" x14ac:dyDescent="0.25">
      <c r="A65" s="303" t="s">
        <v>296</v>
      </c>
      <c r="B65" s="304"/>
      <c r="C65" s="304"/>
      <c r="D65" s="304"/>
      <c r="E65" s="304"/>
      <c r="F65" s="305" t="s">
        <v>15</v>
      </c>
      <c r="G65" s="309"/>
      <c r="H65" s="309"/>
      <c r="I65" s="359"/>
      <c r="J65" s="311"/>
    </row>
    <row r="66" spans="1:10" ht="31.5" x14ac:dyDescent="0.25">
      <c r="A66" s="308" t="s">
        <v>297</v>
      </c>
      <c r="B66" s="309">
        <f>B7</f>
        <v>21955111</v>
      </c>
      <c r="C66" s="309">
        <f t="shared" ref="C66:D67" si="10">C7</f>
        <v>23846951</v>
      </c>
      <c r="D66" s="309">
        <f t="shared" si="10"/>
        <v>26741716</v>
      </c>
      <c r="E66" s="309">
        <f>D66-C66</f>
        <v>2894765</v>
      </c>
      <c r="F66" s="310" t="s">
        <v>223</v>
      </c>
      <c r="G66" s="309"/>
      <c r="H66" s="309"/>
      <c r="I66" s="359"/>
      <c r="J66" s="311"/>
    </row>
    <row r="67" spans="1:10" x14ac:dyDescent="0.25">
      <c r="A67" s="312" t="s">
        <v>224</v>
      </c>
      <c r="B67" s="309">
        <f>B8</f>
        <v>10650000</v>
      </c>
      <c r="C67" s="309">
        <f t="shared" si="10"/>
        <v>10650000</v>
      </c>
      <c r="D67" s="309">
        <f t="shared" si="10"/>
        <v>10650000</v>
      </c>
      <c r="E67" s="309">
        <f>D67-C67</f>
        <v>0</v>
      </c>
      <c r="F67" s="310" t="s">
        <v>85</v>
      </c>
      <c r="G67" s="309"/>
      <c r="H67" s="309"/>
      <c r="I67" s="359"/>
      <c r="J67" s="311"/>
    </row>
    <row r="68" spans="1:10" x14ac:dyDescent="0.25">
      <c r="A68" s="312" t="s">
        <v>226</v>
      </c>
      <c r="B68" s="309">
        <f>B9</f>
        <v>4852500</v>
      </c>
      <c r="C68" s="309">
        <f t="shared" ref="C68:D68" si="11">C9</f>
        <v>4852500</v>
      </c>
      <c r="D68" s="309">
        <f t="shared" si="11"/>
        <v>4852500</v>
      </c>
      <c r="E68" s="309">
        <f t="shared" ref="E68:E69" si="12">D68-C68</f>
        <v>0</v>
      </c>
      <c r="F68" s="310" t="s">
        <v>227</v>
      </c>
      <c r="G68" s="309"/>
      <c r="H68" s="309"/>
      <c r="I68" s="359"/>
      <c r="J68" s="311"/>
    </row>
    <row r="69" spans="1:10" ht="31.5" x14ac:dyDescent="0.25">
      <c r="A69" s="282" t="s">
        <v>228</v>
      </c>
      <c r="B69" s="309">
        <f>B10</f>
        <v>0</v>
      </c>
      <c r="C69" s="309">
        <f t="shared" ref="C69:D69" si="13">C10</f>
        <v>0</v>
      </c>
      <c r="D69" s="309">
        <f t="shared" si="13"/>
        <v>0</v>
      </c>
      <c r="E69" s="309">
        <f t="shared" si="12"/>
        <v>0</v>
      </c>
      <c r="F69" s="310" t="s">
        <v>229</v>
      </c>
      <c r="G69" s="309"/>
      <c r="H69" s="309"/>
      <c r="I69" s="359"/>
      <c r="J69" s="311"/>
    </row>
    <row r="70" spans="1:10" x14ac:dyDescent="0.25">
      <c r="A70" s="312"/>
      <c r="B70" s="309"/>
      <c r="C70" s="309"/>
      <c r="D70" s="309"/>
      <c r="E70" s="309"/>
      <c r="F70" s="310" t="s">
        <v>87</v>
      </c>
      <c r="G70" s="309"/>
      <c r="H70" s="309"/>
      <c r="I70" s="359"/>
      <c r="J70" s="311"/>
    </row>
    <row r="71" spans="1:10" x14ac:dyDescent="0.25">
      <c r="A71" s="312"/>
      <c r="B71" s="309"/>
      <c r="C71" s="309"/>
      <c r="D71" s="309"/>
      <c r="E71" s="309"/>
      <c r="F71" s="283" t="s">
        <v>230</v>
      </c>
      <c r="G71" s="309"/>
      <c r="H71" s="309"/>
      <c r="I71" s="359"/>
      <c r="J71" s="311"/>
    </row>
    <row r="72" spans="1:10" ht="31.5" x14ac:dyDescent="0.25">
      <c r="A72" s="312"/>
      <c r="B72" s="309"/>
      <c r="C72" s="309"/>
      <c r="D72" s="309"/>
      <c r="E72" s="309"/>
      <c r="F72" s="283" t="s">
        <v>231</v>
      </c>
      <c r="G72" s="309"/>
      <c r="H72" s="309"/>
      <c r="I72" s="359"/>
      <c r="J72" s="311"/>
    </row>
    <row r="73" spans="1:10" ht="31.5" x14ac:dyDescent="0.25">
      <c r="A73" s="308"/>
      <c r="B73" s="309"/>
      <c r="C73" s="313"/>
      <c r="D73" s="313"/>
      <c r="E73" s="313"/>
      <c r="F73" s="283" t="s">
        <v>232</v>
      </c>
      <c r="G73" s="309"/>
      <c r="H73" s="309"/>
      <c r="I73" s="359"/>
      <c r="J73" s="311"/>
    </row>
    <row r="74" spans="1:10" ht="31.5" x14ac:dyDescent="0.25">
      <c r="A74" s="282"/>
      <c r="B74" s="309"/>
      <c r="C74" s="309"/>
      <c r="D74" s="309"/>
      <c r="E74" s="309"/>
      <c r="F74" s="283" t="s">
        <v>233</v>
      </c>
      <c r="G74" s="309"/>
      <c r="H74" s="309"/>
      <c r="I74" s="359"/>
      <c r="J74" s="311"/>
    </row>
    <row r="75" spans="1:10" x14ac:dyDescent="0.25">
      <c r="A75" s="312"/>
      <c r="B75" s="309"/>
      <c r="C75" s="309"/>
      <c r="D75" s="309"/>
      <c r="E75" s="309"/>
      <c r="F75" s="283" t="s">
        <v>234</v>
      </c>
      <c r="G75" s="309"/>
      <c r="H75" s="309"/>
      <c r="I75" s="359"/>
      <c r="J75" s="311"/>
    </row>
    <row r="76" spans="1:10" ht="47.25" x14ac:dyDescent="0.25">
      <c r="A76" s="303" t="s">
        <v>322</v>
      </c>
      <c r="B76" s="314">
        <f>SUM(B66:B75)</f>
        <v>37457611</v>
      </c>
      <c r="C76" s="314">
        <f>SUM(C66:C75)</f>
        <v>39349451</v>
      </c>
      <c r="D76" s="314">
        <f>SUM(D66:D75)</f>
        <v>42244216</v>
      </c>
      <c r="E76" s="314">
        <f>SUM(E66:E75)</f>
        <v>2894765</v>
      </c>
      <c r="F76" s="305" t="s">
        <v>323</v>
      </c>
      <c r="G76" s="314">
        <f>SUM(G66:G75)</f>
        <v>0</v>
      </c>
      <c r="H76" s="314">
        <f>SUM(H66:H75)</f>
        <v>0</v>
      </c>
      <c r="I76" s="360"/>
      <c r="J76" s="315">
        <f>SUM(J66:J75)</f>
        <v>0</v>
      </c>
    </row>
    <row r="77" spans="1:10" x14ac:dyDescent="0.25">
      <c r="A77" s="317" t="s">
        <v>300</v>
      </c>
      <c r="B77" s="309"/>
      <c r="C77" s="309"/>
      <c r="D77" s="309"/>
      <c r="E77" s="309"/>
      <c r="F77" s="306" t="s">
        <v>301</v>
      </c>
      <c r="G77" s="309"/>
      <c r="H77" s="309"/>
      <c r="I77" s="359"/>
      <c r="J77" s="311"/>
    </row>
    <row r="78" spans="1:10" ht="47.25" x14ac:dyDescent="0.25">
      <c r="A78" s="303" t="s">
        <v>324</v>
      </c>
      <c r="B78" s="314">
        <f>B76+B77</f>
        <v>37457611</v>
      </c>
      <c r="C78" s="314">
        <f>C76+C77</f>
        <v>39349451</v>
      </c>
      <c r="D78" s="314">
        <f>D76+D77</f>
        <v>42244216</v>
      </c>
      <c r="E78" s="314">
        <f>E76+E77</f>
        <v>2894765</v>
      </c>
      <c r="F78" s="305" t="s">
        <v>325</v>
      </c>
      <c r="G78" s="314">
        <f>G76+G77</f>
        <v>0</v>
      </c>
      <c r="H78" s="314">
        <f>H76+H77</f>
        <v>0</v>
      </c>
      <c r="I78" s="314">
        <f>I76+I77</f>
        <v>0</v>
      </c>
      <c r="J78" s="315">
        <f>J76+J77</f>
        <v>0</v>
      </c>
    </row>
    <row r="79" spans="1:10" x14ac:dyDescent="0.25">
      <c r="A79" s="303" t="s">
        <v>304</v>
      </c>
      <c r="B79" s="314"/>
      <c r="C79" s="314"/>
      <c r="D79" s="314"/>
      <c r="E79" s="314"/>
      <c r="F79" s="314" t="s">
        <v>16</v>
      </c>
      <c r="G79" s="309"/>
      <c r="H79" s="309"/>
      <c r="I79" s="359"/>
      <c r="J79" s="311"/>
    </row>
    <row r="80" spans="1:10" ht="31.5" x14ac:dyDescent="0.25">
      <c r="A80" s="282" t="s">
        <v>254</v>
      </c>
      <c r="B80" s="314"/>
      <c r="C80" s="314"/>
      <c r="D80" s="314"/>
      <c r="E80" s="314"/>
      <c r="F80" s="310" t="s">
        <v>255</v>
      </c>
      <c r="G80" s="309"/>
      <c r="H80" s="309"/>
      <c r="I80" s="359"/>
      <c r="J80" s="311"/>
    </row>
    <row r="81" spans="1:10" x14ac:dyDescent="0.25">
      <c r="A81" s="284" t="s">
        <v>305</v>
      </c>
      <c r="B81" s="309"/>
      <c r="C81" s="309"/>
      <c r="D81" s="309"/>
      <c r="E81" s="309"/>
      <c r="F81" s="310" t="s">
        <v>257</v>
      </c>
      <c r="G81" s="309"/>
      <c r="H81" s="309"/>
      <c r="I81" s="359"/>
      <c r="J81" s="311"/>
    </row>
    <row r="82" spans="1:10" ht="31.5" x14ac:dyDescent="0.25">
      <c r="A82" s="284" t="s">
        <v>306</v>
      </c>
      <c r="B82" s="305"/>
      <c r="C82" s="305"/>
      <c r="D82" s="305"/>
      <c r="E82" s="305"/>
      <c r="F82" s="310" t="s">
        <v>259</v>
      </c>
      <c r="G82" s="309"/>
      <c r="H82" s="309"/>
      <c r="I82" s="359"/>
      <c r="J82" s="311"/>
    </row>
    <row r="83" spans="1:10" x14ac:dyDescent="0.25">
      <c r="A83" s="312"/>
      <c r="B83" s="309"/>
      <c r="C83" s="309"/>
      <c r="D83" s="309"/>
      <c r="E83" s="309"/>
      <c r="F83" s="310" t="s">
        <v>307</v>
      </c>
      <c r="G83" s="309"/>
      <c r="H83" s="309"/>
      <c r="I83" s="359"/>
      <c r="J83" s="311"/>
    </row>
    <row r="84" spans="1:10" ht="31.5" x14ac:dyDescent="0.25">
      <c r="A84" s="303" t="s">
        <v>318</v>
      </c>
      <c r="B84" s="314">
        <f>SUM(B80:B82)</f>
        <v>0</v>
      </c>
      <c r="C84" s="314">
        <f>SUM(C80:C82)</f>
        <v>0</v>
      </c>
      <c r="D84" s="314">
        <f>SUM(D80:D82)</f>
        <v>0</v>
      </c>
      <c r="E84" s="314">
        <f>SUM(E80:E82)</f>
        <v>0</v>
      </c>
      <c r="F84" s="310" t="s">
        <v>308</v>
      </c>
      <c r="G84" s="309"/>
      <c r="H84" s="309"/>
      <c r="I84" s="359"/>
      <c r="J84" s="311"/>
    </row>
    <row r="85" spans="1:10" ht="31.5" x14ac:dyDescent="0.25">
      <c r="A85" s="317" t="s">
        <v>300</v>
      </c>
      <c r="B85" s="309"/>
      <c r="C85" s="309"/>
      <c r="D85" s="309"/>
      <c r="E85" s="309"/>
      <c r="F85" s="318" t="s">
        <v>309</v>
      </c>
      <c r="G85" s="309"/>
      <c r="H85" s="309"/>
      <c r="I85" s="359"/>
      <c r="J85" s="311"/>
    </row>
    <row r="86" spans="1:10" ht="31.5" x14ac:dyDescent="0.25">
      <c r="A86" s="317"/>
      <c r="B86" s="309"/>
      <c r="C86" s="309"/>
      <c r="D86" s="309"/>
      <c r="E86" s="309"/>
      <c r="F86" s="283" t="s">
        <v>264</v>
      </c>
      <c r="G86" s="309"/>
      <c r="H86" s="309"/>
      <c r="I86" s="359"/>
      <c r="J86" s="311"/>
    </row>
    <row r="87" spans="1:10" ht="48" thickBot="1" x14ac:dyDescent="0.3">
      <c r="A87" s="319" t="s">
        <v>326</v>
      </c>
      <c r="B87" s="320">
        <f>SUM(B80:B86)</f>
        <v>0</v>
      </c>
      <c r="C87" s="320">
        <f>SUM(C80:C86)</f>
        <v>0</v>
      </c>
      <c r="D87" s="320">
        <f>SUM(D80:D86)</f>
        <v>0</v>
      </c>
      <c r="E87" s="320">
        <f>SUM(E80:E86)</f>
        <v>0</v>
      </c>
      <c r="F87" s="322" t="s">
        <v>327</v>
      </c>
      <c r="G87" s="320">
        <f>SUM(G80:G86)</f>
        <v>0</v>
      </c>
      <c r="H87" s="320">
        <f>SUM(H80:H86)</f>
        <v>0</v>
      </c>
      <c r="I87" s="320">
        <f>SUM(I80:I86)</f>
        <v>0</v>
      </c>
      <c r="J87" s="323">
        <f>SUM(J80:J86)</f>
        <v>0</v>
      </c>
    </row>
    <row r="88" spans="1:10" x14ac:dyDescent="0.25">
      <c r="B88" s="299">
        <f>B87+B78+B61+B48+B30+B19</f>
        <v>186320222</v>
      </c>
      <c r="C88" s="299">
        <f>C87+C78+C61+C48+C30+C19</f>
        <v>192086242</v>
      </c>
      <c r="D88" s="299">
        <f>D87+D78+D61+D48+D30+D19</f>
        <v>197875772</v>
      </c>
      <c r="E88" s="299">
        <f>E87+E78+E61+E48+E30+E19</f>
        <v>5789530</v>
      </c>
      <c r="G88" s="299">
        <f>G87+G78+G61+G48+G30+G19</f>
        <v>148862611</v>
      </c>
      <c r="H88" s="299">
        <f>H87+H78+H61+H48+H30+H19</f>
        <v>152736791</v>
      </c>
      <c r="I88" s="299">
        <f>I87+I78+I61+I48+I30+I19</f>
        <v>155631556</v>
      </c>
      <c r="J88" s="299">
        <f>J87+J78+J61+J48+J30+J19</f>
        <v>2894765</v>
      </c>
    </row>
    <row r="89" spans="1:10" x14ac:dyDescent="0.25">
      <c r="A89" s="298" t="s">
        <v>328</v>
      </c>
    </row>
  </sheetData>
  <mergeCells count="3">
    <mergeCell ref="A3:J3"/>
    <mergeCell ref="A32:J32"/>
    <mergeCell ref="A62:J62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&amp;C&amp;"Times New Roman,Normál"&amp;12 7. melléklet a 9/2017. (IX. 30.) önkormányzati rendelethez
Az önkormányzat 2017. évi költségvetéséről szóló 1/2017. (II. 15.) önkormányzati rendelet 7. mellékletének helyébe a következő 7. melléklet lép:</oddHeader>
  </headerFooter>
  <rowBreaks count="3" manualBreakCount="3">
    <brk id="31" max="9" man="1"/>
    <brk id="61" max="9" man="1"/>
    <brk id="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10</vt:i4>
      </vt:variant>
    </vt:vector>
  </HeadingPairs>
  <TitlesOfParts>
    <vt:vector size="20" baseType="lpstr">
      <vt:lpstr>BÉR</vt:lpstr>
      <vt:lpstr>1.sz.tábla </vt:lpstr>
      <vt:lpstr>2.sz.tábla</vt:lpstr>
      <vt:lpstr>2a. tábla</vt:lpstr>
      <vt:lpstr>3.sz.tábla </vt:lpstr>
      <vt:lpstr>4.sz.tábla</vt:lpstr>
      <vt:lpstr>5. sz. tábla</vt:lpstr>
      <vt:lpstr>6. sz. tábla</vt:lpstr>
      <vt:lpstr>7. sz. tábla</vt:lpstr>
      <vt:lpstr>8. sz. tábla</vt:lpstr>
      <vt:lpstr>'2.sz.tábla'!Nyomtatási_cím</vt:lpstr>
      <vt:lpstr>'1.sz.tábla '!Nyomtatási_terület</vt:lpstr>
      <vt:lpstr>'2.sz.tábla'!Nyomtatási_terület</vt:lpstr>
      <vt:lpstr>'2a. tábla'!Nyomtatási_terület</vt:lpstr>
      <vt:lpstr>'3.sz.tábla '!Nyomtatási_terület</vt:lpstr>
      <vt:lpstr>'4.sz.tábla'!Nyomtatási_terület</vt:lpstr>
      <vt:lpstr>'5. sz. tábla'!Nyomtatási_terület</vt:lpstr>
      <vt:lpstr>'6. sz. tábla'!Nyomtatási_terület</vt:lpstr>
      <vt:lpstr>'7. sz. tábla'!Nyomtatási_terület</vt:lpstr>
      <vt:lpstr>'8. sz. 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Hossó Erika</cp:lastModifiedBy>
  <cp:lastPrinted>2017-10-26T09:08:11Z</cp:lastPrinted>
  <dcterms:created xsi:type="dcterms:W3CDTF">2014-05-27T12:51:39Z</dcterms:created>
  <dcterms:modified xsi:type="dcterms:W3CDTF">2017-10-26T09:49:45Z</dcterms:modified>
</cp:coreProperties>
</file>