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\közös\Hivatali Dokumentumok\_KÖZÖS DOKUMENTUMOK\_PÉNZÜGY\2019. év\Költségvetés\Abda\Rendeletek\I. félév\"/>
    </mc:Choice>
  </mc:AlternateContent>
  <xr:revisionPtr revIDLastSave="0" documentId="13_ncr:1_{CEF75522-7797-42BD-AED4-4BD2A793ACF7}" xr6:coauthVersionLast="36" xr6:coauthVersionMax="43" xr10:uidLastSave="{00000000-0000-0000-0000-000000000000}"/>
  <bookViews>
    <workbookView xWindow="-120" yWindow="-120" windowWidth="19440" windowHeight="15000" tabRatio="944" xr2:uid="{00000000-000D-0000-FFFF-FFFF00000000}"/>
  </bookViews>
  <sheets>
    <sheet name="1. Bevételek" sheetId="41" r:id="rId1"/>
    <sheet name="1.1.Bevételek (KÖT, ÖNV,Áll.i)" sheetId="201" r:id="rId2"/>
    <sheet name="2. Kiadások" sheetId="5" r:id="rId3"/>
    <sheet name="2.1.Kiadások (KÖT, ÖNV, Áll.i)" sheetId="202" r:id="rId4"/>
    <sheet name="3.Működési mérleg" sheetId="196" r:id="rId5"/>
    <sheet name="4. Felhalmozási mérleg" sheetId="197" r:id="rId6"/>
    <sheet name="5. Pénzeszköz átadás" sheetId="190" r:id="rId7"/>
    <sheet name="6 .Felhalmozási k." sheetId="194" r:id="rId8"/>
    <sheet name="7. Kötelezettség" sheetId="200" r:id="rId9"/>
    <sheet name="8. Létszám" sheetId="195" r:id="rId10"/>
    <sheet name="9. Adósságk." sheetId="198" r:id="rId11"/>
  </sheets>
  <externalReferences>
    <externalReference r:id="rId12"/>
    <externalReference r:id="rId13"/>
  </externalReferences>
  <definedNames>
    <definedName name="beruh">'[1]4.1. táj.'!#REF!</definedName>
    <definedName name="intézmények">'[2]4.1. táj.'!#REF!</definedName>
    <definedName name="_xlnm.Print_Titles" localSheetId="0">'1. Bevételek'!$3:$6</definedName>
    <definedName name="_xlnm.Print_Titles" localSheetId="2">'2. Kiadások'!$3:$3</definedName>
    <definedName name="_xlnm.Print_Area" localSheetId="0">'1. Bevételek'!$A$1:$O$58</definedName>
    <definedName name="_xlnm.Print_Area" localSheetId="2">'2. Kiadások'!$A$1:$L$31</definedName>
  </definedNames>
  <calcPr calcId="191029"/>
</workbook>
</file>

<file path=xl/calcChain.xml><?xml version="1.0" encoding="utf-8"?>
<calcChain xmlns="http://schemas.openxmlformats.org/spreadsheetml/2006/main">
  <c r="I13" i="190" l="1"/>
  <c r="N46" i="201"/>
  <c r="N45" i="201"/>
  <c r="N44" i="201"/>
  <c r="Q44" i="201"/>
  <c r="K27" i="201"/>
  <c r="K29" i="201" s="1"/>
  <c r="Q10" i="201"/>
  <c r="Q11" i="201"/>
  <c r="N55" i="201"/>
  <c r="N56" i="201" s="1"/>
  <c r="N53" i="201"/>
  <c r="N54" i="201" s="1"/>
  <c r="N49" i="201"/>
  <c r="N50" i="201" s="1"/>
  <c r="N51" i="201"/>
  <c r="N52" i="201" s="1"/>
  <c r="N43" i="201"/>
  <c r="N40" i="201"/>
  <c r="N39" i="201"/>
  <c r="N31" i="201"/>
  <c r="N32" i="201"/>
  <c r="N33" i="201"/>
  <c r="N34" i="201"/>
  <c r="N35" i="201"/>
  <c r="N36" i="201"/>
  <c r="N37" i="201"/>
  <c r="N30" i="201"/>
  <c r="N28" i="201"/>
  <c r="N26" i="201"/>
  <c r="N25" i="201"/>
  <c r="N24" i="201"/>
  <c r="N23" i="201"/>
  <c r="N20" i="201"/>
  <c r="N21" i="201" s="1"/>
  <c r="N22" i="201" s="1"/>
  <c r="N14" i="201"/>
  <c r="N15" i="201"/>
  <c r="N16" i="201"/>
  <c r="N17" i="201"/>
  <c r="N13" i="201"/>
  <c r="N7" i="201"/>
  <c r="N8" i="201"/>
  <c r="N9" i="201"/>
  <c r="N10" i="201"/>
  <c r="N11" i="201"/>
  <c r="N6" i="201"/>
  <c r="I55" i="201"/>
  <c r="I53" i="201"/>
  <c r="I54" i="201" s="1"/>
  <c r="I51" i="201"/>
  <c r="I52" i="201"/>
  <c r="I49" i="201"/>
  <c r="I50" i="201" s="1"/>
  <c r="I46" i="201"/>
  <c r="I47" i="201" s="1"/>
  <c r="I45" i="201"/>
  <c r="I44" i="201"/>
  <c r="I42" i="201"/>
  <c r="I41" i="201"/>
  <c r="I40" i="201"/>
  <c r="I39" i="201"/>
  <c r="I37" i="201"/>
  <c r="I36" i="201"/>
  <c r="I35" i="201"/>
  <c r="I34" i="201"/>
  <c r="I33" i="201"/>
  <c r="I32" i="201"/>
  <c r="I31" i="201"/>
  <c r="I30" i="201"/>
  <c r="I28" i="201"/>
  <c r="I27" i="201"/>
  <c r="I25" i="201"/>
  <c r="I26" i="201"/>
  <c r="I24" i="201"/>
  <c r="I23" i="201"/>
  <c r="I20" i="201"/>
  <c r="I21" i="201" s="1"/>
  <c r="I22" i="201" s="1"/>
  <c r="I14" i="201"/>
  <c r="I15" i="201"/>
  <c r="I16" i="201"/>
  <c r="I17" i="201"/>
  <c r="I13" i="201"/>
  <c r="I10" i="201"/>
  <c r="I11" i="201"/>
  <c r="R11" i="201" s="1"/>
  <c r="I7" i="201"/>
  <c r="I8" i="201"/>
  <c r="I9" i="201"/>
  <c r="I6" i="201"/>
  <c r="F41" i="201"/>
  <c r="G41" i="201"/>
  <c r="H41" i="201"/>
  <c r="J41" i="201"/>
  <c r="K41" i="201"/>
  <c r="L41" i="201"/>
  <c r="M41" i="201"/>
  <c r="O41" i="201"/>
  <c r="P41" i="201"/>
  <c r="Q41" i="201"/>
  <c r="E41" i="201"/>
  <c r="F57" i="201"/>
  <c r="G57" i="201"/>
  <c r="H57" i="201"/>
  <c r="J57" i="201"/>
  <c r="L57" i="201"/>
  <c r="O57" i="201"/>
  <c r="P57" i="201"/>
  <c r="F56" i="201"/>
  <c r="G56" i="201"/>
  <c r="H56" i="201"/>
  <c r="I56" i="201"/>
  <c r="J56" i="201"/>
  <c r="K56" i="201"/>
  <c r="L56" i="201"/>
  <c r="M56" i="201"/>
  <c r="O56" i="201"/>
  <c r="P56" i="201"/>
  <c r="Q56" i="201"/>
  <c r="F54" i="201"/>
  <c r="G54" i="201"/>
  <c r="H54" i="201"/>
  <c r="J54" i="201"/>
  <c r="K54" i="201"/>
  <c r="L54" i="201"/>
  <c r="M54" i="201"/>
  <c r="M57" i="201" s="1"/>
  <c r="O54" i="201"/>
  <c r="P54" i="201"/>
  <c r="F52" i="201"/>
  <c r="G52" i="201"/>
  <c r="H52" i="201"/>
  <c r="J52" i="201"/>
  <c r="K52" i="201"/>
  <c r="K57" i="201" s="1"/>
  <c r="L52" i="201"/>
  <c r="M52" i="201"/>
  <c r="O52" i="201"/>
  <c r="P52" i="201"/>
  <c r="Q52" i="201"/>
  <c r="F50" i="201"/>
  <c r="G50" i="201"/>
  <c r="H50" i="201"/>
  <c r="J50" i="201"/>
  <c r="K50" i="201"/>
  <c r="L50" i="201"/>
  <c r="M50" i="201"/>
  <c r="O50" i="201"/>
  <c r="P50" i="201"/>
  <c r="Q50" i="201"/>
  <c r="F19" i="201"/>
  <c r="F48" i="201" s="1"/>
  <c r="F58" i="201" s="1"/>
  <c r="J19" i="201"/>
  <c r="Q20" i="201"/>
  <c r="Q21" i="201" s="1"/>
  <c r="Q22" i="201" s="1"/>
  <c r="F22" i="201"/>
  <c r="H22" i="201"/>
  <c r="K22" i="201"/>
  <c r="M22" i="201"/>
  <c r="P22" i="201"/>
  <c r="F21" i="201"/>
  <c r="G21" i="201"/>
  <c r="G22" i="201" s="1"/>
  <c r="H21" i="201"/>
  <c r="J21" i="201"/>
  <c r="J22" i="201" s="1"/>
  <c r="K21" i="201"/>
  <c r="L21" i="201"/>
  <c r="L22" i="201" s="1"/>
  <c r="M21" i="201"/>
  <c r="O21" i="201"/>
  <c r="O22" i="201" s="1"/>
  <c r="P21" i="201"/>
  <c r="E21" i="201"/>
  <c r="E22" i="201"/>
  <c r="F47" i="201"/>
  <c r="G47" i="201"/>
  <c r="H47" i="201"/>
  <c r="J47" i="201"/>
  <c r="K47" i="201"/>
  <c r="L47" i="201"/>
  <c r="M47" i="201"/>
  <c r="O47" i="201"/>
  <c r="P47" i="201"/>
  <c r="E47" i="201"/>
  <c r="Q43" i="201"/>
  <c r="Q40" i="201"/>
  <c r="F43" i="201"/>
  <c r="G43" i="201"/>
  <c r="H43" i="201"/>
  <c r="J43" i="201"/>
  <c r="K43" i="201"/>
  <c r="L43" i="201"/>
  <c r="M43" i="201"/>
  <c r="O43" i="201"/>
  <c r="P43" i="201"/>
  <c r="E43" i="201"/>
  <c r="F38" i="201"/>
  <c r="G38" i="201"/>
  <c r="H38" i="201"/>
  <c r="J38" i="201"/>
  <c r="K38" i="201"/>
  <c r="L38" i="201"/>
  <c r="M38" i="201"/>
  <c r="O38" i="201"/>
  <c r="P38" i="201"/>
  <c r="F27" i="201"/>
  <c r="F29" i="201" s="1"/>
  <c r="G27" i="201"/>
  <c r="G29" i="201" s="1"/>
  <c r="H27" i="201"/>
  <c r="H29" i="201" s="1"/>
  <c r="J27" i="201"/>
  <c r="J29" i="201" s="1"/>
  <c r="L27" i="201"/>
  <c r="L29" i="201" s="1"/>
  <c r="M27" i="201"/>
  <c r="M29" i="201" s="1"/>
  <c r="O27" i="201"/>
  <c r="O29" i="201" s="1"/>
  <c r="Q14" i="201"/>
  <c r="F18" i="201"/>
  <c r="G18" i="201"/>
  <c r="H18" i="201"/>
  <c r="J18" i="201"/>
  <c r="K18" i="201"/>
  <c r="L18" i="201"/>
  <c r="M18" i="201"/>
  <c r="O18" i="201"/>
  <c r="P18" i="201"/>
  <c r="F12" i="201"/>
  <c r="G12" i="201"/>
  <c r="G19" i="201" s="1"/>
  <c r="H12" i="201"/>
  <c r="J12" i="201"/>
  <c r="K12" i="201"/>
  <c r="K19" i="201" s="1"/>
  <c r="L12" i="201"/>
  <c r="L19" i="201" s="1"/>
  <c r="M12" i="201"/>
  <c r="O12" i="201"/>
  <c r="O19" i="201" s="1"/>
  <c r="P12" i="201"/>
  <c r="P19" i="201" s="1"/>
  <c r="P48" i="201" s="1"/>
  <c r="E12" i="201"/>
  <c r="K33" i="202"/>
  <c r="L33" i="202"/>
  <c r="M33" i="202"/>
  <c r="K32" i="202"/>
  <c r="L32" i="202"/>
  <c r="M32" i="202"/>
  <c r="N27" i="202"/>
  <c r="N25" i="202"/>
  <c r="N24" i="202"/>
  <c r="N23" i="202"/>
  <c r="N22" i="202"/>
  <c r="N31" i="202"/>
  <c r="N30" i="202"/>
  <c r="K29" i="202"/>
  <c r="L29" i="202"/>
  <c r="K28" i="202"/>
  <c r="L28" i="202"/>
  <c r="M28" i="202"/>
  <c r="M29" i="202" s="1"/>
  <c r="N20" i="202"/>
  <c r="N19" i="202"/>
  <c r="N18" i="202"/>
  <c r="N17" i="202"/>
  <c r="N15" i="202"/>
  <c r="N14" i="202"/>
  <c r="N13" i="202"/>
  <c r="N12" i="202"/>
  <c r="N11" i="202"/>
  <c r="N10" i="202"/>
  <c r="N9" i="202"/>
  <c r="N7" i="202"/>
  <c r="N6" i="202"/>
  <c r="K8" i="202"/>
  <c r="L8" i="202"/>
  <c r="M8" i="202"/>
  <c r="H33" i="202"/>
  <c r="H32" i="202"/>
  <c r="I31" i="202"/>
  <c r="I30" i="202"/>
  <c r="H29" i="202"/>
  <c r="H28" i="202"/>
  <c r="I27" i="202"/>
  <c r="I25" i="202"/>
  <c r="I24" i="202"/>
  <c r="I23" i="202"/>
  <c r="I20" i="202"/>
  <c r="I19" i="202"/>
  <c r="I18" i="202"/>
  <c r="I17" i="202"/>
  <c r="I15" i="202"/>
  <c r="I14" i="202"/>
  <c r="I13" i="202"/>
  <c r="I12" i="202"/>
  <c r="I11" i="202"/>
  <c r="I10" i="202"/>
  <c r="I9" i="202"/>
  <c r="I7" i="202"/>
  <c r="I6" i="202"/>
  <c r="R44" i="201" l="1"/>
  <c r="Q47" i="201"/>
  <c r="L48" i="201"/>
  <c r="L58" i="201" s="1"/>
  <c r="N47" i="201"/>
  <c r="J48" i="201"/>
  <c r="J58" i="201" s="1"/>
  <c r="N41" i="201"/>
  <c r="N27" i="201"/>
  <c r="N29" i="201" s="1"/>
  <c r="N18" i="201"/>
  <c r="M19" i="201"/>
  <c r="M48" i="201" s="1"/>
  <c r="M58" i="201" s="1"/>
  <c r="N57" i="201"/>
  <c r="R10" i="201"/>
  <c r="I57" i="201"/>
  <c r="O48" i="201"/>
  <c r="O58" i="201" s="1"/>
  <c r="K48" i="201"/>
  <c r="K58" i="201" s="1"/>
  <c r="G48" i="201"/>
  <c r="G58" i="201" s="1"/>
  <c r="H19" i="201"/>
  <c r="H48" i="201" s="1"/>
  <c r="H58" i="201" s="1"/>
  <c r="R20" i="201"/>
  <c r="R21" i="201" s="1"/>
  <c r="R22" i="201" s="1"/>
  <c r="R42" i="201"/>
  <c r="R43" i="201" s="1"/>
  <c r="I43" i="201"/>
  <c r="R40" i="201"/>
  <c r="R14" i="201"/>
  <c r="F33" i="202" l="1"/>
  <c r="F32" i="202"/>
  <c r="F29" i="202"/>
  <c r="F28" i="202"/>
  <c r="M21" i="202"/>
  <c r="K21" i="202"/>
  <c r="H21" i="202"/>
  <c r="F21" i="202"/>
  <c r="F16" i="202"/>
  <c r="G16" i="202"/>
  <c r="H16" i="202"/>
  <c r="J16" i="202"/>
  <c r="K16" i="202"/>
  <c r="L16" i="202"/>
  <c r="M16" i="202"/>
  <c r="O16" i="202"/>
  <c r="P16" i="202"/>
  <c r="Q16" i="202"/>
  <c r="H8" i="202"/>
  <c r="F8" i="202"/>
  <c r="P32" i="202" l="1"/>
  <c r="O32" i="202"/>
  <c r="J32" i="202"/>
  <c r="G32" i="202"/>
  <c r="E32" i="202"/>
  <c r="Q31" i="202"/>
  <c r="Q32" i="202" s="1"/>
  <c r="N32" i="202"/>
  <c r="Q30" i="202"/>
  <c r="I32" i="202"/>
  <c r="P28" i="202"/>
  <c r="O28" i="202"/>
  <c r="J28" i="202"/>
  <c r="G28" i="202"/>
  <c r="E28" i="202"/>
  <c r="Q27" i="202"/>
  <c r="R27" i="202"/>
  <c r="N26" i="202"/>
  <c r="R26" i="202" s="1"/>
  <c r="Q25" i="202"/>
  <c r="Q28" i="202" s="1"/>
  <c r="N28" i="202"/>
  <c r="Q24" i="202"/>
  <c r="R24" i="202"/>
  <c r="Q23" i="202"/>
  <c r="Q22" i="202"/>
  <c r="I22" i="202"/>
  <c r="P21" i="202"/>
  <c r="O21" i="202"/>
  <c r="L21" i="202"/>
  <c r="J21" i="202"/>
  <c r="N21" i="202" s="1"/>
  <c r="I21" i="202"/>
  <c r="G21" i="202"/>
  <c r="E21" i="202"/>
  <c r="Q19" i="202"/>
  <c r="Q18" i="202"/>
  <c r="Q17" i="202"/>
  <c r="E16" i="202"/>
  <c r="E29" i="202" s="1"/>
  <c r="E33" i="202" s="1"/>
  <c r="Q15" i="202"/>
  <c r="R15" i="202"/>
  <c r="Q14" i="202"/>
  <c r="R14" i="202"/>
  <c r="Q13" i="202"/>
  <c r="Q12" i="202"/>
  <c r="Q11" i="202"/>
  <c r="Q10" i="202"/>
  <c r="R10" i="202"/>
  <c r="Q9" i="202"/>
  <c r="R9" i="202"/>
  <c r="P8" i="202"/>
  <c r="O8" i="202"/>
  <c r="J8" i="202"/>
  <c r="G8" i="202"/>
  <c r="G29" i="202" s="1"/>
  <c r="G33" i="202" s="1"/>
  <c r="E8" i="202"/>
  <c r="Q7" i="202"/>
  <c r="Q6" i="202"/>
  <c r="Q8" i="202" s="1"/>
  <c r="N8" i="202"/>
  <c r="I8" i="202"/>
  <c r="E56" i="201"/>
  <c r="Q55" i="201"/>
  <c r="Q54" i="201"/>
  <c r="E54" i="201"/>
  <c r="Q53" i="201"/>
  <c r="R53" i="201"/>
  <c r="R54" i="201" s="1"/>
  <c r="E52" i="201"/>
  <c r="E57" i="201" s="1"/>
  <c r="R51" i="201"/>
  <c r="R52" i="201" s="1"/>
  <c r="Q51" i="201"/>
  <c r="E50" i="201"/>
  <c r="Q49" i="201"/>
  <c r="Q46" i="201"/>
  <c r="Q45" i="201"/>
  <c r="R45" i="201"/>
  <c r="Q39" i="201"/>
  <c r="E38" i="201"/>
  <c r="Q37" i="201"/>
  <c r="Q36" i="201"/>
  <c r="Q35" i="201"/>
  <c r="Q34" i="201"/>
  <c r="Q33" i="201"/>
  <c r="Q32" i="201"/>
  <c r="Q31" i="201"/>
  <c r="Q30" i="201"/>
  <c r="Q28" i="201"/>
  <c r="R28" i="201"/>
  <c r="P27" i="201"/>
  <c r="P29" i="201" s="1"/>
  <c r="E27" i="201"/>
  <c r="E29" i="201" s="1"/>
  <c r="Q26" i="201"/>
  <c r="Q25" i="201"/>
  <c r="Q24" i="201"/>
  <c r="Q27" i="201" s="1"/>
  <c r="Q29" i="201" s="1"/>
  <c r="Q23" i="201"/>
  <c r="R23" i="201"/>
  <c r="E18" i="201"/>
  <c r="Q17" i="201"/>
  <c r="Q16" i="201"/>
  <c r="Q15" i="201"/>
  <c r="Q13" i="201"/>
  <c r="Q9" i="201"/>
  <c r="Q8" i="201"/>
  <c r="R8" i="201"/>
  <c r="Q7" i="201"/>
  <c r="R6" i="201"/>
  <c r="Q6" i="201"/>
  <c r="H67" i="194"/>
  <c r="I67" i="194"/>
  <c r="J67" i="194"/>
  <c r="K67" i="194"/>
  <c r="L67" i="194"/>
  <c r="M67" i="194"/>
  <c r="N67" i="194"/>
  <c r="G67" i="194"/>
  <c r="J65" i="194"/>
  <c r="L65" i="194"/>
  <c r="M65" i="194"/>
  <c r="H64" i="194"/>
  <c r="N63" i="194"/>
  <c r="N65" i="194" s="1"/>
  <c r="M63" i="194"/>
  <c r="L63" i="194"/>
  <c r="K63" i="194"/>
  <c r="K65" i="194" s="1"/>
  <c r="I63" i="194"/>
  <c r="I65" i="194" s="1"/>
  <c r="G63" i="194"/>
  <c r="G65" i="194"/>
  <c r="R34" i="201" l="1"/>
  <c r="R32" i="201"/>
  <c r="R25" i="201"/>
  <c r="I29" i="201"/>
  <c r="R15" i="201"/>
  <c r="I18" i="201"/>
  <c r="R26" i="201"/>
  <c r="R27" i="201" s="1"/>
  <c r="R29" i="201" s="1"/>
  <c r="R30" i="201"/>
  <c r="I38" i="201"/>
  <c r="Q18" i="201"/>
  <c r="N38" i="201"/>
  <c r="R17" i="201"/>
  <c r="Q38" i="201"/>
  <c r="R36" i="201"/>
  <c r="R39" i="201"/>
  <c r="R41" i="201" s="1"/>
  <c r="R37" i="201"/>
  <c r="R35" i="201"/>
  <c r="R33" i="201"/>
  <c r="R24" i="201"/>
  <c r="R16" i="201"/>
  <c r="I12" i="201"/>
  <c r="Q12" i="201"/>
  <c r="Q19" i="201" s="1"/>
  <c r="Q48" i="201" s="1"/>
  <c r="N12" i="201"/>
  <c r="R9" i="201"/>
  <c r="R31" i="202"/>
  <c r="R22" i="202"/>
  <c r="N16" i="202"/>
  <c r="N29" i="202" s="1"/>
  <c r="N33" i="202" s="1"/>
  <c r="R12" i="202"/>
  <c r="R11" i="202"/>
  <c r="I16" i="202"/>
  <c r="R30" i="202"/>
  <c r="R32" i="202" s="1"/>
  <c r="I28" i="202"/>
  <c r="R28" i="202" s="1"/>
  <c r="R23" i="202"/>
  <c r="R20" i="202"/>
  <c r="R19" i="202"/>
  <c r="R18" i="202"/>
  <c r="R17" i="202"/>
  <c r="R13" i="202"/>
  <c r="R7" i="202"/>
  <c r="J29" i="202"/>
  <c r="J33" i="202" s="1"/>
  <c r="O29" i="202"/>
  <c r="O33" i="202" s="1"/>
  <c r="Q21" i="202"/>
  <c r="P29" i="202"/>
  <c r="P33" i="202" s="1"/>
  <c r="E19" i="201"/>
  <c r="E48" i="201" s="1"/>
  <c r="Q29" i="202"/>
  <c r="Q33" i="202" s="1"/>
  <c r="I29" i="202"/>
  <c r="I33" i="202" s="1"/>
  <c r="R25" i="202"/>
  <c r="R6" i="202"/>
  <c r="R8" i="202" s="1"/>
  <c r="Q57" i="201"/>
  <c r="R31" i="201"/>
  <c r="R46" i="201"/>
  <c r="R47" i="201" s="1"/>
  <c r="R49" i="201"/>
  <c r="R7" i="201"/>
  <c r="R13" i="201"/>
  <c r="R55" i="201"/>
  <c r="R56" i="201" s="1"/>
  <c r="H63" i="194"/>
  <c r="H65" i="194" s="1"/>
  <c r="J51" i="194"/>
  <c r="C7" i="196"/>
  <c r="N19" i="201" l="1"/>
  <c r="N48" i="201" s="1"/>
  <c r="N58" i="201" s="1"/>
  <c r="R18" i="201"/>
  <c r="R50" i="201"/>
  <c r="R57" i="201" s="1"/>
  <c r="I19" i="201"/>
  <c r="I48" i="201" s="1"/>
  <c r="I58" i="201" s="1"/>
  <c r="P58" i="201"/>
  <c r="E58" i="201"/>
  <c r="Q58" i="201"/>
  <c r="R12" i="201"/>
  <c r="R38" i="201"/>
  <c r="R21" i="202"/>
  <c r="R16" i="202"/>
  <c r="R29" i="202" s="1"/>
  <c r="R33" i="202" s="1"/>
  <c r="F19" i="5"/>
  <c r="F13" i="5"/>
  <c r="R19" i="201" l="1"/>
  <c r="R48" i="201" s="1"/>
  <c r="R58" i="201" s="1"/>
  <c r="F14" i="198"/>
  <c r="F15" i="198" s="1"/>
  <c r="G14" i="198"/>
  <c r="G15" i="198" s="1"/>
  <c r="E11" i="198"/>
  <c r="E12" i="198"/>
  <c r="E13" i="198"/>
  <c r="E10" i="198"/>
  <c r="E14" i="198" s="1"/>
  <c r="E15" i="198" s="1"/>
  <c r="G10" i="198"/>
  <c r="J31" i="194" l="1"/>
  <c r="J30" i="194" s="1"/>
  <c r="G30" i="194"/>
  <c r="I30" i="194"/>
  <c r="I21" i="5"/>
  <c r="N16" i="5"/>
  <c r="O16" i="5"/>
  <c r="N22" i="5" l="1"/>
  <c r="O22" i="5"/>
  <c r="N21" i="5"/>
  <c r="O21" i="5"/>
  <c r="N15" i="5"/>
  <c r="O15" i="5"/>
  <c r="N8" i="5"/>
  <c r="O8" i="5"/>
  <c r="M16" i="5"/>
  <c r="O29" i="5"/>
  <c r="O28" i="5"/>
  <c r="O24" i="5"/>
  <c r="O25" i="5"/>
  <c r="O23" i="5"/>
  <c r="O18" i="5"/>
  <c r="O19" i="5"/>
  <c r="O17" i="5"/>
  <c r="O10" i="5"/>
  <c r="O11" i="5"/>
  <c r="O12" i="5"/>
  <c r="O13" i="5"/>
  <c r="O9" i="5"/>
  <c r="O6" i="5"/>
  <c r="O5" i="5"/>
  <c r="N29" i="5"/>
  <c r="N28" i="5"/>
  <c r="N24" i="5"/>
  <c r="N25" i="5"/>
  <c r="N23" i="5"/>
  <c r="N18" i="5"/>
  <c r="N19" i="5"/>
  <c r="N17" i="5"/>
  <c r="N10" i="5"/>
  <c r="N11" i="5"/>
  <c r="N12" i="5"/>
  <c r="N13" i="5"/>
  <c r="N9" i="5"/>
  <c r="N6" i="5"/>
  <c r="N5" i="5"/>
  <c r="J48" i="194"/>
  <c r="L48" i="194"/>
  <c r="L47" i="194" s="1"/>
  <c r="M48" i="194"/>
  <c r="M47" i="194" s="1"/>
  <c r="N48" i="194"/>
  <c r="L51" i="194"/>
  <c r="M51" i="194"/>
  <c r="N51" i="194"/>
  <c r="L58" i="194"/>
  <c r="M58" i="194"/>
  <c r="N58" i="194"/>
  <c r="H58" i="194"/>
  <c r="I58" i="194"/>
  <c r="H53" i="194"/>
  <c r="H54" i="194"/>
  <c r="H56" i="194"/>
  <c r="H57" i="194"/>
  <c r="H52" i="194"/>
  <c r="I51" i="194"/>
  <c r="H49" i="194"/>
  <c r="H48" i="194" s="1"/>
  <c r="I48" i="194"/>
  <c r="M30" i="194"/>
  <c r="M26" i="194" s="1"/>
  <c r="N30" i="194"/>
  <c r="N26" i="194" s="1"/>
  <c r="L10" i="194"/>
  <c r="M10" i="194"/>
  <c r="N10" i="194"/>
  <c r="L7" i="194"/>
  <c r="M7" i="194"/>
  <c r="N7" i="194"/>
  <c r="L40" i="194"/>
  <c r="L30" i="194" s="1"/>
  <c r="L26" i="194" s="1"/>
  <c r="H32" i="194"/>
  <c r="H34" i="194"/>
  <c r="H35" i="194"/>
  <c r="H36" i="194"/>
  <c r="H37" i="194"/>
  <c r="H38" i="194"/>
  <c r="H39" i="194"/>
  <c r="H31" i="194"/>
  <c r="H28" i="194"/>
  <c r="H27" i="194" s="1"/>
  <c r="I27" i="194"/>
  <c r="J27" i="194"/>
  <c r="J26" i="194" s="1"/>
  <c r="I20" i="194"/>
  <c r="J20" i="194"/>
  <c r="I15" i="194"/>
  <c r="J15" i="194"/>
  <c r="H13" i="194"/>
  <c r="I13" i="194"/>
  <c r="J13" i="194"/>
  <c r="I7" i="194"/>
  <c r="J7" i="194"/>
  <c r="H7" i="194"/>
  <c r="H22" i="194"/>
  <c r="H23" i="194"/>
  <c r="H24" i="194"/>
  <c r="H25" i="194"/>
  <c r="H21" i="194"/>
  <c r="H17" i="194"/>
  <c r="H18" i="194"/>
  <c r="H16" i="194"/>
  <c r="K58" i="194"/>
  <c r="K51" i="194"/>
  <c r="K48" i="194"/>
  <c r="K30" i="194"/>
  <c r="K27" i="194"/>
  <c r="K20" i="194"/>
  <c r="K15" i="194"/>
  <c r="K13" i="194"/>
  <c r="K7" i="194"/>
  <c r="O43" i="190"/>
  <c r="O44" i="190"/>
  <c r="O45" i="190"/>
  <c r="O49" i="190"/>
  <c r="O54" i="190"/>
  <c r="O55" i="190"/>
  <c r="O56" i="190"/>
  <c r="O57" i="190"/>
  <c r="O59" i="190"/>
  <c r="O42" i="190"/>
  <c r="O39" i="190"/>
  <c r="O38" i="190" s="1"/>
  <c r="O37" i="190"/>
  <c r="O36" i="190" s="1"/>
  <c r="O23" i="190"/>
  <c r="O24" i="190"/>
  <c r="O25" i="190"/>
  <c r="O26" i="190"/>
  <c r="O27" i="190"/>
  <c r="O22" i="190"/>
  <c r="O15" i="190"/>
  <c r="O16" i="190"/>
  <c r="O17" i="190"/>
  <c r="O18" i="190"/>
  <c r="O19" i="190"/>
  <c r="O20" i="190"/>
  <c r="O14" i="190"/>
  <c r="O12" i="190"/>
  <c r="N43" i="190"/>
  <c r="N44" i="190"/>
  <c r="N45" i="190"/>
  <c r="N46" i="190"/>
  <c r="N47" i="190"/>
  <c r="N48" i="190"/>
  <c r="N49" i="190"/>
  <c r="N50" i="190"/>
  <c r="N51" i="190"/>
  <c r="N52" i="190"/>
  <c r="N53" i="190"/>
  <c r="N54" i="190"/>
  <c r="N55" i="190"/>
  <c r="N56" i="190"/>
  <c r="N57" i="190"/>
  <c r="N58" i="190"/>
  <c r="N59" i="190"/>
  <c r="N42" i="190"/>
  <c r="N39" i="190"/>
  <c r="N37" i="190"/>
  <c r="N36" i="190" s="1"/>
  <c r="N23" i="190"/>
  <c r="N24" i="190"/>
  <c r="N25" i="190"/>
  <c r="N26" i="190"/>
  <c r="N27" i="190"/>
  <c r="N22" i="190"/>
  <c r="N15" i="190"/>
  <c r="N16" i="190"/>
  <c r="N17" i="190"/>
  <c r="N18" i="190"/>
  <c r="N19" i="190"/>
  <c r="N20" i="190"/>
  <c r="N14" i="190"/>
  <c r="N12" i="190"/>
  <c r="N11" i="190" s="1"/>
  <c r="N38" i="190"/>
  <c r="M26" i="190"/>
  <c r="M27" i="190"/>
  <c r="L43" i="190"/>
  <c r="L44" i="190"/>
  <c r="L45" i="190"/>
  <c r="L46" i="190"/>
  <c r="L47" i="190"/>
  <c r="L48" i="190"/>
  <c r="L49" i="190"/>
  <c r="L50" i="190"/>
  <c r="L51" i="190"/>
  <c r="L52" i="190"/>
  <c r="L53" i="190"/>
  <c r="L54" i="190"/>
  <c r="L55" i="190"/>
  <c r="L56" i="190"/>
  <c r="L57" i="190"/>
  <c r="L58" i="190"/>
  <c r="L59" i="190"/>
  <c r="L42" i="190"/>
  <c r="L39" i="190"/>
  <c r="L38" i="190" s="1"/>
  <c r="L37" i="190"/>
  <c r="L25" i="190"/>
  <c r="L23" i="190"/>
  <c r="L24" i="190"/>
  <c r="L26" i="190"/>
  <c r="L27" i="190"/>
  <c r="L22" i="190"/>
  <c r="L15" i="190"/>
  <c r="L16" i="190"/>
  <c r="L17" i="190"/>
  <c r="L18" i="190"/>
  <c r="L19" i="190"/>
  <c r="L20" i="190"/>
  <c r="L14" i="190"/>
  <c r="L12" i="190"/>
  <c r="O11" i="190"/>
  <c r="O10" i="190"/>
  <c r="N10" i="190"/>
  <c r="M10" i="190"/>
  <c r="I41" i="190"/>
  <c r="J41" i="190"/>
  <c r="K41" i="190"/>
  <c r="I38" i="190"/>
  <c r="J38" i="190"/>
  <c r="K38" i="190"/>
  <c r="I36" i="190"/>
  <c r="I60" i="190" s="1"/>
  <c r="J36" i="190"/>
  <c r="K36" i="190"/>
  <c r="G52" i="190"/>
  <c r="O52" i="190" s="1"/>
  <c r="G48" i="190"/>
  <c r="O48" i="190" s="1"/>
  <c r="G47" i="190"/>
  <c r="O47" i="190" s="1"/>
  <c r="G53" i="190"/>
  <c r="O53" i="190" s="1"/>
  <c r="G50" i="190"/>
  <c r="O50" i="190" s="1"/>
  <c r="G51" i="190"/>
  <c r="O51" i="190" s="1"/>
  <c r="G58" i="190"/>
  <c r="O58" i="190" s="1"/>
  <c r="G46" i="190"/>
  <c r="O46" i="190" s="1"/>
  <c r="E37" i="190"/>
  <c r="E36" i="190" s="1"/>
  <c r="E39" i="190"/>
  <c r="M39" i="190" s="1"/>
  <c r="M38" i="190" s="1"/>
  <c r="F36" i="190"/>
  <c r="G36" i="190"/>
  <c r="F38" i="190"/>
  <c r="G38" i="190"/>
  <c r="J60" i="190" l="1"/>
  <c r="L21" i="190"/>
  <c r="L41" i="190"/>
  <c r="K60" i="190"/>
  <c r="O21" i="190"/>
  <c r="N47" i="194"/>
  <c r="N61" i="194" s="1"/>
  <c r="N30" i="5"/>
  <c r="O30" i="5"/>
  <c r="N45" i="194"/>
  <c r="O41" i="190"/>
  <c r="O60" i="190" s="1"/>
  <c r="M37" i="190"/>
  <c r="M36" i="190" s="1"/>
  <c r="J47" i="194"/>
  <c r="J61" i="194" s="1"/>
  <c r="E38" i="190"/>
  <c r="J10" i="194"/>
  <c r="J45" i="194" s="1"/>
  <c r="H51" i="194"/>
  <c r="L61" i="194"/>
  <c r="H30" i="194"/>
  <c r="H26" i="194" s="1"/>
  <c r="H20" i="194"/>
  <c r="M61" i="194"/>
  <c r="H47" i="194"/>
  <c r="H61" i="194" s="1"/>
  <c r="I47" i="194"/>
  <c r="I61" i="194" s="1"/>
  <c r="M45" i="194"/>
  <c r="L45" i="194"/>
  <c r="I26" i="194"/>
  <c r="I10" i="194"/>
  <c r="K47" i="194"/>
  <c r="K61" i="194" s="1"/>
  <c r="K26" i="194"/>
  <c r="K10" i="194"/>
  <c r="K45" i="194" s="1"/>
  <c r="O13" i="190"/>
  <c r="O28" i="190" s="1"/>
  <c r="O33" i="190" s="1"/>
  <c r="N41" i="190"/>
  <c r="N60" i="190" s="1"/>
  <c r="N21" i="190"/>
  <c r="N13" i="190"/>
  <c r="E43" i="190"/>
  <c r="M43" i="190" s="1"/>
  <c r="E44" i="190"/>
  <c r="M44" i="190" s="1"/>
  <c r="E45" i="190"/>
  <c r="M45" i="190" s="1"/>
  <c r="E46" i="190"/>
  <c r="M46" i="190" s="1"/>
  <c r="E47" i="190"/>
  <c r="M47" i="190" s="1"/>
  <c r="E48" i="190"/>
  <c r="M48" i="190" s="1"/>
  <c r="E49" i="190"/>
  <c r="M49" i="190" s="1"/>
  <c r="E50" i="190"/>
  <c r="M50" i="190" s="1"/>
  <c r="E51" i="190"/>
  <c r="M51" i="190" s="1"/>
  <c r="E52" i="190"/>
  <c r="M52" i="190" s="1"/>
  <c r="E53" i="190"/>
  <c r="M53" i="190" s="1"/>
  <c r="E54" i="190"/>
  <c r="M54" i="190" s="1"/>
  <c r="E55" i="190"/>
  <c r="M55" i="190" s="1"/>
  <c r="E56" i="190"/>
  <c r="M56" i="190" s="1"/>
  <c r="E57" i="190"/>
  <c r="M57" i="190" s="1"/>
  <c r="E58" i="190"/>
  <c r="M58" i="190" s="1"/>
  <c r="E59" i="190"/>
  <c r="M59" i="190" s="1"/>
  <c r="E42" i="190"/>
  <c r="M42" i="190" s="1"/>
  <c r="F41" i="190"/>
  <c r="F60" i="190" s="1"/>
  <c r="G41" i="190"/>
  <c r="G60" i="190" s="1"/>
  <c r="I20" i="190"/>
  <c r="I19" i="190"/>
  <c r="I21" i="190"/>
  <c r="J21" i="190"/>
  <c r="K21" i="190"/>
  <c r="K13" i="190"/>
  <c r="J13" i="190"/>
  <c r="E12" i="190"/>
  <c r="E15" i="190"/>
  <c r="M15" i="190" s="1"/>
  <c r="E16" i="190"/>
  <c r="M16" i="190" s="1"/>
  <c r="E17" i="190"/>
  <c r="M17" i="190" s="1"/>
  <c r="E18" i="190"/>
  <c r="M18" i="190" s="1"/>
  <c r="E19" i="190"/>
  <c r="E20" i="190"/>
  <c r="E14" i="190"/>
  <c r="M14" i="190" s="1"/>
  <c r="E23" i="190"/>
  <c r="E24" i="190"/>
  <c r="M24" i="190" s="1"/>
  <c r="E25" i="190"/>
  <c r="M25" i="190" s="1"/>
  <c r="E22" i="190"/>
  <c r="M22" i="190" s="1"/>
  <c r="F21" i="190"/>
  <c r="G21" i="190"/>
  <c r="F13" i="190"/>
  <c r="G13" i="190"/>
  <c r="F11" i="190"/>
  <c r="G11" i="190"/>
  <c r="F8" i="190"/>
  <c r="G8" i="190"/>
  <c r="O9" i="190"/>
  <c r="O8" i="190" s="1"/>
  <c r="N9" i="190"/>
  <c r="N8" i="190" s="1"/>
  <c r="E9" i="190"/>
  <c r="I9" i="190"/>
  <c r="L9" i="190"/>
  <c r="K10" i="196"/>
  <c r="K18" i="196" s="1"/>
  <c r="K28" i="196" s="1"/>
  <c r="K30" i="196" s="1"/>
  <c r="J10" i="196"/>
  <c r="H10" i="196"/>
  <c r="J19" i="197"/>
  <c r="J33" i="197" s="1"/>
  <c r="K19" i="197"/>
  <c r="I7" i="197"/>
  <c r="M25" i="5"/>
  <c r="M23" i="5"/>
  <c r="J28" i="196"/>
  <c r="J30" i="196" s="1"/>
  <c r="J27" i="196"/>
  <c r="K27" i="196"/>
  <c r="J18" i="196"/>
  <c r="I10" i="196"/>
  <c r="D24" i="197"/>
  <c r="F32" i="197"/>
  <c r="E26" i="197"/>
  <c r="F26" i="197"/>
  <c r="D27" i="197"/>
  <c r="D26" i="197" s="1"/>
  <c r="D20" i="197"/>
  <c r="D32" i="197" s="1"/>
  <c r="E20" i="197"/>
  <c r="E32" i="197" s="1"/>
  <c r="F20" i="197"/>
  <c r="F19" i="197"/>
  <c r="F33" i="197" s="1"/>
  <c r="F35" i="197" s="1"/>
  <c r="F16" i="197"/>
  <c r="E16" i="197"/>
  <c r="E14" i="197"/>
  <c r="E19" i="197" s="1"/>
  <c r="F14" i="197"/>
  <c r="C14" i="197"/>
  <c r="D7" i="197"/>
  <c r="D8" i="197"/>
  <c r="D9" i="197"/>
  <c r="D10" i="197"/>
  <c r="D11" i="197"/>
  <c r="D12" i="197"/>
  <c r="D13" i="197"/>
  <c r="D15" i="197"/>
  <c r="D14" i="197" s="1"/>
  <c r="D18" i="197"/>
  <c r="D21" i="196"/>
  <c r="D22" i="196"/>
  <c r="D20" i="196"/>
  <c r="E19" i="196"/>
  <c r="F19" i="196"/>
  <c r="F27" i="196" s="1"/>
  <c r="E18" i="196"/>
  <c r="E31" i="196" s="1"/>
  <c r="F18" i="196"/>
  <c r="D8" i="196"/>
  <c r="D11" i="196"/>
  <c r="D12" i="196"/>
  <c r="D13" i="196"/>
  <c r="D14" i="196"/>
  <c r="D15" i="196"/>
  <c r="D16" i="196"/>
  <c r="D17" i="196"/>
  <c r="O49" i="41"/>
  <c r="O27" i="41"/>
  <c r="O22" i="41"/>
  <c r="O54" i="41"/>
  <c r="O55" i="41" s="1"/>
  <c r="O52" i="41"/>
  <c r="O53" i="41" s="1"/>
  <c r="O50" i="41"/>
  <c r="O51" i="41" s="1"/>
  <c r="O48" i="41"/>
  <c r="O44" i="41"/>
  <c r="O45" i="41"/>
  <c r="O43" i="41"/>
  <c r="O41" i="41"/>
  <c r="O39" i="41"/>
  <c r="O38" i="41"/>
  <c r="O30" i="41"/>
  <c r="O31" i="41"/>
  <c r="O32" i="41"/>
  <c r="O33" i="41"/>
  <c r="O34" i="41"/>
  <c r="O35" i="41"/>
  <c r="O36" i="41"/>
  <c r="O29" i="41"/>
  <c r="O24" i="41"/>
  <c r="O25" i="41"/>
  <c r="O23" i="41"/>
  <c r="O19" i="41"/>
  <c r="O13" i="41"/>
  <c r="O14" i="41"/>
  <c r="O15" i="41"/>
  <c r="O16" i="41"/>
  <c r="O12" i="41"/>
  <c r="O6" i="41"/>
  <c r="O7" i="41"/>
  <c r="O8" i="41"/>
  <c r="O9" i="41"/>
  <c r="O10" i="41"/>
  <c r="O5" i="41"/>
  <c r="N27" i="41"/>
  <c r="N22" i="41"/>
  <c r="N54" i="41"/>
  <c r="N55" i="41" s="1"/>
  <c r="N52" i="41"/>
  <c r="N53" i="41" s="1"/>
  <c r="N50" i="41"/>
  <c r="N48" i="41"/>
  <c r="N49" i="41" s="1"/>
  <c r="N44" i="41"/>
  <c r="N45" i="41"/>
  <c r="N43" i="41"/>
  <c r="N41" i="41"/>
  <c r="N39" i="41"/>
  <c r="N38" i="41"/>
  <c r="N30" i="41"/>
  <c r="N31" i="41"/>
  <c r="N32" i="41"/>
  <c r="N33" i="41"/>
  <c r="N34" i="41"/>
  <c r="N35" i="41"/>
  <c r="N36" i="41"/>
  <c r="N29" i="41"/>
  <c r="N24" i="41"/>
  <c r="N25" i="41"/>
  <c r="N23" i="41"/>
  <c r="N19" i="41"/>
  <c r="N13" i="41"/>
  <c r="N14" i="41"/>
  <c r="N15" i="41"/>
  <c r="N16" i="41"/>
  <c r="N12" i="41"/>
  <c r="N6" i="41"/>
  <c r="N7" i="41"/>
  <c r="N8" i="41"/>
  <c r="N9" i="41"/>
  <c r="N10" i="41"/>
  <c r="N5" i="41"/>
  <c r="N51" i="41"/>
  <c r="L19" i="5"/>
  <c r="L22" i="5"/>
  <c r="L21" i="5"/>
  <c r="L16" i="5"/>
  <c r="L15" i="5"/>
  <c r="L8" i="5"/>
  <c r="L29" i="5"/>
  <c r="L28" i="5"/>
  <c r="L24" i="5"/>
  <c r="L25" i="5"/>
  <c r="L23" i="5"/>
  <c r="L18" i="5"/>
  <c r="L17" i="5"/>
  <c r="L10" i="5"/>
  <c r="L11" i="5"/>
  <c r="L12" i="5"/>
  <c r="L13" i="5"/>
  <c r="L9" i="5"/>
  <c r="L6" i="5"/>
  <c r="L5" i="5"/>
  <c r="L27" i="41"/>
  <c r="L22" i="41"/>
  <c r="L54" i="41"/>
  <c r="L55" i="41" s="1"/>
  <c r="L52" i="41"/>
  <c r="L50" i="41"/>
  <c r="L51" i="41" s="1"/>
  <c r="L48" i="41"/>
  <c r="L49" i="41" s="1"/>
  <c r="L44" i="41"/>
  <c r="L45" i="41"/>
  <c r="L43" i="41"/>
  <c r="L41" i="41"/>
  <c r="L39" i="41"/>
  <c r="L38" i="41"/>
  <c r="L30" i="41"/>
  <c r="L31" i="41"/>
  <c r="L32" i="41"/>
  <c r="L33" i="41"/>
  <c r="L34" i="41"/>
  <c r="L35" i="41"/>
  <c r="L36" i="41"/>
  <c r="L29" i="41"/>
  <c r="L24" i="41"/>
  <c r="L25" i="41"/>
  <c r="L23" i="41"/>
  <c r="L19" i="41"/>
  <c r="L13" i="41"/>
  <c r="L14" i="41"/>
  <c r="L15" i="41"/>
  <c r="L16" i="41"/>
  <c r="L12" i="41"/>
  <c r="L6" i="41"/>
  <c r="L7" i="41"/>
  <c r="L8" i="41"/>
  <c r="L9" i="41"/>
  <c r="L10" i="41"/>
  <c r="L53" i="41"/>
  <c r="L5" i="41"/>
  <c r="I28" i="190" l="1"/>
  <c r="I33" i="190" s="1"/>
  <c r="I61" i="190" s="1"/>
  <c r="J28" i="190"/>
  <c r="J33" i="190" s="1"/>
  <c r="J61" i="190" s="1"/>
  <c r="M19" i="190"/>
  <c r="F28" i="190"/>
  <c r="F33" i="190" s="1"/>
  <c r="F61" i="190" s="1"/>
  <c r="M9" i="190"/>
  <c r="M8" i="190" s="1"/>
  <c r="K28" i="190"/>
  <c r="K33" i="190" s="1"/>
  <c r="K61" i="190" s="1"/>
  <c r="I45" i="194"/>
  <c r="J37" i="197"/>
  <c r="J36" i="197"/>
  <c r="E36" i="197"/>
  <c r="E33" i="197"/>
  <c r="E35" i="197" s="1"/>
  <c r="E37" i="197"/>
  <c r="J35" i="197"/>
  <c r="E11" i="190"/>
  <c r="M12" i="190"/>
  <c r="M11" i="190" s="1"/>
  <c r="E13" i="190"/>
  <c r="M41" i="190"/>
  <c r="M60" i="190" s="1"/>
  <c r="E21" i="190"/>
  <c r="M23" i="190"/>
  <c r="F36" i="197"/>
  <c r="M20" i="190"/>
  <c r="M13" i="190" s="1"/>
  <c r="K36" i="197"/>
  <c r="E8" i="190"/>
  <c r="F37" i="197"/>
  <c r="K33" i="197"/>
  <c r="K35" i="197" s="1"/>
  <c r="M21" i="190"/>
  <c r="N28" i="190"/>
  <c r="N33" i="190" s="1"/>
  <c r="N61" i="190" s="1"/>
  <c r="K37" i="197"/>
  <c r="O61" i="190"/>
  <c r="E41" i="190"/>
  <c r="E60" i="190" s="1"/>
  <c r="G28" i="190"/>
  <c r="G33" i="190" s="1"/>
  <c r="G61" i="190" s="1"/>
  <c r="F31" i="196"/>
  <c r="F28" i="196"/>
  <c r="F30" i="196" s="1"/>
  <c r="E32" i="196"/>
  <c r="E27" i="196"/>
  <c r="E28" i="196" s="1"/>
  <c r="E30" i="196" s="1"/>
  <c r="F32" i="196"/>
  <c r="O56" i="41"/>
  <c r="N56" i="41"/>
  <c r="L56" i="41"/>
  <c r="H42" i="41"/>
  <c r="J42" i="41"/>
  <c r="K42" i="41"/>
  <c r="G42" i="41"/>
  <c r="H40" i="41"/>
  <c r="D40" i="41"/>
  <c r="I39" i="41"/>
  <c r="F40" i="41"/>
  <c r="G40" i="41"/>
  <c r="J40" i="41"/>
  <c r="K40" i="41"/>
  <c r="D55" i="41"/>
  <c r="G56" i="41"/>
  <c r="E55" i="41"/>
  <c r="F55" i="41"/>
  <c r="G55" i="41"/>
  <c r="F53" i="41"/>
  <c r="G53" i="41"/>
  <c r="E52" i="41"/>
  <c r="E51" i="41"/>
  <c r="F51" i="41"/>
  <c r="F56" i="41" s="1"/>
  <c r="G51" i="41"/>
  <c r="E50" i="41"/>
  <c r="M50" i="41" s="1"/>
  <c r="M51" i="41" s="1"/>
  <c r="F49" i="41"/>
  <c r="G49" i="41"/>
  <c r="E48" i="41"/>
  <c r="M48" i="41" s="1"/>
  <c r="M49" i="41" s="1"/>
  <c r="E42" i="41"/>
  <c r="F42" i="41"/>
  <c r="N42" i="41" s="1"/>
  <c r="D42" i="41"/>
  <c r="I41" i="41"/>
  <c r="I42" i="41" s="1"/>
  <c r="E41" i="41"/>
  <c r="M41" i="41" s="1"/>
  <c r="K20" i="41"/>
  <c r="K21" i="41" s="1"/>
  <c r="J20" i="41"/>
  <c r="J21" i="41" s="1"/>
  <c r="H20" i="41"/>
  <c r="H21" i="41" s="1"/>
  <c r="F20" i="41"/>
  <c r="N20" i="41" s="1"/>
  <c r="G20" i="41"/>
  <c r="D20" i="41"/>
  <c r="I19" i="41"/>
  <c r="I20" i="41" s="1"/>
  <c r="I21" i="41" s="1"/>
  <c r="E19" i="41"/>
  <c r="M19" i="41" s="1"/>
  <c r="E28" i="190" l="1"/>
  <c r="E33" i="190" s="1"/>
  <c r="E61" i="190" s="1"/>
  <c r="M42" i="41"/>
  <c r="N40" i="41"/>
  <c r="O40" i="41"/>
  <c r="F21" i="41"/>
  <c r="N21" i="41" s="1"/>
  <c r="I40" i="41"/>
  <c r="M39" i="41"/>
  <c r="M28" i="190"/>
  <c r="M33" i="190" s="1"/>
  <c r="M61" i="190" s="1"/>
  <c r="L40" i="41"/>
  <c r="E53" i="41"/>
  <c r="D21" i="41"/>
  <c r="L21" i="41" s="1"/>
  <c r="L20" i="41"/>
  <c r="E49" i="41"/>
  <c r="G21" i="41"/>
  <c r="O21" i="41" s="1"/>
  <c r="O20" i="41"/>
  <c r="L42" i="41"/>
  <c r="O42" i="41"/>
  <c r="E20" i="41"/>
  <c r="I54" i="41"/>
  <c r="J53" i="41"/>
  <c r="J55" i="41" s="1"/>
  <c r="J56" i="41" s="1"/>
  <c r="K53" i="41"/>
  <c r="K55" i="41" s="1"/>
  <c r="K56" i="41" s="1"/>
  <c r="I52" i="41"/>
  <c r="I53" i="41" s="1"/>
  <c r="I46" i="41"/>
  <c r="J46" i="41"/>
  <c r="K46" i="41"/>
  <c r="J37" i="41"/>
  <c r="K37" i="41"/>
  <c r="I31" i="41"/>
  <c r="I32" i="41"/>
  <c r="I33" i="41"/>
  <c r="I34" i="41"/>
  <c r="I35" i="41"/>
  <c r="I36" i="41"/>
  <c r="I30" i="41"/>
  <c r="I11" i="41"/>
  <c r="J11" i="41"/>
  <c r="K11" i="41"/>
  <c r="J17" i="41"/>
  <c r="K17" i="41"/>
  <c r="I13" i="41"/>
  <c r="I14" i="41"/>
  <c r="I15" i="41"/>
  <c r="I16" i="41"/>
  <c r="I12" i="41"/>
  <c r="E56" i="41" l="1"/>
  <c r="M54" i="41"/>
  <c r="M55" i="41" s="1"/>
  <c r="I55" i="41"/>
  <c r="I56" i="41" s="1"/>
  <c r="E21" i="41"/>
  <c r="M21" i="41" s="1"/>
  <c r="M20" i="41"/>
  <c r="M52" i="41"/>
  <c r="M53" i="41" s="1"/>
  <c r="M56" i="41" s="1"/>
  <c r="K18" i="41"/>
  <c r="K47" i="41" s="1"/>
  <c r="K57" i="41" s="1"/>
  <c r="I37" i="41"/>
  <c r="I17" i="41"/>
  <c r="I18" i="41" s="1"/>
  <c r="I47" i="41" s="1"/>
  <c r="I57" i="41" s="1"/>
  <c r="J18" i="41"/>
  <c r="J47" i="41" s="1"/>
  <c r="J57" i="41" s="1"/>
  <c r="I18" i="5" l="1"/>
  <c r="I19" i="5"/>
  <c r="I17" i="5"/>
  <c r="I20" i="5" s="1"/>
  <c r="J20" i="5"/>
  <c r="K20" i="5"/>
  <c r="I15" i="5"/>
  <c r="J14" i="5"/>
  <c r="K14" i="5"/>
  <c r="I13" i="5"/>
  <c r="I12" i="5"/>
  <c r="I11" i="5"/>
  <c r="I10" i="5"/>
  <c r="I9" i="5"/>
  <c r="I8" i="5"/>
  <c r="J7" i="5"/>
  <c r="J27" i="5" s="1"/>
  <c r="J31" i="5" s="1"/>
  <c r="K7" i="5"/>
  <c r="K27" i="5" s="1"/>
  <c r="K31" i="5" s="1"/>
  <c r="I6" i="5"/>
  <c r="I5" i="5"/>
  <c r="H11" i="196"/>
  <c r="I11" i="196" s="1"/>
  <c r="F46" i="41"/>
  <c r="N46" i="41" s="1"/>
  <c r="G46" i="41"/>
  <c r="O46" i="41" s="1"/>
  <c r="D46" i="41"/>
  <c r="E43" i="41"/>
  <c r="M43" i="41" s="1"/>
  <c r="E45" i="41"/>
  <c r="M45" i="41" s="1"/>
  <c r="E44" i="41"/>
  <c r="M44" i="41" s="1"/>
  <c r="E38" i="41"/>
  <c r="F37" i="41"/>
  <c r="N37" i="41" s="1"/>
  <c r="G37" i="41"/>
  <c r="O37" i="41" s="1"/>
  <c r="E30" i="41"/>
  <c r="M30" i="41" s="1"/>
  <c r="E31" i="41"/>
  <c r="M31" i="41" s="1"/>
  <c r="E32" i="41"/>
  <c r="M32" i="41" s="1"/>
  <c r="E33" i="41"/>
  <c r="M33" i="41" s="1"/>
  <c r="E34" i="41"/>
  <c r="M34" i="41" s="1"/>
  <c r="E35" i="41"/>
  <c r="M35" i="41" s="1"/>
  <c r="E36" i="41"/>
  <c r="M36" i="41" s="1"/>
  <c r="E29" i="41"/>
  <c r="M29" i="41" s="1"/>
  <c r="F26" i="41"/>
  <c r="G26" i="41"/>
  <c r="E24" i="41"/>
  <c r="M24" i="41" s="1"/>
  <c r="E25" i="41"/>
  <c r="M25" i="41" s="1"/>
  <c r="E23" i="41"/>
  <c r="M23" i="41" s="1"/>
  <c r="E22" i="41"/>
  <c r="M22" i="41" s="1"/>
  <c r="I14" i="5" l="1"/>
  <c r="I7" i="5"/>
  <c r="I27" i="5"/>
  <c r="I31" i="5" s="1"/>
  <c r="G28" i="41"/>
  <c r="O26" i="41"/>
  <c r="F28" i="41"/>
  <c r="N26" i="41"/>
  <c r="M38" i="41"/>
  <c r="E40" i="41"/>
  <c r="M40" i="41" s="1"/>
  <c r="E46" i="41"/>
  <c r="M46" i="41" s="1"/>
  <c r="E26" i="41"/>
  <c r="E37" i="41"/>
  <c r="M37" i="41" s="1"/>
  <c r="E12" i="41"/>
  <c r="M12" i="41" s="1"/>
  <c r="E14" i="41"/>
  <c r="M14" i="41" s="1"/>
  <c r="E15" i="41"/>
  <c r="M15" i="41" s="1"/>
  <c r="E16" i="41"/>
  <c r="M16" i="41" s="1"/>
  <c r="E13" i="41"/>
  <c r="M13" i="41" s="1"/>
  <c r="F17" i="41"/>
  <c r="N17" i="41" s="1"/>
  <c r="G17" i="41"/>
  <c r="O17" i="41" s="1"/>
  <c r="G11" i="41"/>
  <c r="F11" i="41"/>
  <c r="N11" i="41" s="1"/>
  <c r="E10" i="41"/>
  <c r="M10" i="41" s="1"/>
  <c r="D11" i="41"/>
  <c r="E9" i="41"/>
  <c r="M9" i="41" s="1"/>
  <c r="E6" i="41"/>
  <c r="M6" i="41" s="1"/>
  <c r="E7" i="41"/>
  <c r="M7" i="41" s="1"/>
  <c r="E8" i="41"/>
  <c r="M8" i="41" s="1"/>
  <c r="E5" i="41"/>
  <c r="M5" i="41" s="1"/>
  <c r="N28" i="41" l="1"/>
  <c r="G18" i="41"/>
  <c r="O18" i="41" s="1"/>
  <c r="O11" i="41"/>
  <c r="E27" i="41"/>
  <c r="M26" i="41"/>
  <c r="G47" i="41"/>
  <c r="G57" i="41" s="1"/>
  <c r="O28" i="41"/>
  <c r="E11" i="41"/>
  <c r="M11" i="41" s="1"/>
  <c r="E17" i="41"/>
  <c r="M17" i="41" s="1"/>
  <c r="F18" i="41"/>
  <c r="N18" i="41" s="1"/>
  <c r="N47" i="41" l="1"/>
  <c r="N57" i="41" s="1"/>
  <c r="O47" i="41"/>
  <c r="O57" i="41" s="1"/>
  <c r="M27" i="41"/>
  <c r="E28" i="41"/>
  <c r="M28" i="41" s="1"/>
  <c r="F47" i="41"/>
  <c r="F57" i="41" s="1"/>
  <c r="F30" i="5"/>
  <c r="G30" i="5"/>
  <c r="E29" i="5"/>
  <c r="M29" i="5" s="1"/>
  <c r="E28" i="5"/>
  <c r="M28" i="5" s="1"/>
  <c r="F26" i="5"/>
  <c r="N26" i="5" s="1"/>
  <c r="G26" i="5"/>
  <c r="O26" i="5" s="1"/>
  <c r="E24" i="5"/>
  <c r="M24" i="5" s="1"/>
  <c r="E22" i="5"/>
  <c r="M22" i="5" s="1"/>
  <c r="E21" i="5"/>
  <c r="M21" i="5" s="1"/>
  <c r="E20" i="5"/>
  <c r="M20" i="5" s="1"/>
  <c r="F20" i="5"/>
  <c r="N20" i="5" s="1"/>
  <c r="G20" i="5"/>
  <c r="O20" i="5" s="1"/>
  <c r="E19" i="5"/>
  <c r="M19" i="5" s="1"/>
  <c r="D20" i="5"/>
  <c r="E18" i="5"/>
  <c r="M18" i="5" s="1"/>
  <c r="E17" i="5"/>
  <c r="M17" i="5" s="1"/>
  <c r="E15" i="5"/>
  <c r="M15" i="5" s="1"/>
  <c r="F14" i="5"/>
  <c r="N14" i="5" s="1"/>
  <c r="G14" i="5"/>
  <c r="O14" i="5" s="1"/>
  <c r="E10" i="5"/>
  <c r="M10" i="5" s="1"/>
  <c r="E11" i="5"/>
  <c r="M11" i="5" s="1"/>
  <c r="E12" i="5"/>
  <c r="M12" i="5" s="1"/>
  <c r="E13" i="5"/>
  <c r="M13" i="5" s="1"/>
  <c r="E9" i="5"/>
  <c r="M9" i="5" s="1"/>
  <c r="E8" i="5"/>
  <c r="M8" i="5" s="1"/>
  <c r="F7" i="5"/>
  <c r="N7" i="5" s="1"/>
  <c r="G7" i="5"/>
  <c r="O7" i="5" s="1"/>
  <c r="E6" i="5"/>
  <c r="M6" i="5" s="1"/>
  <c r="E5" i="5"/>
  <c r="G27" i="5" l="1"/>
  <c r="G31" i="5" s="1"/>
  <c r="E7" i="5"/>
  <c r="M7" i="5" s="1"/>
  <c r="M5" i="5"/>
  <c r="E30" i="5"/>
  <c r="E26" i="5"/>
  <c r="M26" i="5" s="1"/>
  <c r="O27" i="5"/>
  <c r="O31" i="5" s="1"/>
  <c r="M30" i="5"/>
  <c r="N27" i="5"/>
  <c r="N31" i="5" s="1"/>
  <c r="E14" i="5"/>
  <c r="F27" i="5"/>
  <c r="F31" i="5" s="1"/>
  <c r="G19" i="194"/>
  <c r="H19" i="194" s="1"/>
  <c r="H15" i="194" s="1"/>
  <c r="H10" i="194" s="1"/>
  <c r="H45" i="194" s="1"/>
  <c r="M14" i="5" l="1"/>
  <c r="M27" i="5" s="1"/>
  <c r="M31" i="5" s="1"/>
  <c r="E27" i="5"/>
  <c r="E31" i="5" s="1"/>
  <c r="G51" i="194"/>
  <c r="F15" i="200" l="1"/>
  <c r="F14" i="200" s="1"/>
  <c r="J18" i="200"/>
  <c r="J17" i="200"/>
  <c r="I16" i="200"/>
  <c r="H16" i="200"/>
  <c r="G16" i="200"/>
  <c r="F16" i="200"/>
  <c r="E16" i="200"/>
  <c r="D16" i="200"/>
  <c r="D14" i="200"/>
  <c r="J13" i="200"/>
  <c r="J12" i="200"/>
  <c r="I11" i="200"/>
  <c r="H11" i="200"/>
  <c r="G11" i="200"/>
  <c r="F11" i="200"/>
  <c r="E11" i="200"/>
  <c r="D11" i="200"/>
  <c r="J10" i="200"/>
  <c r="H8" i="200"/>
  <c r="H15" i="200" s="1"/>
  <c r="H14" i="200" s="1"/>
  <c r="G8" i="200"/>
  <c r="G15" i="200" s="1"/>
  <c r="G14" i="200" s="1"/>
  <c r="F8" i="200"/>
  <c r="E8" i="200"/>
  <c r="E15" i="200" s="1"/>
  <c r="E14" i="200" s="1"/>
  <c r="D8" i="200"/>
  <c r="J7" i="200"/>
  <c r="J6" i="200"/>
  <c r="I5" i="200"/>
  <c r="H5" i="200"/>
  <c r="G5" i="200"/>
  <c r="F5" i="200"/>
  <c r="F19" i="200" s="1"/>
  <c r="E5" i="200"/>
  <c r="E19" i="200" s="1"/>
  <c r="D5" i="200"/>
  <c r="D19" i="200" s="1"/>
  <c r="J11" i="200" l="1"/>
  <c r="H19" i="200"/>
  <c r="G19" i="200"/>
  <c r="J16" i="200"/>
  <c r="J5" i="200"/>
  <c r="C23" i="196"/>
  <c r="D23" i="196" s="1"/>
  <c r="D19" i="196" s="1"/>
  <c r="D27" i="196" s="1"/>
  <c r="C16" i="197" l="1"/>
  <c r="D16" i="197" s="1"/>
  <c r="G15" i="194"/>
  <c r="H20" i="5" l="1"/>
  <c r="L20" i="5" s="1"/>
  <c r="D41" i="190" l="1"/>
  <c r="H49" i="41" l="1"/>
  <c r="D49" i="41"/>
  <c r="L31" i="190" l="1"/>
  <c r="C19" i="196"/>
  <c r="H7" i="196"/>
  <c r="I7" i="196" s="1"/>
  <c r="H9" i="196"/>
  <c r="I9" i="196" s="1"/>
  <c r="H6" i="197"/>
  <c r="I6" i="197" s="1"/>
  <c r="H8" i="197"/>
  <c r="I8" i="197" s="1"/>
  <c r="H26" i="196"/>
  <c r="I26" i="196" s="1"/>
  <c r="H25" i="196"/>
  <c r="I25" i="196" s="1"/>
  <c r="H7" i="5"/>
  <c r="H14" i="5"/>
  <c r="H26" i="5"/>
  <c r="H30" i="5"/>
  <c r="H51" i="41"/>
  <c r="H53" i="41"/>
  <c r="H55" i="41" s="1"/>
  <c r="H56" i="41" s="1"/>
  <c r="D51" i="41"/>
  <c r="D56" i="41" s="1"/>
  <c r="D53" i="41"/>
  <c r="H11" i="41"/>
  <c r="L11" i="41" s="1"/>
  <c r="H17" i="41"/>
  <c r="D17" i="41"/>
  <c r="H26" i="41"/>
  <c r="H28" i="41" s="1"/>
  <c r="H37" i="41"/>
  <c r="H46" i="41"/>
  <c r="L46" i="41" s="1"/>
  <c r="H9" i="197"/>
  <c r="D7" i="5"/>
  <c r="D14" i="5"/>
  <c r="D26" i="5"/>
  <c r="D30" i="5"/>
  <c r="D26" i="41"/>
  <c r="D37" i="41"/>
  <c r="L37" i="41" s="1"/>
  <c r="H41" i="190"/>
  <c r="H38" i="190"/>
  <c r="L36" i="190"/>
  <c r="L11" i="190"/>
  <c r="L8" i="190"/>
  <c r="H30" i="190"/>
  <c r="H32" i="190" s="1"/>
  <c r="H13" i="190"/>
  <c r="H21" i="190"/>
  <c r="H11" i="190"/>
  <c r="H8" i="190"/>
  <c r="L30" i="190"/>
  <c r="L32" i="190" s="1"/>
  <c r="H36" i="190"/>
  <c r="D14" i="198"/>
  <c r="D15" i="198" s="1"/>
  <c r="C20" i="197"/>
  <c r="H32" i="197"/>
  <c r="C26" i="197"/>
  <c r="C24" i="196"/>
  <c r="C23" i="195"/>
  <c r="D23" i="195"/>
  <c r="G7" i="194"/>
  <c r="G13" i="194"/>
  <c r="G20" i="194"/>
  <c r="G27" i="194"/>
  <c r="G48" i="194"/>
  <c r="G58" i="194"/>
  <c r="D36" i="190"/>
  <c r="D38" i="190"/>
  <c r="D11" i="190"/>
  <c r="D13" i="190"/>
  <c r="D21" i="190"/>
  <c r="D30" i="190"/>
  <c r="D32" i="190" s="1"/>
  <c r="D8" i="190"/>
  <c r="L14" i="5" l="1"/>
  <c r="H8" i="196" s="1"/>
  <c r="I8" i="196" s="1"/>
  <c r="D28" i="41"/>
  <c r="L28" i="41" s="1"/>
  <c r="L26" i="41"/>
  <c r="E18" i="41"/>
  <c r="L17" i="41"/>
  <c r="L26" i="5"/>
  <c r="H18" i="197" s="1"/>
  <c r="L7" i="5"/>
  <c r="D27" i="5"/>
  <c r="I27" i="196"/>
  <c r="H27" i="196"/>
  <c r="C6" i="197"/>
  <c r="D6" i="197" s="1"/>
  <c r="D60" i="190"/>
  <c r="C17" i="197"/>
  <c r="D17" i="197" s="1"/>
  <c r="H27" i="5"/>
  <c r="C10" i="196"/>
  <c r="D10" i="196" s="1"/>
  <c r="C32" i="197"/>
  <c r="G10" i="194"/>
  <c r="G47" i="194"/>
  <c r="G61" i="194" s="1"/>
  <c r="G26" i="194"/>
  <c r="L60" i="190"/>
  <c r="H28" i="190"/>
  <c r="H33" i="190" s="1"/>
  <c r="L13" i="190"/>
  <c r="C27" i="196"/>
  <c r="H18" i="41"/>
  <c r="H47" i="41" s="1"/>
  <c r="D7" i="196"/>
  <c r="D18" i="41"/>
  <c r="H60" i="190"/>
  <c r="C6" i="196"/>
  <c r="D6" i="196" s="1"/>
  <c r="L30" i="5"/>
  <c r="D28" i="190"/>
  <c r="D33" i="190" s="1"/>
  <c r="E23" i="195"/>
  <c r="C9" i="196"/>
  <c r="D9" i="196" s="1"/>
  <c r="L27" i="5" l="1"/>
  <c r="H19" i="197"/>
  <c r="H33" i="197" s="1"/>
  <c r="H35" i="197" s="1"/>
  <c r="I18" i="197"/>
  <c r="I19" i="197" s="1"/>
  <c r="I33" i="197" s="1"/>
  <c r="L18" i="41"/>
  <c r="L47" i="41" s="1"/>
  <c r="L57" i="41" s="1"/>
  <c r="D47" i="41"/>
  <c r="D57" i="41" s="1"/>
  <c r="H6" i="196"/>
  <c r="I6" i="196" s="1"/>
  <c r="I18" i="196" s="1"/>
  <c r="I28" i="196" s="1"/>
  <c r="I30" i="196" s="1"/>
  <c r="E47" i="41"/>
  <c r="E57" i="41" s="1"/>
  <c r="M18" i="41"/>
  <c r="M47" i="41" s="1"/>
  <c r="M57" i="41" s="1"/>
  <c r="D19" i="197"/>
  <c r="D18" i="196"/>
  <c r="H61" i="190"/>
  <c r="C18" i="196"/>
  <c r="C19" i="197"/>
  <c r="C33" i="197" s="1"/>
  <c r="C35" i="197" s="1"/>
  <c r="H57" i="41"/>
  <c r="L31" i="5"/>
  <c r="D61" i="190"/>
  <c r="G45" i="194"/>
  <c r="L28" i="190"/>
  <c r="L33" i="190" s="1"/>
  <c r="I36" i="197" l="1"/>
  <c r="D36" i="197"/>
  <c r="I37" i="197"/>
  <c r="D33" i="197"/>
  <c r="D35" i="197" s="1"/>
  <c r="H18" i="196"/>
  <c r="H28" i="196" s="1"/>
  <c r="H30" i="196" s="1"/>
  <c r="L61" i="190"/>
  <c r="D32" i="196"/>
  <c r="D31" i="196"/>
  <c r="D28" i="196"/>
  <c r="D30" i="196" s="1"/>
  <c r="D37" i="197"/>
  <c r="I35" i="197"/>
  <c r="C28" i="196"/>
  <c r="C30" i="196" s="1"/>
  <c r="H36" i="197"/>
  <c r="C37" i="197"/>
  <c r="C36" i="197"/>
  <c r="H37" i="197"/>
  <c r="D31" i="5"/>
  <c r="H31" i="5"/>
  <c r="C32" i="196" l="1"/>
  <c r="H32" i="196"/>
  <c r="C31" i="196"/>
  <c r="H31" i="196"/>
  <c r="I8" i="200"/>
  <c r="J9" i="200"/>
  <c r="J8" i="200" l="1"/>
  <c r="J19" i="200" s="1"/>
  <c r="I15" i="200"/>
  <c r="I19" i="200"/>
  <c r="I14" i="200" l="1"/>
  <c r="J14" i="200" s="1"/>
  <c r="J15" i="200"/>
</calcChain>
</file>

<file path=xl/sharedStrings.xml><?xml version="1.0" encoding="utf-8"?>
<sst xmlns="http://schemas.openxmlformats.org/spreadsheetml/2006/main" count="908" uniqueCount="472">
  <si>
    <t>Működési célú támogatásértékű kiadások</t>
  </si>
  <si>
    <t>Személyi juttatások</t>
  </si>
  <si>
    <t>Felújítási kiadások</t>
  </si>
  <si>
    <t>Ingatlanok felújítása</t>
  </si>
  <si>
    <t>Épületek felújítása</t>
  </si>
  <si>
    <t>Egyéb építmények felújítása</t>
  </si>
  <si>
    <t>Gépek, berendezések és felszerelések felújítása</t>
  </si>
  <si>
    <t>Felhalmozási célú támogatásértékű kiadások</t>
  </si>
  <si>
    <t>Háztartásoknak</t>
  </si>
  <si>
    <t>Működési célú pénzeszközátadások összesen</t>
  </si>
  <si>
    <t>Épületek vásárlása, létesítése</t>
  </si>
  <si>
    <t>Egyéb építmények vásárlása, létesítése</t>
  </si>
  <si>
    <t>Költségvetési kiadások összesen:</t>
  </si>
  <si>
    <t>Közhatalmi bevételek</t>
  </si>
  <si>
    <t>Kölcsön nyújtása</t>
  </si>
  <si>
    <t>Kölcsön törlesztése</t>
  </si>
  <si>
    <t>Szellemi termékek vásárlása</t>
  </si>
  <si>
    <t>Vagyoni értékű jogok vásárlása</t>
  </si>
  <si>
    <t>Képzőművészeti alkotások vásárlása</t>
  </si>
  <si>
    <t>Gépek, berendezések és felszerelések vásárlása</t>
  </si>
  <si>
    <t>2. Működési célú támogatásértékű kiadások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</si>
  <si>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</si>
  <si>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</si>
  <si>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</si>
  <si>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</si>
  <si>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Felhalmozási célú támogatásértékű kiad. összesen</t>
  </si>
  <si>
    <t>Ügyvitel- és számítástechnikai eszközök vás.</t>
  </si>
  <si>
    <t>Egyéb gépek, berendezések és felszerelések vás.</t>
  </si>
  <si>
    <t>Hangszerek vásárlása</t>
  </si>
  <si>
    <t>11.</t>
  </si>
  <si>
    <t>12.</t>
  </si>
  <si>
    <t>14.</t>
  </si>
  <si>
    <t>17.</t>
  </si>
  <si>
    <t>KIADÁSOK ÖSSZESEN</t>
  </si>
  <si>
    <t>Járművek felújítása</t>
  </si>
  <si>
    <t>Beruházási kiadások összesen</t>
  </si>
  <si>
    <t>13.</t>
  </si>
  <si>
    <t>Járművek vásárlása</t>
  </si>
  <si>
    <t>Beruházási kiadások</t>
  </si>
  <si>
    <t>Helyi önkormányzatoknak és költségvetési szerveinek</t>
  </si>
  <si>
    <t>Felújítási kiadások összesen</t>
  </si>
  <si>
    <t xml:space="preserve">Dologi kiadások </t>
  </si>
  <si>
    <t>Immateriális javak vásárlása</t>
  </si>
  <si>
    <t>Fők.
szla</t>
  </si>
  <si>
    <t>Megnevezés</t>
  </si>
  <si>
    <t>1.</t>
  </si>
  <si>
    <t>2.</t>
  </si>
  <si>
    <t>3.</t>
  </si>
  <si>
    <t>4.</t>
  </si>
  <si>
    <t>5.</t>
  </si>
  <si>
    <t>37.</t>
  </si>
  <si>
    <t>Háztartásoknak nyújtott felhalm. célú támog. kölcs.</t>
  </si>
  <si>
    <t>Önkormányzat támogatásértékű kiadások, pénzeszközátadások</t>
  </si>
  <si>
    <t>Ingatlanok és kapcsolódó vagyoni értékű jogok vás.</t>
  </si>
  <si>
    <t>Földterületek vásárlása</t>
  </si>
  <si>
    <t>Telkek vásárlása</t>
  </si>
  <si>
    <t>6.</t>
  </si>
  <si>
    <t>Felhalmozási kiadások</t>
  </si>
  <si>
    <t>7.</t>
  </si>
  <si>
    <t>8.</t>
  </si>
  <si>
    <t>9.</t>
  </si>
  <si>
    <t>10.</t>
  </si>
  <si>
    <t>19.</t>
  </si>
  <si>
    <t>Első lakáshoz jutók támogatása</t>
  </si>
  <si>
    <t>15.</t>
  </si>
  <si>
    <t>Mozgáskorlátozott E</t>
  </si>
  <si>
    <t xml:space="preserve">ATEFITA Alapítvány </t>
  </si>
  <si>
    <t>Abdai Lovas Egyesület</t>
  </si>
  <si>
    <t>Önkéntes Tűzoltó Egyesület</t>
  </si>
  <si>
    <t xml:space="preserve">Holt Rábcáért Egyesület      </t>
  </si>
  <si>
    <t xml:space="preserve">Abdai Egyházközösségért A.   </t>
  </si>
  <si>
    <t xml:space="preserve">F-10 Postagalamb Egyesület   </t>
  </si>
  <si>
    <t xml:space="preserve">Polgárőr Egyesület           </t>
  </si>
  <si>
    <t xml:space="preserve">Zrínyi I. Abdai Ifj. Kh. A.   </t>
  </si>
  <si>
    <t xml:space="preserve">Vándorbot Egyesület           </t>
  </si>
  <si>
    <t xml:space="preserve">ABDA SC támogatás    </t>
  </si>
  <si>
    <t>16.</t>
  </si>
  <si>
    <t>18.</t>
  </si>
  <si>
    <t>Öttevény Közs. Önk. (KMB tám.)</t>
  </si>
  <si>
    <t>Vállalkozásoknak</t>
  </si>
  <si>
    <t>Fogorvosi ellátás</t>
  </si>
  <si>
    <t>Szalai Gyula Alapítvány</t>
  </si>
  <si>
    <t>Győr M. J. Város jelzőrendszer</t>
  </si>
  <si>
    <t>Társulásnak és költségvetési szerveinek</t>
  </si>
  <si>
    <t>Irányítás (felügyelet) alá tartozó költségvetési szervnek folyósított támogatás</t>
  </si>
  <si>
    <t xml:space="preserve">Jelzőrendszeres házi segítségnyújtás </t>
  </si>
  <si>
    <t>K511</t>
  </si>
  <si>
    <t>K84</t>
  </si>
  <si>
    <t>K86</t>
  </si>
  <si>
    <t>K915</t>
  </si>
  <si>
    <t>K50613</t>
  </si>
  <si>
    <t>K50616</t>
  </si>
  <si>
    <t>K50617</t>
  </si>
  <si>
    <t>Irányítás (felügyelet) alá tartozó költségvetési szervnek folyósított működési támogatás( KÖZÖS HIVATAL)</t>
  </si>
  <si>
    <t>Civil szervezeteknek</t>
  </si>
  <si>
    <t>20.</t>
  </si>
  <si>
    <t>K62</t>
  </si>
  <si>
    <t>K621</t>
  </si>
  <si>
    <t>K6214</t>
  </si>
  <si>
    <t>K64</t>
  </si>
  <si>
    <t>K641</t>
  </si>
  <si>
    <t>K71</t>
  </si>
  <si>
    <t>K711</t>
  </si>
  <si>
    <t>K71112</t>
  </si>
  <si>
    <t>Sor-szám</t>
  </si>
  <si>
    <t>Szakfeladat megnevezés</t>
  </si>
  <si>
    <t>∑</t>
  </si>
  <si>
    <t>Önkormányzat</t>
  </si>
  <si>
    <t>Közös Hivatal</t>
  </si>
  <si>
    <t>Zöldterület-kezelés</t>
  </si>
  <si>
    <t>Önkormányzati jogalkotás</t>
  </si>
  <si>
    <t>Város és községgazdálkodási szolg.</t>
  </si>
  <si>
    <t>Háziorvosi alapellátás</t>
  </si>
  <si>
    <t>Család és nővédelmi eü gondozás</t>
  </si>
  <si>
    <t>Házi segítségnyújtás</t>
  </si>
  <si>
    <t>Foglalk. hosszabb idejű közfoglalkoztatása</t>
  </si>
  <si>
    <t>Önkorm. és társul. Igazgatási tevékenysége</t>
  </si>
  <si>
    <t>Adó, illeték beszedése, kiszab.</t>
  </si>
  <si>
    <t>Mindösszesen</t>
  </si>
  <si>
    <t>I. Működési célú bevételek és kiadások mérlege
(Önkormányzati szinten)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</si>
  <si>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</si>
  <si>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</si>
  <si>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</si>
  <si>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</si>
  <si>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</si>
  <si>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</si>
  <si>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</si>
  <si>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 xml:space="preserve">    - 5.-ből: EU támogatás</t>
  </si>
  <si>
    <t>Tartalékok</t>
  </si>
  <si>
    <t>Átvett pénzeszközök államháztartáson  kívülről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</si>
  <si>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</si>
  <si>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</si>
  <si>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</si>
  <si>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</si>
  <si>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</si>
  <si>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</si>
  <si>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</si>
  <si>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</si>
  <si>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 xml:space="preserve">   Vállalkozási maradvány igénybevétele </t>
  </si>
  <si>
    <t>Rövid lejáratú hitelek törlesztése</t>
  </si>
  <si>
    <t>Hosszú lejáratú hitelek törlesztése</t>
  </si>
  <si>
    <t xml:space="preserve">   Egyéb belső finanszírozási bevételek (int. Fin.)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</si>
  <si>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</si>
  <si>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</si>
  <si>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</si>
  <si>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</si>
  <si>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</si>
  <si>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</si>
  <si>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</si>
  <si>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</si>
  <si>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</si>
  <si>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</si>
  <si>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</si>
  <si>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</si>
  <si>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</si>
  <si>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</si>
  <si>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</si>
  <si>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</si>
  <si>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</si>
  <si>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</si>
  <si>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</si>
  <si>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</si>
  <si>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</si>
  <si>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</si>
  <si>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</si>
  <si>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</si>
  <si>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</si>
  <si>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</si>
  <si>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>Tárgyi eszközök és immateriális  javak értékesítése</t>
  </si>
  <si>
    <t>Beruházások</t>
  </si>
  <si>
    <t xml:space="preserve">    Önkormányzatok sajátos felhalmozási bevételei</t>
  </si>
  <si>
    <t>Egyéb önkormányzati vagyon üzemeltetéséből, koncep.szárm.bevétel</t>
  </si>
  <si>
    <t>Felújítások</t>
  </si>
  <si>
    <t>Pénzügyi befektetésekből származó bevétel</t>
  </si>
  <si>
    <t>Egyéb felhalmozási kiadások</t>
  </si>
  <si>
    <t>Címzett és céltámogatások</t>
  </si>
  <si>
    <t xml:space="preserve">   3.-ból:  - Felhalmozási célú pe. átadás államháztartáson belül</t>
  </si>
  <si>
    <t>Vis maior támogatás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</si>
  <si>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</si>
  <si>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</si>
  <si>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</si>
  <si>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</si>
  <si>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</si>
  <si>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</si>
  <si>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</si>
  <si>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</si>
  <si>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</si>
  <si>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</si>
  <si>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</si>
  <si>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</si>
  <si>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Felhalmozási kamatbevetétel Áh kivülről</t>
  </si>
  <si>
    <t>Költségvetési bevételek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</si>
  <si>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</si>
  <si>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</si>
  <si>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</si>
  <si>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</si>
  <si>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</si>
  <si>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</si>
  <si>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</si>
  <si>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</si>
  <si>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</si>
  <si>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</si>
  <si>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</si>
  <si>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</si>
  <si>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</si>
  <si>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</si>
  <si>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</si>
  <si>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</si>
  <si>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</si>
  <si>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</si>
  <si>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</si>
  <si>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</si>
  <si>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</si>
  <si>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 xml:space="preserve">                     </t>
  </si>
  <si>
    <t>29.</t>
  </si>
  <si>
    <t>BEVÉTEL ÖSSZESEN (27+28)</t>
  </si>
  <si>
    <t>KIADÁSOK ÖSSZESEN (27+28)</t>
  </si>
  <si>
    <t>30.</t>
  </si>
  <si>
    <t>31.</t>
  </si>
  <si>
    <t>Helyi adók</t>
  </si>
  <si>
    <t>Saját bevételek</t>
  </si>
  <si>
    <t>Adósságot keletkeztető éves kötelezetts. váll. felső határa 50%</t>
  </si>
  <si>
    <t>Abda</t>
  </si>
  <si>
    <t>Startmunka program Téli közfoglalkoztatás</t>
  </si>
  <si>
    <t>Közművelődés-közösségi és társad.részvétel fejl.</t>
  </si>
  <si>
    <t xml:space="preserve"> Működési bevételek</t>
  </si>
  <si>
    <t>Támogatások (Önkorm.műk.támog.), kiegészítések (működési célú)</t>
  </si>
  <si>
    <t>Áht-n belüli megelőlegezések visszafizetése</t>
  </si>
  <si>
    <t>Gyermekj.Társ.-nak Abda Önkormányzat</t>
  </si>
  <si>
    <t>Óvoda Társ.-nak Abda Önkormányzat</t>
  </si>
  <si>
    <t>K5121</t>
  </si>
  <si>
    <t xml:space="preserve">Mikulásbirodalom Alapítvány  </t>
  </si>
  <si>
    <t>II. Rákóczi F. Alapítvány</t>
  </si>
  <si>
    <t>Pannon Kincse LEADER</t>
  </si>
  <si>
    <t>K63</t>
  </si>
  <si>
    <t xml:space="preserve">   Értékpapírok ért.bevétel </t>
  </si>
  <si>
    <t xml:space="preserve"> Ft-ban</t>
  </si>
  <si>
    <t>BURSA HUNGARICA, Arany J. Tehetség.</t>
  </si>
  <si>
    <t xml:space="preserve">  forintban !</t>
  </si>
  <si>
    <t>Eredeti előirányzat</t>
  </si>
  <si>
    <t>Kamatbevételek és más nyereségjellegű bevételek</t>
  </si>
  <si>
    <t>Felhalmozási bevételek</t>
  </si>
  <si>
    <t>Felhalmozási célú átvett pénzeszközök</t>
  </si>
  <si>
    <t>Költségvetési bevételek</t>
  </si>
  <si>
    <t>Értékesítési és forgalmi adók (iparűzési)</t>
  </si>
  <si>
    <t>Egyéb áruhaszn. és szolg. adók (idegenforg. adó)</t>
  </si>
  <si>
    <t>Egyéb közhatalmi bevételek (talajterh., bírság, pótlék)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</si>
  <si>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</si>
  <si>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</si>
  <si>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</si>
  <si>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</si>
  <si>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Önkormányzatok működési támogatásai</t>
  </si>
  <si>
    <t>Vagyoni tipusú adók (kommunális adó)</t>
  </si>
  <si>
    <t>Gépjárműadók</t>
  </si>
  <si>
    <t>Közhatalmi bevételek összesen</t>
  </si>
  <si>
    <t>Működési bevételek összesen: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</si>
  <si>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</si>
  <si>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</si>
  <si>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</si>
  <si>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</si>
  <si>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</si>
  <si>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</si>
  <si>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</si>
  <si>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Ingatlanok értékesítése</t>
  </si>
  <si>
    <t>Felhalmozási célú visszatérítendő támogatások, kölcsönök visszatérülése államháztartáson kívülről</t>
  </si>
  <si>
    <t>Müködési c. támogatásértékű bevétel tb. pénzügyi alapjaitól</t>
  </si>
  <si>
    <t>Müködési c. támogatásértékű bevétel elkülönített állami pénza.</t>
  </si>
  <si>
    <t xml:space="preserve">Müködési c. támog.bevétel helyi önk.-tól és költségv.sz. </t>
  </si>
  <si>
    <t>Egyéb működési célú támogatások bevételei áht-n belülről</t>
  </si>
  <si>
    <t>Működési célú támogatások áht-n belülről összesen:</t>
  </si>
  <si>
    <t>Belföldi értékpapírok bevételei</t>
  </si>
  <si>
    <t>Forgatási célú belföldi értékpapírok beváltása, értékesítése</t>
  </si>
  <si>
    <t>Maradvány igénybevétele</t>
  </si>
  <si>
    <t>Finanszírozási bevételek</t>
  </si>
  <si>
    <t>Bevételek összesen:</t>
  </si>
  <si>
    <t>Személyi juttatások összesen:</t>
  </si>
  <si>
    <t>Foglalkoztatottak személyi juttatásai</t>
  </si>
  <si>
    <t>Külső személyi juttatások</t>
  </si>
  <si>
    <t>Munkaadókat terhelő járulékok és szoc. ho</t>
  </si>
  <si>
    <t>Készletbeszerzés</t>
  </si>
  <si>
    <t xml:space="preserve">Kommunikációs szolgáltatások </t>
  </si>
  <si>
    <t>Szolgáltatási kiadások</t>
  </si>
  <si>
    <t>Kiküldetések, reklám- és propagandakiadások</t>
  </si>
  <si>
    <t>Különféle befizetések és egyéb dologi kiadások</t>
  </si>
  <si>
    <t>Dologi kiadások</t>
  </si>
  <si>
    <t>Elvonások és befizetések</t>
  </si>
  <si>
    <t>Egyéb működési célú támogatások államháztartáson belülre</t>
  </si>
  <si>
    <t>Egyéb működési célú támogatások államháztartáson kívülre</t>
  </si>
  <si>
    <t xml:space="preserve">Egyéb működési célú kiadások </t>
  </si>
  <si>
    <t xml:space="preserve">Beruházások </t>
  </si>
  <si>
    <t>Egyéb felhalmozási célú támogatások államháztartáson belülre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</si>
  <si>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</si>
  <si>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</si>
  <si>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</si>
  <si>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</si>
  <si>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Finanszírozási kiadások</t>
  </si>
  <si>
    <t>Kiadások összesen:</t>
  </si>
  <si>
    <t>Államháztartáson belüli megelőlegezések visszafizetése</t>
  </si>
  <si>
    <t>Központi, irányító szervi támogatások folyósítása</t>
  </si>
  <si>
    <t>Termékek és szolgáltatások adói (1:3)</t>
  </si>
  <si>
    <t>Előző év költségvetési maradványának igénybevétele</t>
  </si>
  <si>
    <t>Ft-ban</t>
  </si>
  <si>
    <t>Elvonások és befízetések</t>
  </si>
  <si>
    <t>Közös hivatal</t>
  </si>
  <si>
    <t>Központi, irányítószervi támogatás</t>
  </si>
  <si>
    <t>Belföldi finanszírozás bevételei</t>
  </si>
  <si>
    <t>Külter, utak, földutak burkolata (pályázat önrész)</t>
  </si>
  <si>
    <t>Hosszú lejáratú hitelek, kölcsönök felvétele pénzügyi vállalkozástól</t>
  </si>
  <si>
    <t>Hitel-, kölcsönfelvétel pénzügyi vállalkozástól</t>
  </si>
  <si>
    <t>Központi költségvetési szerv előirányzatoknak</t>
  </si>
  <si>
    <t>Abdai Horgász Egyesület</t>
  </si>
  <si>
    <t>Abdai Alkotó Kezek</t>
  </si>
  <si>
    <t>Orvosi rendelő előtti parkoló önrésze</t>
  </si>
  <si>
    <t>Tornacsarnok építése</t>
  </si>
  <si>
    <t>Működési célú pénzeszközátadások mindösszesen</t>
  </si>
  <si>
    <t>Díjak, pótlékok, települési adók</t>
  </si>
  <si>
    <t>Imm. Javak, ingatlanok, egyéb tárgyi eszköz értékesítés</t>
  </si>
  <si>
    <t>Börcs  Önkorm.-nak óvoda 2018.évi elszámolás</t>
  </si>
  <si>
    <t>Börcs  Önkorm.-nak védőnő 2018.évi elszámolás</t>
  </si>
  <si>
    <t xml:space="preserve">Ikrény Önkorm.-nak családsegítő 2018. évi elszámolás </t>
  </si>
  <si>
    <t xml:space="preserve">Szigetköz Felső-Duna mente" Térségi Fejlesztési Tanács 2019. évi tagdíj </t>
  </si>
  <si>
    <t>Arrabona EGTC 2019. évi tagdíj</t>
  </si>
  <si>
    <t>2019. évi eredeti előirányzat</t>
  </si>
  <si>
    <t>Tűzoltószertár</t>
  </si>
  <si>
    <t>Fogorvosi rendelő</t>
  </si>
  <si>
    <t>Aszfaltos pálya</t>
  </si>
  <si>
    <t>Csapadékvíz elvezetés</t>
  </si>
  <si>
    <t>Iskolaudvar térkövezése</t>
  </si>
  <si>
    <t>Inf. eszközök beszerzése Régi Hivatalhoz és az Önkormányzathoz</t>
  </si>
  <si>
    <t>Lombszívó (vkg)</t>
  </si>
  <si>
    <t>Szerszámok (vkg)</t>
  </si>
  <si>
    <t>Hivatalba székek beszerzése</t>
  </si>
  <si>
    <t>Iskolába udvari játékok</t>
  </si>
  <si>
    <t>Gyalogos Szt. István - Szent I.u.között (Út autp.)</t>
  </si>
  <si>
    <t>Sportöltöző bővítése</t>
  </si>
  <si>
    <t>Régi Hivatal TOP-4.2.1-15-GM1-2016-00011 pályázat hátsó épület pótmunkái</t>
  </si>
  <si>
    <t>1. sz. főút - Hunyadi út útburkolat</t>
  </si>
  <si>
    <t>Hunyadi út - Híd u. kereszteződés</t>
  </si>
  <si>
    <t>Hunyadi utca (zsákutca)</t>
  </si>
  <si>
    <t>Müködési c. támogatásértékű bevétel áh-n belül (Tiszta környezet, tiszta Abda)</t>
  </si>
  <si>
    <t>Egyéb felhalmozási célú pénzeszköz Áh- kívülről (Abda Sc)</t>
  </si>
  <si>
    <t>2019. évi engedélyezett létszám</t>
  </si>
  <si>
    <t>Központi, irányító szervi támogatás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</si>
  <si>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</si>
  <si>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</si>
  <si>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</si>
  <si>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</si>
  <si>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</si>
  <si>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10=(6+…+9)</t>
  </si>
  <si>
    <t>Működési célú
hiteltörlesztés (tőke+kamat)</t>
  </si>
  <si>
    <t>............................</t>
  </si>
  <si>
    <t>Felhalmozási célú
hiteltörlesztés (tőke+kamat)</t>
  </si>
  <si>
    <t>Fejlesztési célú forint alapu hitel</t>
  </si>
  <si>
    <t>Fejlesztési célú forint alapu hitel kamata</t>
  </si>
  <si>
    <t>Beruházás feladatonként</t>
  </si>
  <si>
    <t>Egyéb</t>
  </si>
  <si>
    <t>Összesen (1+4+7+9+11)</t>
  </si>
  <si>
    <t>Tornacsarnok</t>
  </si>
  <si>
    <t>Beruházás célonként</t>
  </si>
  <si>
    <t>2020.</t>
  </si>
  <si>
    <t>2021.</t>
  </si>
  <si>
    <t>2022.</t>
  </si>
  <si>
    <t>2022. 
után</t>
  </si>
  <si>
    <t>Kötelezettség 2019.</t>
  </si>
  <si>
    <t>Turisztikai pályázati önrész</t>
  </si>
  <si>
    <t>Kistöltés utca útburkolat</t>
  </si>
  <si>
    <t>Előir.mód.I</t>
  </si>
  <si>
    <t>Mód.ei.</t>
  </si>
  <si>
    <t>Teljesítés</t>
  </si>
  <si>
    <t>2019. évi előirányzat</t>
  </si>
  <si>
    <t>ABDA KÖZSÉG ÖNKORMÁNYZATA   2019. I.F.ÉVI ELŐIR.MÓD. ÉS TELJ.</t>
  </si>
  <si>
    <t>ABDA KÖZSÉG ÖNKORMÁNYZATA 2019. I.F.ÉVI ELŐIR.MÓD. ÉS TELJ.</t>
  </si>
  <si>
    <t>Működési célú költségvetési támogatások és kieg.tám.</t>
  </si>
  <si>
    <t>Elszámolásból származó bevételek</t>
  </si>
  <si>
    <r>
      <t>Működési c. támogatásértékű egyéb fej. kezel. Előir.</t>
    </r>
    <r>
      <rPr>
        <sz val="8"/>
        <rFont val="Arial"/>
        <family val="2"/>
        <charset val="238"/>
      </rPr>
      <t xml:space="preserve"> (jegyzői hat.k.seg)</t>
    </r>
  </si>
  <si>
    <t>Felhalmozási célú garancia- és kezességvállalásból származó megtérülések államháztartáson kívülről</t>
  </si>
  <si>
    <t>Egyéb  felhalm.célú támogatás fejezet kezelés EU</t>
  </si>
  <si>
    <t>Egyéb felhalm.célú tám.bev.áhn. Belül</t>
  </si>
  <si>
    <t>Felhalmozási célú támogatások áht-n belülről összesen:</t>
  </si>
  <si>
    <t>Egyéb működési célú átv.pénzeszk. Háztartásoktól</t>
  </si>
  <si>
    <t>Működési célú átvett pénzeszközök</t>
  </si>
  <si>
    <t>Egyéb tárgyi eszköz értékesítése</t>
  </si>
  <si>
    <t>Eredeti összesen</t>
  </si>
  <si>
    <t>Egyéb működési célú kiadások áhn.belül +áhn kívül</t>
  </si>
  <si>
    <t>Pénzmaradvány átadása Abdának 2018.évi</t>
  </si>
  <si>
    <t>Átlagbér kifizetés EP választás</t>
  </si>
  <si>
    <t>Gyöngyvirág Nyugdíjas Klub Abda Baráti Kör</t>
  </si>
  <si>
    <t>Abda 2019. évi eredeti előirányzat</t>
  </si>
  <si>
    <t>Közös 2019. évi eredeti előirányzat</t>
  </si>
  <si>
    <t xml:space="preserve">Ködképző gép </t>
  </si>
  <si>
    <t>200e alatti kisértékű SSD, Külső HDD 66.675 Ft, SzoSzo Notebook (3db) 861.314 Ft</t>
  </si>
  <si>
    <t>Lombszívó, -fúvó, sterimó (közfoglalkoztatottaknak) kisértékű 200e alatti</t>
  </si>
  <si>
    <t>Közművelődés Cd rádió 200e alatti kisértékű</t>
  </si>
  <si>
    <t>Régi hivatal kis értékű tárgyi eszköz 200e alatti vetítővászon, indukc.főzőlap, elektr.kapunyitó,</t>
  </si>
  <si>
    <t>Traktor, tartozékok és pótkocsi beruházás</t>
  </si>
  <si>
    <t>Régi hivatal - TOP-4.2.1-15-GM1-2016-00011  kamerarendszer beruházás</t>
  </si>
  <si>
    <t>Hunyadi utca (zsákutca) - beruházásnál tervezve</t>
  </si>
  <si>
    <t>Felhalmozási célú pénzeszközátadások</t>
  </si>
  <si>
    <t>Rovat</t>
  </si>
  <si>
    <t>Kötelező feladatok</t>
  </si>
  <si>
    <t>Összesen</t>
  </si>
  <si>
    <t>Önként vállalt feladatok</t>
  </si>
  <si>
    <t>Állami feladatok</t>
  </si>
  <si>
    <t>B111</t>
  </si>
  <si>
    <t>B112</t>
  </si>
  <si>
    <t>B113</t>
  </si>
  <si>
    <t>B114</t>
  </si>
  <si>
    <t>B11</t>
  </si>
  <si>
    <t>B16</t>
  </si>
  <si>
    <t>B1</t>
  </si>
  <si>
    <t>B34</t>
  </si>
  <si>
    <t>B351</t>
  </si>
  <si>
    <t>B354</t>
  </si>
  <si>
    <t>B355</t>
  </si>
  <si>
    <t>B35</t>
  </si>
  <si>
    <t>B36</t>
  </si>
  <si>
    <t>B3</t>
  </si>
  <si>
    <t>B402</t>
  </si>
  <si>
    <t>B403</t>
  </si>
  <si>
    <t>B404</t>
  </si>
  <si>
    <t>B405</t>
  </si>
  <si>
    <t>B406</t>
  </si>
  <si>
    <t>B407</t>
  </si>
  <si>
    <t>B408</t>
  </si>
  <si>
    <t>B411</t>
  </si>
  <si>
    <t>B4</t>
  </si>
  <si>
    <t>B51</t>
  </si>
  <si>
    <t>B74</t>
  </si>
  <si>
    <t>B75</t>
  </si>
  <si>
    <t>B7</t>
  </si>
  <si>
    <t>B1-B7</t>
  </si>
  <si>
    <t>B8111</t>
  </si>
  <si>
    <t>B811</t>
  </si>
  <si>
    <t>B8121</t>
  </si>
  <si>
    <t>B8132</t>
  </si>
  <si>
    <t>B816</t>
  </si>
  <si>
    <t>B81</t>
  </si>
  <si>
    <t>B8</t>
  </si>
  <si>
    <t>K11</t>
  </si>
  <si>
    <t>K12</t>
  </si>
  <si>
    <t>K1</t>
  </si>
  <si>
    <t>K2</t>
  </si>
  <si>
    <t>K31</t>
  </si>
  <si>
    <t>K32</t>
  </si>
  <si>
    <t>K33</t>
  </si>
  <si>
    <t>Közvetített szolgáltatások</t>
  </si>
  <si>
    <t>K335</t>
  </si>
  <si>
    <t>K34</t>
  </si>
  <si>
    <t>K35</t>
  </si>
  <si>
    <t>K3</t>
  </si>
  <si>
    <t>K4</t>
  </si>
  <si>
    <t>K502</t>
  </si>
  <si>
    <t>K506</t>
  </si>
  <si>
    <t>K512</t>
  </si>
  <si>
    <t>K513</t>
  </si>
  <si>
    <t>K6</t>
  </si>
  <si>
    <t>K7</t>
  </si>
  <si>
    <t>K82</t>
  </si>
  <si>
    <t>K8</t>
  </si>
  <si>
    <t>K1-K8</t>
  </si>
  <si>
    <t>K914</t>
  </si>
  <si>
    <t>K9</t>
  </si>
  <si>
    <t>Eredeti előirányzat + módosított előirányzat</t>
  </si>
  <si>
    <t>ABDA KÖZSÉG ÖNKORMÁNYZATA   2019. I. F. ÉVI ELŐIRÁNYZAT MÓDOSÍTÁS</t>
  </si>
  <si>
    <t>Abda 
eredeti ei.</t>
  </si>
  <si>
    <t>Közös hivatal
eredeti ei.</t>
  </si>
  <si>
    <t>B115</t>
  </si>
  <si>
    <t>B116</t>
  </si>
  <si>
    <t>B65</t>
  </si>
  <si>
    <t>B71</t>
  </si>
  <si>
    <t>B25</t>
  </si>
  <si>
    <t>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</si>
</sst>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\ _F_t_-;\-* #,##0\ _F_t_-;_-* &quot;-&quot;\ _F_t_-;_-@_-"/>
    <numFmt numFmtId="43" formatCode="_-* #,##0.00\ _F_t_-;\-* #,##0.00\ _F_t_-;_-* &quot;-&quot;??\ _F_t_-;_-@_-"/>
    <numFmt numFmtId="164" formatCode="_-* #,##0.0\ _F_t_-;\-* #,##0.0\ _F_t_-;_-* &quot;-&quot;??\ _F_t_-;_-@_-"/>
    <numFmt numFmtId="165" formatCode="0.0"/>
    <numFmt numFmtId="166" formatCode="#,###"/>
  </numFmts>
  <fonts count="63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color rgb="FFFF0000"/>
      <name val="Arial CE"/>
      <charset val="238"/>
    </font>
    <font>
      <sz val="8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2" tint="-0.89999084444715716"/>
      <name val="Arial CE"/>
      <charset val="238"/>
    </font>
    <font>
      <b/>
      <sz val="10"/>
      <color theme="2" tint="-0.89999084444715716"/>
      <name val="Arial CE"/>
      <charset val="238"/>
    </font>
    <font>
      <sz val="10"/>
      <color theme="2" tint="-0.89999084444715716"/>
      <name val="Arial"/>
      <family val="2"/>
      <charset val="238"/>
    </font>
    <font>
      <b/>
      <sz val="10"/>
      <color theme="2" tint="-0.89999084444715716"/>
      <name val="Arial"/>
      <family val="2"/>
      <charset val="238"/>
    </font>
    <font>
      <sz val="10"/>
      <color theme="1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125">
        <fgColor indexed="9"/>
        <bgColor indexed="22"/>
      </patternFill>
    </fill>
    <fill>
      <patternFill patternType="gray0625"/>
    </fill>
    <fill>
      <patternFill patternType="lightHorizontal"/>
    </fill>
    <fill>
      <patternFill patternType="solid">
        <fgColor theme="6" tint="-0.249977111117893"/>
        <bgColor indexed="64"/>
      </patternFill>
    </fill>
    <fill>
      <patternFill patternType="gray0625">
        <bgColor indexed="22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7" borderId="1" applyNumberFormat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" fillId="17" borderId="7" applyNumberFormat="0" applyFon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9" fillId="4" borderId="0" applyNumberFormat="0" applyBorder="0" applyAlignment="0" applyProtection="0"/>
    <xf numFmtId="0" fontId="20" fillId="22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3" borderId="0" applyNumberFormat="0" applyBorder="0" applyAlignment="0" applyProtection="0"/>
    <xf numFmtId="0" fontId="24" fillId="23" borderId="0" applyNumberFormat="0" applyBorder="0" applyAlignment="0" applyProtection="0"/>
    <xf numFmtId="0" fontId="25" fillId="22" borderId="1" applyNumberFormat="0" applyAlignment="0" applyProtection="0"/>
  </cellStyleXfs>
  <cellXfs count="57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3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2" fillId="24" borderId="1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3" fontId="2" fillId="24" borderId="15" xfId="0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3" fillId="0" borderId="11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horizontal="right" vertical="center"/>
    </xf>
    <xf numFmtId="3" fontId="2" fillId="24" borderId="1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3" fontId="2" fillId="1" borderId="12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2" fillId="1" borderId="10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horizontal="left" vertical="top"/>
    </xf>
    <xf numFmtId="0" fontId="2" fillId="1" borderId="11" xfId="0" applyFont="1" applyFill="1" applyBorder="1" applyAlignment="1">
      <alignment horizontal="left" vertical="center" wrapText="1"/>
    </xf>
    <xf numFmtId="0" fontId="2" fillId="1" borderId="10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3" fontId="2" fillId="1" borderId="11" xfId="0" applyNumberFormat="1" applyFont="1" applyFill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3" fontId="2" fillId="1" borderId="11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1" borderId="11" xfId="0" applyFont="1" applyFill="1" applyBorder="1" applyAlignment="1">
      <alignment horizontal="center" vertical="center"/>
    </xf>
    <xf numFmtId="0" fontId="2" fillId="24" borderId="23" xfId="0" applyFont="1" applyFill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2" fillId="24" borderId="26" xfId="0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0" fontId="2" fillId="1" borderId="18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1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4" borderId="28" xfId="0" applyFont="1" applyFill="1" applyBorder="1" applyAlignment="1">
      <alignment horizontal="center" vertical="center"/>
    </xf>
    <xf numFmtId="0" fontId="26" fillId="0" borderId="11" xfId="0" applyFont="1" applyBorder="1"/>
    <xf numFmtId="0" fontId="2" fillId="0" borderId="19" xfId="0" applyFont="1" applyBorder="1" applyAlignment="1">
      <alignment horizontal="center" vertical="center"/>
    </xf>
    <xf numFmtId="0" fontId="26" fillId="0" borderId="11" xfId="0" applyFont="1" applyBorder="1" applyAlignment="1">
      <alignment wrapText="1"/>
    </xf>
    <xf numFmtId="0" fontId="3" fillId="0" borderId="11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top"/>
    </xf>
    <xf numFmtId="0" fontId="2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horizontal="center" vertical="top"/>
    </xf>
    <xf numFmtId="0" fontId="2" fillId="25" borderId="10" xfId="0" applyFont="1" applyFill="1" applyBorder="1" applyAlignment="1">
      <alignment vertical="center" wrapText="1"/>
    </xf>
    <xf numFmtId="0" fontId="2" fillId="25" borderId="11" xfId="0" applyFont="1" applyFill="1" applyBorder="1" applyAlignment="1">
      <alignment horizontal="left" vertical="center" wrapText="1"/>
    </xf>
    <xf numFmtId="0" fontId="2" fillId="25" borderId="11" xfId="0" applyFont="1" applyFill="1" applyBorder="1" applyAlignment="1">
      <alignment horizontal="center" vertical="center"/>
    </xf>
    <xf numFmtId="3" fontId="2" fillId="25" borderId="12" xfId="0" applyNumberFormat="1" applyFont="1" applyFill="1" applyBorder="1" applyAlignment="1">
      <alignment horizontal="right" vertical="center"/>
    </xf>
    <xf numFmtId="3" fontId="3" fillId="0" borderId="18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 applyProtection="1">
      <alignment vertical="center"/>
      <protection locked="0"/>
    </xf>
    <xf numFmtId="43" fontId="3" fillId="0" borderId="0" xfId="0" applyNumberFormat="1" applyFont="1" applyAlignment="1">
      <alignment vertical="center"/>
    </xf>
    <xf numFmtId="0" fontId="27" fillId="24" borderId="37" xfId="0" applyFont="1" applyFill="1" applyBorder="1" applyAlignment="1">
      <alignment horizontal="center" vertical="center"/>
    </xf>
    <xf numFmtId="43" fontId="2" fillId="24" borderId="37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vertical="center"/>
    </xf>
    <xf numFmtId="49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 wrapText="1"/>
    </xf>
    <xf numFmtId="164" fontId="2" fillId="0" borderId="25" xfId="0" applyNumberFormat="1" applyFont="1" applyBorder="1" applyAlignment="1">
      <alignment horizontal="right" vertical="center" wrapText="1"/>
    </xf>
    <xf numFmtId="0" fontId="3" fillId="0" borderId="4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164" fontId="2" fillId="0" borderId="31" xfId="0" applyNumberFormat="1" applyFont="1" applyBorder="1" applyAlignment="1">
      <alignment horizontal="right" vertical="center" wrapText="1"/>
    </xf>
    <xf numFmtId="0" fontId="3" fillId="0" borderId="42" xfId="0" applyFont="1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0" fontId="3" fillId="0" borderId="31" xfId="0" applyFont="1" applyBorder="1" applyAlignment="1">
      <alignment vertical="center"/>
    </xf>
    <xf numFmtId="164" fontId="2" fillId="0" borderId="42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wrapText="1"/>
    </xf>
    <xf numFmtId="164" fontId="2" fillId="0" borderId="20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/>
    </xf>
    <xf numFmtId="43" fontId="2" fillId="24" borderId="44" xfId="0" applyNumberFormat="1" applyFont="1" applyFill="1" applyBorder="1" applyAlignment="1">
      <alignment horizontal="right" vertical="center" wrapText="1"/>
    </xf>
    <xf numFmtId="165" fontId="2" fillId="24" borderId="37" xfId="0" applyNumberFormat="1" applyFont="1" applyFill="1" applyBorder="1" applyAlignment="1">
      <alignment vertical="center"/>
    </xf>
    <xf numFmtId="43" fontId="2" fillId="24" borderId="37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166" fontId="28" fillId="0" borderId="0" xfId="0" applyNumberFormat="1" applyFont="1" applyAlignment="1">
      <alignment horizontal="centerContinuous" vertical="center" wrapText="1"/>
    </xf>
    <xf numFmtId="166" fontId="30" fillId="0" borderId="0" xfId="0" applyNumberFormat="1" applyFont="1" applyAlignment="1">
      <alignment horizontal="right" vertical="center"/>
    </xf>
    <xf numFmtId="166" fontId="32" fillId="0" borderId="29" xfId="0" applyNumberFormat="1" applyFont="1" applyBorder="1" applyAlignment="1">
      <alignment horizontal="centerContinuous" vertical="center" wrapText="1"/>
    </xf>
    <xf numFmtId="166" fontId="32" fillId="0" borderId="26" xfId="0" applyNumberFormat="1" applyFont="1" applyBorder="1" applyAlignment="1">
      <alignment horizontal="centerContinuous" vertical="center" wrapText="1"/>
    </xf>
    <xf numFmtId="166" fontId="32" fillId="0" borderId="15" xfId="0" applyNumberFormat="1" applyFont="1" applyBorder="1" applyAlignment="1">
      <alignment horizontal="centerContinuous" vertical="center" wrapText="1"/>
    </xf>
    <xf numFmtId="166" fontId="32" fillId="0" borderId="29" xfId="0" applyNumberFormat="1" applyFont="1" applyBorder="1" applyAlignment="1">
      <alignment horizontal="center" vertical="center" wrapText="1"/>
    </xf>
    <xf numFmtId="166" fontId="32" fillId="0" borderId="26" xfId="0" applyNumberFormat="1" applyFont="1" applyBorder="1" applyAlignment="1">
      <alignment horizontal="center" vertical="center" wrapText="1"/>
    </xf>
    <xf numFmtId="166" fontId="33" fillId="0" borderId="0" xfId="0" applyNumberFormat="1" applyFont="1" applyAlignment="1">
      <alignment horizontal="center" vertical="center" wrapText="1"/>
    </xf>
    <xf numFmtId="166" fontId="34" fillId="0" borderId="37" xfId="0" applyNumberFormat="1" applyFont="1" applyBorder="1" applyAlignment="1">
      <alignment horizontal="center" vertical="center" wrapText="1"/>
    </xf>
    <xf numFmtId="166" fontId="34" fillId="0" borderId="29" xfId="0" applyNumberFormat="1" applyFont="1" applyBorder="1" applyAlignment="1">
      <alignment horizontal="center" vertical="center" wrapText="1"/>
    </xf>
    <xf numFmtId="166" fontId="34" fillId="0" borderId="26" xfId="0" applyNumberFormat="1" applyFont="1" applyBorder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5" fillId="0" borderId="39" xfId="0" applyNumberFormat="1" applyFont="1" applyBorder="1" applyAlignment="1">
      <alignment horizontal="left" vertical="center" wrapText="1" indent="1"/>
    </xf>
    <xf numFmtId="166" fontId="35" fillId="0" borderId="10" xfId="0" applyNumberFormat="1" applyFont="1" applyBorder="1" applyAlignment="1">
      <alignment horizontal="left" vertical="center" wrapText="1" indent="1"/>
    </xf>
    <xf numFmtId="166" fontId="35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5" xfId="0" applyNumberFormat="1" applyFont="1" applyBorder="1" applyAlignment="1">
      <alignment horizontal="left" vertical="center" wrapText="1" indent="1"/>
    </xf>
    <xf numFmtId="166" fontId="35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0" xfId="0" applyNumberFormat="1" applyFont="1" applyBorder="1" applyAlignment="1" applyProtection="1">
      <alignment horizontal="left" vertical="center" wrapText="1" indent="1"/>
      <protection locked="0"/>
    </xf>
    <xf numFmtId="166" fontId="36" fillId="0" borderId="0" xfId="0" applyNumberFormat="1" applyFont="1" applyAlignment="1">
      <alignment horizontal="left" vertical="center" wrapText="1" indent="1"/>
    </xf>
    <xf numFmtId="166" fontId="35" fillId="0" borderId="45" xfId="0" applyNumberFormat="1" applyFont="1" applyBorder="1" applyAlignment="1" applyProtection="1">
      <alignment horizontal="left" vertical="center" wrapText="1" indent="1"/>
      <protection locked="0"/>
    </xf>
    <xf numFmtId="166" fontId="35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37" fillId="0" borderId="37" xfId="0" applyNumberFormat="1" applyFont="1" applyBorder="1" applyAlignment="1">
      <alignment horizontal="left" vertical="center" wrapText="1" indent="1"/>
    </xf>
    <xf numFmtId="166" fontId="34" fillId="0" borderId="29" xfId="0" applyNumberFormat="1" applyFont="1" applyBorder="1" applyAlignment="1">
      <alignment horizontal="left" vertical="center" wrapText="1" indent="1"/>
    </xf>
    <xf numFmtId="166" fontId="34" fillId="0" borderId="26" xfId="0" applyNumberFormat="1" applyFont="1" applyBorder="1" applyAlignment="1">
      <alignment horizontal="right" vertical="center" wrapText="1" indent="1"/>
    </xf>
    <xf numFmtId="166" fontId="38" fillId="0" borderId="41" xfId="0" applyNumberFormat="1" applyFont="1" applyBorder="1" applyAlignment="1">
      <alignment horizontal="left" vertical="center" wrapText="1" indent="1"/>
    </xf>
    <xf numFmtId="166" fontId="36" fillId="0" borderId="46" xfId="0" applyNumberFormat="1" applyFont="1" applyBorder="1" applyAlignment="1">
      <alignment horizontal="left" vertical="center" wrapText="1" indent="1"/>
    </xf>
    <xf numFmtId="166" fontId="36" fillId="0" borderId="10" xfId="0" applyNumberFormat="1" applyFont="1" applyBorder="1" applyAlignment="1">
      <alignment horizontal="left" vertical="center" wrapText="1" indent="1"/>
    </xf>
    <xf numFmtId="166" fontId="38" fillId="0" borderId="42" xfId="0" applyNumberFormat="1" applyFont="1" applyBorder="1" applyAlignment="1">
      <alignment horizontal="left" vertical="center" wrapText="1" indent="1"/>
    </xf>
    <xf numFmtId="166" fontId="3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39" fillId="0" borderId="11" xfId="0" applyNumberFormat="1" applyFont="1" applyBorder="1" applyAlignment="1">
      <alignment horizontal="right" vertical="center" wrapText="1" indent="1"/>
    </xf>
    <xf numFmtId="166" fontId="36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31" fillId="0" borderId="29" xfId="0" applyNumberFormat="1" applyFont="1" applyBorder="1" applyAlignment="1">
      <alignment horizontal="left" vertical="center" wrapText="1" indent="1"/>
    </xf>
    <xf numFmtId="166" fontId="34" fillId="0" borderId="26" xfId="0" applyNumberFormat="1" applyFont="1" applyBorder="1" applyAlignment="1" applyProtection="1">
      <alignment horizontal="right" vertical="center" wrapText="1" indent="1"/>
      <protection locked="0"/>
    </xf>
    <xf numFmtId="166" fontId="37" fillId="0" borderId="29" xfId="0" applyNumberFormat="1" applyFont="1" applyBorder="1" applyAlignment="1">
      <alignment horizontal="left" vertical="center" wrapText="1" indent="1"/>
    </xf>
    <xf numFmtId="166" fontId="37" fillId="0" borderId="47" xfId="0" applyNumberFormat="1" applyFont="1" applyBorder="1" applyAlignment="1">
      <alignment horizontal="right" vertical="center" wrapText="1" indent="1"/>
    </xf>
    <xf numFmtId="166" fontId="35" fillId="0" borderId="10" xfId="0" quotePrefix="1" applyNumberFormat="1" applyFont="1" applyBorder="1" applyAlignment="1">
      <alignment horizontal="left" vertical="center" wrapText="1" indent="6"/>
    </xf>
    <xf numFmtId="166" fontId="36" fillId="0" borderId="10" xfId="0" quotePrefix="1" applyNumberFormat="1" applyFont="1" applyBorder="1" applyAlignment="1">
      <alignment horizontal="left" vertical="center" wrapText="1" indent="6"/>
    </xf>
    <xf numFmtId="166" fontId="35" fillId="0" borderId="10" xfId="0" quotePrefix="1" applyNumberFormat="1" applyFont="1" applyBorder="1" applyAlignment="1">
      <alignment horizontal="left" vertical="center" wrapText="1" indent="3"/>
    </xf>
    <xf numFmtId="166" fontId="35" fillId="0" borderId="46" xfId="0" applyNumberFormat="1" applyFont="1" applyBorder="1" applyAlignment="1">
      <alignment horizontal="left" vertical="center" wrapText="1" indent="1"/>
    </xf>
    <xf numFmtId="166" fontId="35" fillId="0" borderId="40" xfId="0" applyNumberFormat="1" applyFont="1" applyBorder="1" applyAlignment="1" applyProtection="1">
      <alignment horizontal="right" vertical="center" wrapText="1" indent="1"/>
      <protection locked="0"/>
    </xf>
    <xf numFmtId="166" fontId="38" fillId="0" borderId="48" xfId="0" applyNumberFormat="1" applyFont="1" applyBorder="1" applyAlignment="1">
      <alignment horizontal="left" vertical="center" wrapText="1" indent="1"/>
    </xf>
    <xf numFmtId="166" fontId="39" fillId="0" borderId="46" xfId="0" applyNumberFormat="1" applyFont="1" applyBorder="1" applyAlignment="1">
      <alignment horizontal="left" vertical="center" wrapText="1" indent="1"/>
    </xf>
    <xf numFmtId="166" fontId="39" fillId="0" borderId="17" xfId="0" applyNumberFormat="1" applyFont="1" applyBorder="1" applyAlignment="1">
      <alignment horizontal="right" vertical="center" wrapText="1" indent="1"/>
    </xf>
    <xf numFmtId="166" fontId="36" fillId="0" borderId="10" xfId="0" applyNumberFormat="1" applyFont="1" applyBorder="1" applyAlignment="1">
      <alignment horizontal="left" vertical="center" wrapText="1" indent="2"/>
    </xf>
    <xf numFmtId="166" fontId="36" fillId="0" borderId="11" xfId="0" applyNumberFormat="1" applyFont="1" applyBorder="1" applyAlignment="1">
      <alignment horizontal="left" vertical="center" wrapText="1" indent="2"/>
    </xf>
    <xf numFmtId="166" fontId="39" fillId="0" borderId="11" xfId="0" applyNumberFormat="1" applyFont="1" applyBorder="1" applyAlignment="1">
      <alignment horizontal="left" vertical="center" wrapText="1" indent="1"/>
    </xf>
    <xf numFmtId="166" fontId="36" fillId="0" borderId="39" xfId="0" applyNumberFormat="1" applyFont="1" applyBorder="1" applyAlignment="1">
      <alignment horizontal="left" vertical="center" wrapText="1" indent="1"/>
    </xf>
    <xf numFmtId="166" fontId="36" fillId="0" borderId="39" xfId="0" applyNumberFormat="1" applyFont="1" applyBorder="1" applyAlignment="1" applyProtection="1">
      <alignment horizontal="left" vertical="center" wrapText="1" indent="1"/>
      <protection locked="0"/>
    </xf>
    <xf numFmtId="166" fontId="35" fillId="0" borderId="39" xfId="0" applyNumberFormat="1" applyFont="1" applyBorder="1" applyAlignment="1" applyProtection="1">
      <alignment horizontal="left" vertical="center" wrapText="1" indent="1"/>
      <protection locked="0"/>
    </xf>
    <xf numFmtId="166" fontId="35" fillId="0" borderId="39" xfId="0" applyNumberFormat="1" applyFont="1" applyBorder="1" applyAlignment="1">
      <alignment horizontal="left" vertical="center" wrapText="1" indent="2"/>
    </xf>
    <xf numFmtId="166" fontId="35" fillId="0" borderId="45" xfId="0" applyNumberFormat="1" applyFont="1" applyBorder="1" applyAlignment="1">
      <alignment horizontal="left" vertical="center" wrapText="1" indent="2"/>
    </xf>
    <xf numFmtId="3" fontId="2" fillId="0" borderId="0" xfId="0" applyNumberFormat="1" applyFont="1" applyAlignment="1">
      <alignment horizontal="center" vertical="center"/>
    </xf>
    <xf numFmtId="3" fontId="2" fillId="24" borderId="22" xfId="0" applyNumberFormat="1" applyFont="1" applyFill="1" applyBorder="1" applyAlignment="1">
      <alignment horizontal="center" vertical="center"/>
    </xf>
    <xf numFmtId="3" fontId="2" fillId="24" borderId="19" xfId="0" applyNumberFormat="1" applyFont="1" applyFill="1" applyBorder="1" applyAlignment="1">
      <alignment horizontal="center" vertical="center" wrapText="1"/>
    </xf>
    <xf numFmtId="3" fontId="3" fillId="0" borderId="49" xfId="0" applyNumberFormat="1" applyFont="1" applyBorder="1" applyAlignment="1">
      <alignment vertical="center"/>
    </xf>
    <xf numFmtId="0" fontId="2" fillId="24" borderId="37" xfId="0" applyFont="1" applyFill="1" applyBorder="1" applyAlignment="1">
      <alignment horizontal="center" vertical="center"/>
    </xf>
    <xf numFmtId="3" fontId="2" fillId="24" borderId="37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3" fontId="3" fillId="0" borderId="24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1" borderId="0" xfId="0" applyNumberFormat="1" applyFont="1" applyFill="1" applyAlignment="1">
      <alignment vertical="center"/>
    </xf>
    <xf numFmtId="3" fontId="3" fillId="0" borderId="52" xfId="0" applyNumberFormat="1" applyFont="1" applyBorder="1" applyAlignment="1">
      <alignment vertical="center"/>
    </xf>
    <xf numFmtId="0" fontId="2" fillId="24" borderId="37" xfId="0" applyFont="1" applyFill="1" applyBorder="1" applyAlignment="1">
      <alignment vertical="center"/>
    </xf>
    <xf numFmtId="3" fontId="0" fillId="0" borderId="0" xfId="0" applyNumberFormat="1"/>
    <xf numFmtId="0" fontId="43" fillId="0" borderId="0" xfId="0" applyFont="1"/>
    <xf numFmtId="0" fontId="44" fillId="0" borderId="0" xfId="0" applyFont="1"/>
    <xf numFmtId="0" fontId="0" fillId="0" borderId="0" xfId="0" applyAlignment="1">
      <alignment horizontal="center" vertical="center"/>
    </xf>
    <xf numFmtId="0" fontId="45" fillId="0" borderId="1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1" fillId="0" borderId="11" xfId="0" applyFont="1" applyBorder="1" applyAlignment="1">
      <alignment horizontal="center" vertical="top" wrapText="1"/>
    </xf>
    <xf numFmtId="0" fontId="41" fillId="0" borderId="11" xfId="0" applyFont="1" applyBorder="1" applyAlignment="1">
      <alignment horizontal="left" vertical="top" wrapText="1"/>
    </xf>
    <xf numFmtId="3" fontId="41" fillId="0" borderId="11" xfId="0" applyNumberFormat="1" applyFont="1" applyBorder="1" applyAlignment="1">
      <alignment horizontal="right" vertical="top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45" fillId="0" borderId="11" xfId="0" applyFont="1" applyBorder="1" applyAlignment="1">
      <alignment horizontal="center" vertical="top" wrapText="1"/>
    </xf>
    <xf numFmtId="0" fontId="0" fillId="0" borderId="11" xfId="0" applyBorder="1"/>
    <xf numFmtId="0" fontId="44" fillId="0" borderId="11" xfId="0" applyFont="1" applyBorder="1"/>
    <xf numFmtId="3" fontId="40" fillId="24" borderId="11" xfId="0" applyNumberFormat="1" applyFont="1" applyFill="1" applyBorder="1" applyAlignment="1">
      <alignment horizontal="center" vertical="center" wrapText="1"/>
    </xf>
    <xf numFmtId="3" fontId="42" fillId="24" borderId="11" xfId="0" applyNumberFormat="1" applyFont="1" applyFill="1" applyBorder="1" applyAlignment="1">
      <alignment horizontal="right" vertical="center" wrapText="1"/>
    </xf>
    <xf numFmtId="3" fontId="42" fillId="26" borderId="11" xfId="0" applyNumberFormat="1" applyFont="1" applyFill="1" applyBorder="1" applyAlignment="1">
      <alignment horizontal="right" vertical="top" wrapText="1"/>
    </xf>
    <xf numFmtId="0" fontId="47" fillId="0" borderId="0" xfId="0" applyFont="1"/>
    <xf numFmtId="0" fontId="44" fillId="0" borderId="1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166" fontId="35" fillId="0" borderId="17" xfId="0" applyNumberFormat="1" applyFont="1" applyBorder="1" applyAlignment="1" applyProtection="1">
      <alignment horizontal="right" vertical="center" wrapText="1" indent="1"/>
      <protection locked="0"/>
    </xf>
    <xf numFmtId="166" fontId="39" fillId="0" borderId="36" xfId="0" applyNumberFormat="1" applyFont="1" applyBorder="1" applyAlignment="1">
      <alignment horizontal="right" vertical="center" wrapText="1" indent="1"/>
    </xf>
    <xf numFmtId="166" fontId="1" fillId="0" borderId="0" xfId="0" applyNumberFormat="1" applyFont="1" applyAlignment="1">
      <alignment vertical="center" wrapText="1"/>
    </xf>
    <xf numFmtId="166" fontId="44" fillId="0" borderId="0" xfId="0" applyNumberFormat="1" applyFont="1" applyAlignment="1">
      <alignment horizontal="centerContinuous" vertical="center"/>
    </xf>
    <xf numFmtId="166" fontId="44" fillId="0" borderId="0" xfId="0" applyNumberFormat="1" applyFont="1" applyAlignment="1">
      <alignment vertical="center" wrapText="1"/>
    </xf>
    <xf numFmtId="166" fontId="44" fillId="0" borderId="0" xfId="0" applyNumberFormat="1" applyFont="1" applyAlignment="1">
      <alignment horizontal="center" vertical="center" wrapText="1"/>
    </xf>
    <xf numFmtId="166" fontId="44" fillId="0" borderId="48" xfId="0" applyNumberFormat="1" applyFont="1" applyBorder="1" applyAlignment="1">
      <alignment horizontal="left" vertical="center" wrapText="1" indent="1"/>
    </xf>
    <xf numFmtId="166" fontId="44" fillId="0" borderId="42" xfId="0" applyNumberFormat="1" applyFont="1" applyBorder="1" applyAlignment="1">
      <alignment horizontal="left" vertical="center" wrapText="1" indent="1"/>
    </xf>
    <xf numFmtId="3" fontId="48" fillId="0" borderId="0" xfId="0" applyNumberFormat="1" applyFont="1"/>
    <xf numFmtId="3" fontId="27" fillId="26" borderId="11" xfId="0" applyNumberFormat="1" applyFont="1" applyFill="1" applyBorder="1" applyAlignment="1">
      <alignment horizontal="right" vertical="top" wrapText="1"/>
    </xf>
    <xf numFmtId="3" fontId="27" fillId="24" borderId="11" xfId="0" applyNumberFormat="1" applyFont="1" applyFill="1" applyBorder="1" applyAlignment="1">
      <alignment horizontal="right" vertical="center" wrapText="1"/>
    </xf>
    <xf numFmtId="3" fontId="27" fillId="24" borderId="11" xfId="0" applyNumberFormat="1" applyFont="1" applyFill="1" applyBorder="1" applyAlignment="1">
      <alignment horizontal="right" vertical="top" wrapText="1"/>
    </xf>
    <xf numFmtId="0" fontId="42" fillId="0" borderId="11" xfId="0" applyFont="1" applyBorder="1" applyAlignment="1">
      <alignment horizontal="left" vertical="center" wrapText="1"/>
    </xf>
    <xf numFmtId="0" fontId="48" fillId="0" borderId="0" xfId="0" applyFont="1"/>
    <xf numFmtId="166" fontId="0" fillId="0" borderId="0" xfId="0" applyNumberFormat="1" applyAlignment="1">
      <alignment horizontal="centerContinuous" vertical="center"/>
    </xf>
    <xf numFmtId="166" fontId="0" fillId="0" borderId="0" xfId="0" applyNumberFormat="1" applyAlignment="1">
      <alignment vertical="center" wrapText="1"/>
    </xf>
    <xf numFmtId="0" fontId="49" fillId="0" borderId="0" xfId="0" applyFont="1" applyAlignment="1">
      <alignment horizontal="center" vertical="center"/>
    </xf>
    <xf numFmtId="0" fontId="51" fillId="0" borderId="24" xfId="0" applyFont="1" applyBorder="1" applyAlignment="1">
      <alignment vertical="center"/>
    </xf>
    <xf numFmtId="0" fontId="52" fillId="0" borderId="34" xfId="0" applyFont="1" applyBorder="1" applyAlignment="1">
      <alignment vertical="center"/>
    </xf>
    <xf numFmtId="0" fontId="51" fillId="0" borderId="34" xfId="0" applyFont="1" applyBorder="1" applyAlignment="1">
      <alignment vertical="center"/>
    </xf>
    <xf numFmtId="3" fontId="50" fillId="0" borderId="18" xfId="0" applyNumberFormat="1" applyFont="1" applyBorder="1" applyAlignment="1">
      <alignment vertical="center"/>
    </xf>
    <xf numFmtId="3" fontId="51" fillId="0" borderId="0" xfId="0" applyNumberFormat="1" applyFont="1" applyAlignment="1">
      <alignment horizontal="center" vertical="center"/>
    </xf>
    <xf numFmtId="3" fontId="44" fillId="0" borderId="0" xfId="0" applyNumberFormat="1" applyFont="1"/>
    <xf numFmtId="3" fontId="0" fillId="0" borderId="0" xfId="0" applyNumberFormat="1" applyAlignment="1">
      <alignment vertical="center"/>
    </xf>
    <xf numFmtId="3" fontId="43" fillId="0" borderId="0" xfId="0" applyNumberFormat="1" applyFont="1" applyAlignment="1">
      <alignment vertical="center"/>
    </xf>
    <xf numFmtId="3" fontId="43" fillId="0" borderId="0" xfId="0" applyNumberFormat="1" applyFont="1"/>
    <xf numFmtId="0" fontId="0" fillId="0" borderId="11" xfId="0" applyBorder="1" applyAlignment="1">
      <alignment horizontal="center"/>
    </xf>
    <xf numFmtId="3" fontId="2" fillId="24" borderId="11" xfId="0" applyNumberFormat="1" applyFont="1" applyFill="1" applyBorder="1" applyAlignment="1">
      <alignment vertical="center"/>
    </xf>
    <xf numFmtId="3" fontId="51" fillId="24" borderId="37" xfId="0" applyNumberFormat="1" applyFont="1" applyFill="1" applyBorder="1" applyAlignment="1">
      <alignment horizontal="center" vertical="center"/>
    </xf>
    <xf numFmtId="0" fontId="41" fillId="0" borderId="11" xfId="0" applyFont="1" applyBorder="1" applyAlignment="1">
      <alignment horizontal="left" vertical="center"/>
    </xf>
    <xf numFmtId="166" fontId="0" fillId="0" borderId="0" xfId="0" applyNumberFormat="1" applyAlignment="1">
      <alignment horizontal="center" vertical="center" wrapText="1"/>
    </xf>
    <xf numFmtId="166" fontId="32" fillId="0" borderId="71" xfId="0" applyNumberFormat="1" applyFont="1" applyBorder="1" applyAlignment="1">
      <alignment horizontal="centerContinuous" vertical="center"/>
    </xf>
    <xf numFmtId="166" fontId="32" fillId="0" borderId="24" xfId="0" applyNumberFormat="1" applyFont="1" applyBorder="1" applyAlignment="1">
      <alignment horizontal="centerContinuous" vertical="center"/>
    </xf>
    <xf numFmtId="166" fontId="32" fillId="0" borderId="50" xfId="0" applyNumberFormat="1" applyFont="1" applyBorder="1" applyAlignment="1">
      <alignment horizontal="centerContinuous" vertical="center"/>
    </xf>
    <xf numFmtId="166" fontId="53" fillId="0" borderId="0" xfId="0" applyNumberFormat="1" applyFont="1" applyAlignment="1">
      <alignment vertical="center"/>
    </xf>
    <xf numFmtId="166" fontId="32" fillId="0" borderId="28" xfId="0" applyNumberFormat="1" applyFont="1" applyBorder="1" applyAlignment="1">
      <alignment horizontal="center" vertical="center"/>
    </xf>
    <xf numFmtId="166" fontId="32" fillId="0" borderId="64" xfId="0" applyNumberFormat="1" applyFont="1" applyBorder="1" applyAlignment="1">
      <alignment horizontal="center" vertical="center"/>
    </xf>
    <xf numFmtId="166" fontId="32" fillId="0" borderId="13" xfId="0" applyNumberFormat="1" applyFont="1" applyBorder="1" applyAlignment="1">
      <alignment horizontal="center" vertical="center" wrapText="1"/>
    </xf>
    <xf numFmtId="166" fontId="53" fillId="0" borderId="0" xfId="0" applyNumberFormat="1" applyFont="1" applyAlignment="1">
      <alignment horizontal="center" vertical="center"/>
    </xf>
    <xf numFmtId="166" fontId="54" fillId="0" borderId="44" xfId="0" applyNumberFormat="1" applyFont="1" applyBorder="1" applyAlignment="1">
      <alignment horizontal="center" vertical="center" wrapText="1"/>
    </xf>
    <xf numFmtId="166" fontId="54" fillId="0" borderId="26" xfId="0" applyNumberFormat="1" applyFont="1" applyBorder="1" applyAlignment="1">
      <alignment horizontal="center" vertical="center" wrapText="1"/>
    </xf>
    <xf numFmtId="166" fontId="54" fillId="0" borderId="67" xfId="0" applyNumberFormat="1" applyFont="1" applyBorder="1" applyAlignment="1">
      <alignment horizontal="center" vertical="center" wrapText="1"/>
    </xf>
    <xf numFmtId="166" fontId="54" fillId="0" borderId="41" xfId="0" applyNumberFormat="1" applyFont="1" applyBorder="1" applyAlignment="1">
      <alignment horizontal="center" vertical="center" wrapText="1"/>
    </xf>
    <xf numFmtId="166" fontId="54" fillId="0" borderId="0" xfId="0" applyNumberFormat="1" applyFont="1" applyAlignment="1">
      <alignment horizontal="center" vertical="center" wrapText="1"/>
    </xf>
    <xf numFmtId="166" fontId="54" fillId="0" borderId="68" xfId="0" applyNumberFormat="1" applyFont="1" applyBorder="1" applyAlignment="1">
      <alignment horizontal="right" vertical="center" wrapText="1" indent="1"/>
    </xf>
    <xf numFmtId="166" fontId="34" fillId="0" borderId="22" xfId="0" applyNumberFormat="1" applyFont="1" applyBorder="1" applyAlignment="1">
      <alignment horizontal="left" vertical="center" wrapText="1" indent="1"/>
    </xf>
    <xf numFmtId="1" fontId="37" fillId="27" borderId="22" xfId="0" applyNumberFormat="1" applyFont="1" applyFill="1" applyBorder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 wrapText="1"/>
    </xf>
    <xf numFmtId="166" fontId="34" fillId="0" borderId="71" xfId="0" applyNumberFormat="1" applyFont="1" applyBorder="1" applyAlignment="1">
      <alignment vertical="center" wrapText="1"/>
    </xf>
    <xf numFmtId="166" fontId="34" fillId="0" borderId="56" xfId="0" applyNumberFormat="1" applyFont="1" applyBorder="1" applyAlignment="1">
      <alignment vertical="center" wrapText="1"/>
    </xf>
    <xf numFmtId="166" fontId="54" fillId="0" borderId="10" xfId="0" applyNumberFormat="1" applyFont="1" applyBorder="1" applyAlignment="1">
      <alignment horizontal="right" vertical="center" wrapText="1" indent="1"/>
    </xf>
    <xf numFmtId="166" fontId="35" fillId="0" borderId="11" xfId="0" applyNumberFormat="1" applyFont="1" applyBorder="1" applyAlignment="1" applyProtection="1">
      <alignment horizontal="left" vertical="center" wrapText="1" indent="1"/>
      <protection locked="0"/>
    </xf>
    <xf numFmtId="1" fontId="55" fillId="0" borderId="11" xfId="0" applyNumberFormat="1" applyFont="1" applyBorder="1" applyAlignment="1" applyProtection="1">
      <alignment horizontal="center" vertical="center" wrapText="1"/>
      <protection locked="0"/>
    </xf>
    <xf numFmtId="166" fontId="35" fillId="0" borderId="11" xfId="0" applyNumberFormat="1" applyFont="1" applyBorder="1" applyAlignment="1" applyProtection="1">
      <alignment vertical="center" wrapText="1"/>
      <protection locked="0"/>
    </xf>
    <xf numFmtId="166" fontId="35" fillId="0" borderId="18" xfId="0" applyNumberFormat="1" applyFont="1" applyBorder="1" applyAlignment="1" applyProtection="1">
      <alignment vertical="center" wrapText="1"/>
      <protection locked="0"/>
    </xf>
    <xf numFmtId="166" fontId="35" fillId="0" borderId="42" xfId="0" applyNumberFormat="1" applyFont="1" applyBorder="1" applyAlignment="1">
      <alignment vertical="center" wrapText="1"/>
    </xf>
    <xf numFmtId="166" fontId="34" fillId="0" borderId="11" xfId="0" applyNumberFormat="1" applyFont="1" applyBorder="1" applyAlignment="1">
      <alignment horizontal="left" vertical="center" wrapText="1" indent="1"/>
    </xf>
    <xf numFmtId="1" fontId="37" fillId="27" borderId="11" xfId="0" applyNumberFormat="1" applyFont="1" applyFill="1" applyBorder="1" applyAlignment="1">
      <alignment horizontal="center" vertical="center" wrapText="1"/>
    </xf>
    <xf numFmtId="166" fontId="34" fillId="0" borderId="11" xfId="0" applyNumberFormat="1" applyFont="1" applyBorder="1" applyAlignment="1">
      <alignment vertical="center" wrapText="1"/>
    </xf>
    <xf numFmtId="166" fontId="34" fillId="0" borderId="18" xfId="0" applyNumberFormat="1" applyFont="1" applyBorder="1" applyAlignment="1">
      <alignment vertical="center" wrapText="1"/>
    </xf>
    <xf numFmtId="166" fontId="34" fillId="0" borderId="42" xfId="0" applyNumberFormat="1" applyFont="1" applyBorder="1" applyAlignment="1">
      <alignment vertical="center" wrapText="1"/>
    </xf>
    <xf numFmtId="166" fontId="54" fillId="0" borderId="11" xfId="0" applyNumberFormat="1" applyFont="1" applyBorder="1" applyAlignment="1">
      <alignment horizontal="left" vertical="center" wrapText="1" indent="1"/>
    </xf>
    <xf numFmtId="166" fontId="54" fillId="0" borderId="46" xfId="0" applyNumberFormat="1" applyFont="1" applyBorder="1" applyAlignment="1">
      <alignment horizontal="right" vertical="center" wrapText="1" indent="1"/>
    </xf>
    <xf numFmtId="166" fontId="34" fillId="0" borderId="36" xfId="0" applyNumberFormat="1" applyFont="1" applyBorder="1" applyAlignment="1" applyProtection="1">
      <alignment horizontal="left" vertical="center" wrapText="1" indent="1"/>
      <protection locked="0"/>
    </xf>
    <xf numFmtId="1" fontId="37" fillId="27" borderId="19" xfId="0" applyNumberFormat="1" applyFont="1" applyFill="1" applyBorder="1" applyAlignment="1">
      <alignment horizontal="center" vertical="center" wrapText="1"/>
    </xf>
    <xf numFmtId="166" fontId="34" fillId="0" borderId="36" xfId="0" applyNumberFormat="1" applyFont="1" applyBorder="1" applyAlignment="1">
      <alignment vertical="center" wrapText="1"/>
    </xf>
    <xf numFmtId="166" fontId="34" fillId="0" borderId="40" xfId="0" applyNumberFormat="1" applyFont="1" applyBorder="1" applyAlignment="1">
      <alignment vertical="center" wrapText="1"/>
    </xf>
    <xf numFmtId="1" fontId="55" fillId="0" borderId="40" xfId="0" applyNumberFormat="1" applyFont="1" applyBorder="1" applyAlignment="1" applyProtection="1">
      <alignment horizontal="center" vertical="center" wrapText="1"/>
      <protection locked="0"/>
    </xf>
    <xf numFmtId="166" fontId="35" fillId="0" borderId="36" xfId="0" applyNumberFormat="1" applyFont="1" applyBorder="1" applyAlignment="1" applyProtection="1">
      <alignment vertical="center" wrapText="1"/>
      <protection locked="0"/>
    </xf>
    <xf numFmtId="166" fontId="35" fillId="0" borderId="40" xfId="0" applyNumberFormat="1" applyFont="1" applyBorder="1" applyAlignment="1" applyProtection="1">
      <alignment vertical="center" wrapText="1"/>
      <protection locked="0"/>
    </xf>
    <xf numFmtId="166" fontId="54" fillId="0" borderId="29" xfId="0" applyNumberFormat="1" applyFont="1" applyBorder="1" applyAlignment="1">
      <alignment horizontal="right" vertical="center" wrapText="1" indent="1"/>
    </xf>
    <xf numFmtId="166" fontId="54" fillId="0" borderId="26" xfId="0" applyNumberFormat="1" applyFont="1" applyBorder="1" applyAlignment="1">
      <alignment horizontal="left" vertical="center" wrapText="1" indent="1"/>
    </xf>
    <xf numFmtId="1" fontId="35" fillId="27" borderId="67" xfId="0" applyNumberFormat="1" applyFont="1" applyFill="1" applyBorder="1" applyAlignment="1">
      <alignment vertical="center" wrapText="1"/>
    </xf>
    <xf numFmtId="166" fontId="34" fillId="0" borderId="26" xfId="0" applyNumberFormat="1" applyFont="1" applyBorder="1" applyAlignment="1">
      <alignment vertical="center" wrapText="1"/>
    </xf>
    <xf numFmtId="166" fontId="34" fillId="0" borderId="37" xfId="0" applyNumberFormat="1" applyFont="1" applyBorder="1" applyAlignment="1">
      <alignment vertical="center" wrapText="1"/>
    </xf>
    <xf numFmtId="3" fontId="35" fillId="0" borderId="11" xfId="0" applyNumberFormat="1" applyFont="1" applyBorder="1" applyAlignment="1" applyProtection="1">
      <alignment vertical="center" wrapText="1"/>
      <protection locked="0"/>
    </xf>
    <xf numFmtId="3" fontId="35" fillId="0" borderId="18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52" xfId="0" applyFont="1" applyBorder="1" applyAlignment="1">
      <alignment horizontal="left" vertical="center"/>
    </xf>
    <xf numFmtId="3" fontId="2" fillId="24" borderId="44" xfId="0" applyNumberFormat="1" applyFont="1" applyFill="1" applyBorder="1" applyAlignment="1">
      <alignment horizontal="center" vertical="center" wrapText="1"/>
    </xf>
    <xf numFmtId="0" fontId="46" fillId="0" borderId="0" xfId="0" applyFont="1" applyBorder="1" applyAlignment="1">
      <alignment horizontal="center"/>
    </xf>
    <xf numFmtId="166" fontId="32" fillId="0" borderId="51" xfId="0" applyNumberFormat="1" applyFont="1" applyBorder="1" applyAlignment="1">
      <alignment horizontal="centerContinuous" vertical="center" wrapText="1"/>
    </xf>
    <xf numFmtId="166" fontId="34" fillId="0" borderId="51" xfId="0" applyNumberFormat="1" applyFont="1" applyBorder="1" applyAlignment="1">
      <alignment horizontal="center" vertical="center" wrapText="1"/>
    </xf>
    <xf numFmtId="166" fontId="35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54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39" fillId="0" borderId="14" xfId="0" applyNumberFormat="1" applyFont="1" applyBorder="1" applyAlignment="1">
      <alignment horizontal="right" vertical="center" wrapText="1" indent="1"/>
    </xf>
    <xf numFmtId="166" fontId="34" fillId="0" borderId="51" xfId="0" applyNumberFormat="1" applyFont="1" applyBorder="1" applyAlignment="1" applyProtection="1">
      <alignment horizontal="right" vertical="center" wrapText="1" indent="1"/>
      <protection locked="0"/>
    </xf>
    <xf numFmtId="166" fontId="37" fillId="0" borderId="52" xfId="0" applyNumberFormat="1" applyFont="1" applyBorder="1" applyAlignment="1">
      <alignment horizontal="right" vertical="center" wrapText="1" indent="1"/>
    </xf>
    <xf numFmtId="166" fontId="32" fillId="0" borderId="0" xfId="0" applyNumberFormat="1" applyFont="1" applyBorder="1" applyAlignment="1">
      <alignment horizontal="centerContinuous" vertical="center" wrapText="1"/>
    </xf>
    <xf numFmtId="166" fontId="35" fillId="0" borderId="0" xfId="0" applyNumberFormat="1" applyFont="1" applyBorder="1" applyAlignment="1" applyProtection="1">
      <alignment horizontal="right" vertical="center" wrapText="1" indent="1"/>
      <protection locked="0"/>
    </xf>
    <xf numFmtId="166" fontId="32" fillId="0" borderId="67" xfId="0" applyNumberFormat="1" applyFont="1" applyBorder="1" applyAlignment="1">
      <alignment horizontal="center" vertical="center" wrapText="1"/>
    </xf>
    <xf numFmtId="166" fontId="34" fillId="0" borderId="67" xfId="0" applyNumberFormat="1" applyFont="1" applyBorder="1" applyAlignment="1">
      <alignment horizontal="center" vertical="center" wrapText="1"/>
    </xf>
    <xf numFmtId="166" fontId="35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35" xfId="0" applyNumberFormat="1" applyFont="1" applyBorder="1" applyAlignment="1" applyProtection="1">
      <alignment horizontal="right" vertical="center" wrapText="1" indent="1"/>
      <protection locked="0"/>
    </xf>
    <xf numFmtId="166" fontId="34" fillId="0" borderId="67" xfId="0" applyNumberFormat="1" applyFont="1" applyBorder="1" applyAlignment="1">
      <alignment horizontal="right" vertical="center" wrapText="1" indent="1"/>
    </xf>
    <xf numFmtId="166" fontId="36" fillId="0" borderId="40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34" fillId="0" borderId="67" xfId="0" applyNumberFormat="1" applyFont="1" applyBorder="1" applyAlignment="1" applyProtection="1">
      <alignment horizontal="right" vertical="center" wrapText="1" indent="1"/>
      <protection locked="0"/>
    </xf>
    <xf numFmtId="166" fontId="34" fillId="0" borderId="11" xfId="0" applyNumberFormat="1" applyFont="1" applyBorder="1" applyAlignment="1">
      <alignment horizontal="center" vertical="center" wrapText="1"/>
    </xf>
    <xf numFmtId="166" fontId="34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7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34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32" fillId="0" borderId="28" xfId="0" applyNumberFormat="1" applyFont="1" applyBorder="1" applyAlignment="1">
      <alignment horizontal="centerContinuous" vertical="center" wrapText="1"/>
    </xf>
    <xf numFmtId="166" fontId="0" fillId="0" borderId="62" xfId="0" applyNumberFormat="1" applyBorder="1" applyAlignment="1">
      <alignment vertical="center" wrapText="1"/>
    </xf>
    <xf numFmtId="166" fontId="30" fillId="0" borderId="62" xfId="0" applyNumberFormat="1" applyFont="1" applyBorder="1" applyAlignment="1">
      <alignment horizontal="right" vertical="center"/>
    </xf>
    <xf numFmtId="3" fontId="40" fillId="24" borderId="36" xfId="0" applyNumberFormat="1" applyFont="1" applyFill="1" applyBorder="1" applyAlignment="1">
      <alignment horizontal="center" vertical="center" wrapText="1"/>
    </xf>
    <xf numFmtId="0" fontId="52" fillId="0" borderId="0" xfId="0" applyFont="1" applyBorder="1" applyAlignment="1">
      <alignment vertical="center"/>
    </xf>
    <xf numFmtId="3" fontId="3" fillId="0" borderId="32" xfId="0" applyNumberFormat="1" applyFont="1" applyBorder="1" applyAlignment="1">
      <alignment horizontal="right" vertical="center"/>
    </xf>
    <xf numFmtId="0" fontId="51" fillId="0" borderId="0" xfId="0" applyFont="1" applyBorder="1" applyAlignment="1">
      <alignment vertical="center"/>
    </xf>
    <xf numFmtId="3" fontId="3" fillId="0" borderId="32" xfId="0" applyNumberFormat="1" applyFont="1" applyBorder="1" applyAlignment="1">
      <alignment vertical="center"/>
    </xf>
    <xf numFmtId="0" fontId="8" fillId="1" borderId="0" xfId="0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3" fontId="3" fillId="1" borderId="0" xfId="0" applyNumberFormat="1" applyFont="1" applyFill="1" applyBorder="1" applyAlignment="1">
      <alignment vertical="center"/>
    </xf>
    <xf numFmtId="3" fontId="2" fillId="25" borderId="18" xfId="0" applyNumberFormat="1" applyFont="1" applyFill="1" applyBorder="1" applyAlignment="1">
      <alignment horizontal="right" vertical="center"/>
    </xf>
    <xf numFmtId="3" fontId="2" fillId="1" borderId="18" xfId="0" applyNumberFormat="1" applyFont="1" applyFill="1" applyBorder="1" applyAlignment="1">
      <alignment horizontal="right" vertical="center"/>
    </xf>
    <xf numFmtId="3" fontId="2" fillId="24" borderId="18" xfId="0" applyNumberFormat="1" applyFont="1" applyFill="1" applyBorder="1" applyAlignment="1">
      <alignment vertical="center"/>
    </xf>
    <xf numFmtId="3" fontId="2" fillId="1" borderId="18" xfId="0" applyNumberFormat="1" applyFont="1" applyFill="1" applyBorder="1" applyAlignment="1">
      <alignment vertical="center"/>
    </xf>
    <xf numFmtId="3" fontId="2" fillId="24" borderId="64" xfId="0" applyNumberFormat="1" applyFont="1" applyFill="1" applyBorder="1" applyAlignment="1">
      <alignment vertical="center"/>
    </xf>
    <xf numFmtId="3" fontId="2" fillId="24" borderId="67" xfId="0" applyNumberFormat="1" applyFont="1" applyFill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3" fillId="1" borderId="11" xfId="0" applyNumberFormat="1" applyFont="1" applyFill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3" fontId="2" fillId="24" borderId="26" xfId="0" applyNumberFormat="1" applyFont="1" applyFill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3" fontId="3" fillId="0" borderId="36" xfId="0" applyNumberFormat="1" applyFont="1" applyBorder="1" applyAlignment="1">
      <alignment vertical="center"/>
    </xf>
    <xf numFmtId="3" fontId="2" fillId="24" borderId="67" xfId="0" applyNumberFormat="1" applyFont="1" applyFill="1" applyBorder="1" applyAlignment="1">
      <alignment horizontal="center" vertical="center" wrapText="1"/>
    </xf>
    <xf numFmtId="3" fontId="2" fillId="0" borderId="27" xfId="0" applyNumberFormat="1" applyFont="1" applyBorder="1" applyAlignment="1">
      <alignment vertical="center"/>
    </xf>
    <xf numFmtId="3" fontId="2" fillId="1" borderId="27" xfId="0" applyNumberFormat="1" applyFont="1" applyFill="1" applyBorder="1" applyAlignment="1">
      <alignment vertical="center"/>
    </xf>
    <xf numFmtId="3" fontId="3" fillId="0" borderId="27" xfId="0" applyNumberFormat="1" applyFont="1" applyBorder="1" applyAlignment="1">
      <alignment vertical="center"/>
    </xf>
    <xf numFmtId="3" fontId="50" fillId="0" borderId="27" xfId="0" applyNumberFormat="1" applyFont="1" applyBorder="1" applyAlignment="1">
      <alignment vertical="center"/>
    </xf>
    <xf numFmtId="3" fontId="2" fillId="24" borderId="28" xfId="0" applyNumberFormat="1" applyFont="1" applyFill="1" applyBorder="1" applyAlignment="1">
      <alignment vertical="center"/>
    </xf>
    <xf numFmtId="3" fontId="2" fillId="0" borderId="18" xfId="0" applyNumberFormat="1" applyFont="1" applyBorder="1" applyAlignment="1">
      <alignment horizontal="right" vertical="center"/>
    </xf>
    <xf numFmtId="3" fontId="3" fillId="0" borderId="27" xfId="0" applyNumberFormat="1" applyFont="1" applyBorder="1" applyAlignment="1">
      <alignment horizontal="right" vertical="center"/>
    </xf>
    <xf numFmtId="3" fontId="2" fillId="24" borderId="67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3" fontId="50" fillId="0" borderId="11" xfId="0" applyNumberFormat="1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3" fontId="40" fillId="24" borderId="26" xfId="0" applyNumberFormat="1" applyFont="1" applyFill="1" applyBorder="1" applyAlignment="1">
      <alignment horizontal="center" vertical="center" wrapText="1"/>
    </xf>
    <xf numFmtId="3" fontId="40" fillId="24" borderId="15" xfId="0" applyNumberFormat="1" applyFont="1" applyFill="1" applyBorder="1" applyAlignment="1">
      <alignment horizontal="center" vertical="center" wrapText="1"/>
    </xf>
    <xf numFmtId="3" fontId="3" fillId="0" borderId="35" xfId="0" applyNumberFormat="1" applyFont="1" applyBorder="1" applyAlignment="1">
      <alignment vertical="center"/>
    </xf>
    <xf numFmtId="3" fontId="2" fillId="0" borderId="44" xfId="0" applyNumberFormat="1" applyFont="1" applyBorder="1" applyAlignment="1">
      <alignment vertical="center" wrapText="1"/>
    </xf>
    <xf numFmtId="3" fontId="3" fillId="0" borderId="44" xfId="0" applyNumberFormat="1" applyFont="1" applyBorder="1" applyAlignment="1">
      <alignment vertical="center"/>
    </xf>
    <xf numFmtId="3" fontId="41" fillId="0" borderId="11" xfId="0" applyNumberFormat="1" applyFont="1" applyFill="1" applyBorder="1" applyAlignment="1">
      <alignment horizontal="right" vertical="top" wrapText="1"/>
    </xf>
    <xf numFmtId="3" fontId="27" fillId="0" borderId="11" xfId="0" applyNumberFormat="1" applyFont="1" applyFill="1" applyBorder="1" applyAlignment="1">
      <alignment horizontal="right" vertical="center" wrapText="1"/>
    </xf>
    <xf numFmtId="0" fontId="0" fillId="0" borderId="0" xfId="0" applyFill="1"/>
    <xf numFmtId="3" fontId="0" fillId="0" borderId="0" xfId="0" applyNumberFormat="1" applyFill="1"/>
    <xf numFmtId="3" fontId="41" fillId="0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42" fillId="0" borderId="11" xfId="0" applyFont="1" applyFill="1" applyBorder="1" applyAlignment="1">
      <alignment horizontal="left" vertical="top" wrapText="1"/>
    </xf>
    <xf numFmtId="3" fontId="27" fillId="0" borderId="11" xfId="0" applyNumberFormat="1" applyFont="1" applyFill="1" applyBorder="1" applyAlignment="1">
      <alignment horizontal="right" vertical="top" wrapText="1"/>
    </xf>
    <xf numFmtId="0" fontId="41" fillId="0" borderId="11" xfId="0" applyFont="1" applyFill="1" applyBorder="1" applyAlignment="1">
      <alignment horizontal="left" vertical="top" wrapText="1"/>
    </xf>
    <xf numFmtId="3" fontId="57" fillId="24" borderId="11" xfId="0" applyNumberFormat="1" applyFont="1" applyFill="1" applyBorder="1" applyAlignment="1">
      <alignment horizontal="right" vertical="top" wrapText="1"/>
    </xf>
    <xf numFmtId="3" fontId="60" fillId="0" borderId="11" xfId="0" applyNumberFormat="1" applyFont="1" applyBorder="1" applyAlignment="1">
      <alignment horizontal="right" vertical="top" wrapText="1"/>
    </xf>
    <xf numFmtId="3" fontId="61" fillId="26" borderId="11" xfId="0" applyNumberFormat="1" applyFont="1" applyFill="1" applyBorder="1" applyAlignment="1">
      <alignment horizontal="right" vertical="top" wrapText="1"/>
    </xf>
    <xf numFmtId="3" fontId="61" fillId="24" borderId="11" xfId="0" applyNumberFormat="1" applyFont="1" applyFill="1" applyBorder="1" applyAlignment="1">
      <alignment horizontal="right" vertical="center" wrapText="1"/>
    </xf>
    <xf numFmtId="3" fontId="61" fillId="24" borderId="11" xfId="0" applyNumberFormat="1" applyFont="1" applyFill="1" applyBorder="1" applyAlignment="1">
      <alignment horizontal="right" vertical="top" wrapText="1"/>
    </xf>
    <xf numFmtId="3" fontId="61" fillId="28" borderId="11" xfId="0" applyNumberFormat="1" applyFont="1" applyFill="1" applyBorder="1" applyAlignment="1">
      <alignment horizontal="right" vertical="center" wrapText="1"/>
    </xf>
    <xf numFmtId="3" fontId="27" fillId="28" borderId="11" xfId="0" applyNumberFormat="1" applyFont="1" applyFill="1" applyBorder="1" applyAlignment="1">
      <alignment horizontal="right" vertical="center" wrapText="1"/>
    </xf>
    <xf numFmtId="3" fontId="47" fillId="28" borderId="11" xfId="0" applyNumberFormat="1" applyFont="1" applyFill="1" applyBorder="1" applyAlignment="1">
      <alignment horizontal="right"/>
    </xf>
    <xf numFmtId="3" fontId="58" fillId="28" borderId="11" xfId="0" applyNumberFormat="1" applyFont="1" applyFill="1" applyBorder="1" applyAlignment="1">
      <alignment horizontal="right"/>
    </xf>
    <xf numFmtId="3" fontId="3" fillId="0" borderId="14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vertical="top" wrapText="1"/>
    </xf>
    <xf numFmtId="0" fontId="3" fillId="0" borderId="27" xfId="0" applyFont="1" applyBorder="1" applyAlignment="1">
      <alignment horizontal="left" vertical="center"/>
    </xf>
    <xf numFmtId="3" fontId="43" fillId="28" borderId="11" xfId="0" applyNumberFormat="1" applyFont="1" applyFill="1" applyBorder="1" applyAlignment="1">
      <alignment horizontal="right"/>
    </xf>
    <xf numFmtId="3" fontId="59" fillId="28" borderId="11" xfId="0" applyNumberFormat="1" applyFont="1" applyFill="1" applyBorder="1" applyAlignment="1">
      <alignment horizontal="right"/>
    </xf>
    <xf numFmtId="3" fontId="62" fillId="0" borderId="11" xfId="0" applyNumberFormat="1" applyFont="1" applyBorder="1" applyAlignment="1">
      <alignment vertical="center"/>
    </xf>
    <xf numFmtId="0" fontId="27" fillId="24" borderId="11" xfId="0" applyFont="1" applyFill="1" applyBorder="1" applyAlignment="1">
      <alignment horizontal="left" vertical="center" wrapText="1"/>
    </xf>
    <xf numFmtId="0" fontId="27" fillId="24" borderId="11" xfId="0" applyFont="1" applyFill="1" applyBorder="1" applyAlignment="1">
      <alignment horizontal="left" vertical="top" wrapText="1"/>
    </xf>
    <xf numFmtId="0" fontId="27" fillId="26" borderId="11" xfId="0" applyFont="1" applyFill="1" applyBorder="1" applyAlignment="1">
      <alignment horizontal="left" vertical="top" wrapText="1"/>
    </xf>
    <xf numFmtId="0" fontId="2" fillId="0" borderId="46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24" borderId="2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27" fillId="24" borderId="11" xfId="0" applyFont="1" applyFill="1" applyBorder="1" applyAlignment="1">
      <alignment horizontal="left" vertical="top" wrapText="1"/>
    </xf>
    <xf numFmtId="0" fontId="42" fillId="24" borderId="1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42" fillId="26" borderId="11" xfId="0" applyFont="1" applyFill="1" applyBorder="1" applyAlignment="1">
      <alignment horizontal="left" vertical="top" wrapText="1"/>
    </xf>
    <xf numFmtId="0" fontId="42" fillId="24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46" fillId="0" borderId="34" xfId="0" applyFont="1" applyBorder="1" applyAlignment="1">
      <alignment horizontal="center" vertical="center"/>
    </xf>
    <xf numFmtId="0" fontId="40" fillId="24" borderId="35" xfId="0" applyFont="1" applyFill="1" applyBorder="1" applyAlignment="1">
      <alignment horizontal="center" vertical="center" wrapText="1"/>
    </xf>
    <xf numFmtId="0" fontId="40" fillId="24" borderId="53" xfId="0" applyFont="1" applyFill="1" applyBorder="1" applyAlignment="1">
      <alignment horizontal="center" vertical="center" wrapText="1"/>
    </xf>
    <xf numFmtId="0" fontId="40" fillId="24" borderId="54" xfId="0" applyFont="1" applyFill="1" applyBorder="1" applyAlignment="1">
      <alignment horizontal="center" vertical="center" wrapText="1"/>
    </xf>
    <xf numFmtId="0" fontId="40" fillId="24" borderId="27" xfId="0" applyFont="1" applyFill="1" applyBorder="1" applyAlignment="1">
      <alignment horizontal="center" vertical="center" wrapText="1"/>
    </xf>
    <xf numFmtId="0" fontId="40" fillId="24" borderId="34" xfId="0" applyFont="1" applyFill="1" applyBorder="1" applyAlignment="1">
      <alignment horizontal="center" vertical="center" wrapText="1"/>
    </xf>
    <xf numFmtId="0" fontId="40" fillId="24" borderId="55" xfId="0" applyFont="1" applyFill="1" applyBorder="1" applyAlignment="1">
      <alignment horizontal="center" vertical="center" wrapText="1"/>
    </xf>
    <xf numFmtId="3" fontId="40" fillId="24" borderId="18" xfId="0" applyNumberFormat="1" applyFont="1" applyFill="1" applyBorder="1" applyAlignment="1">
      <alignment horizontal="center" vertical="center" wrapText="1"/>
    </xf>
    <xf numFmtId="3" fontId="40" fillId="24" borderId="32" xfId="0" applyNumberFormat="1" applyFont="1" applyFill="1" applyBorder="1" applyAlignment="1">
      <alignment horizontal="center" vertical="center" wrapText="1"/>
    </xf>
    <xf numFmtId="3" fontId="40" fillId="24" borderId="14" xfId="0" applyNumberFormat="1" applyFont="1" applyFill="1" applyBorder="1" applyAlignment="1">
      <alignment horizontal="center" vertical="center" wrapText="1"/>
    </xf>
    <xf numFmtId="0" fontId="27" fillId="26" borderId="11" xfId="0" applyFont="1" applyFill="1" applyBorder="1" applyAlignment="1">
      <alignment horizontal="left" vertical="top" wrapText="1"/>
    </xf>
    <xf numFmtId="0" fontId="27" fillId="24" borderId="11" xfId="0" applyFont="1" applyFill="1" applyBorder="1" applyAlignment="1">
      <alignment horizontal="left" vertical="center" wrapText="1"/>
    </xf>
    <xf numFmtId="0" fontId="47" fillId="28" borderId="11" xfId="0" applyFont="1" applyFill="1" applyBorder="1" applyAlignment="1">
      <alignment horizontal="left"/>
    </xf>
    <xf numFmtId="0" fontId="42" fillId="28" borderId="18" xfId="0" applyFont="1" applyFill="1" applyBorder="1" applyAlignment="1">
      <alignment horizontal="left" vertical="center" wrapText="1"/>
    </xf>
    <xf numFmtId="0" fontId="42" fillId="28" borderId="32" xfId="0" applyFont="1" applyFill="1" applyBorder="1" applyAlignment="1">
      <alignment horizontal="left" vertical="center" wrapText="1"/>
    </xf>
    <xf numFmtId="0" fontId="42" fillId="28" borderId="14" xfId="0" applyFont="1" applyFill="1" applyBorder="1" applyAlignment="1">
      <alignment horizontal="left" vertical="center" wrapText="1"/>
    </xf>
    <xf numFmtId="0" fontId="61" fillId="28" borderId="11" xfId="0" applyFont="1" applyFill="1" applyBorder="1" applyAlignment="1">
      <alignment horizontal="left" vertical="center" wrapText="1"/>
    </xf>
    <xf numFmtId="0" fontId="44" fillId="0" borderId="11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46" fillId="0" borderId="34" xfId="0" applyFont="1" applyBorder="1" applyAlignment="1">
      <alignment horizontal="center"/>
    </xf>
    <xf numFmtId="0" fontId="43" fillId="28" borderId="11" xfId="0" applyFont="1" applyFill="1" applyBorder="1" applyAlignment="1">
      <alignment horizontal="left"/>
    </xf>
    <xf numFmtId="0" fontId="1" fillId="0" borderId="3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2" fillId="28" borderId="27" xfId="0" applyFont="1" applyFill="1" applyBorder="1" applyAlignment="1">
      <alignment horizontal="left" vertical="center" wrapText="1"/>
    </xf>
    <xf numFmtId="0" fontId="42" fillId="28" borderId="34" xfId="0" applyFont="1" applyFill="1" applyBorder="1" applyAlignment="1">
      <alignment horizontal="left" vertical="center" wrapText="1"/>
    </xf>
    <xf numFmtId="0" fontId="42" fillId="28" borderId="55" xfId="0" applyFont="1" applyFill="1" applyBorder="1" applyAlignment="1">
      <alignment horizontal="left" vertical="center" wrapText="1"/>
    </xf>
    <xf numFmtId="0" fontId="42" fillId="28" borderId="11" xfId="0" applyFont="1" applyFill="1" applyBorder="1" applyAlignment="1">
      <alignment horizontal="left" vertical="center" wrapText="1"/>
    </xf>
    <xf numFmtId="166" fontId="29" fillId="0" borderId="0" xfId="0" applyNumberFormat="1" applyFont="1" applyAlignment="1">
      <alignment horizontal="center" textRotation="180" wrapText="1"/>
    </xf>
    <xf numFmtId="166" fontId="31" fillId="0" borderId="38" xfId="0" applyNumberFormat="1" applyFont="1" applyBorder="1" applyAlignment="1">
      <alignment horizontal="center" vertical="center" wrapText="1"/>
    </xf>
    <xf numFmtId="166" fontId="31" fillId="0" borderId="43" xfId="0" applyNumberFormat="1" applyFont="1" applyBorder="1" applyAlignment="1">
      <alignment horizontal="center" vertical="center" wrapText="1"/>
    </xf>
    <xf numFmtId="166" fontId="31" fillId="0" borderId="56" xfId="0" applyNumberFormat="1" applyFont="1" applyBorder="1" applyAlignment="1">
      <alignment horizontal="center" vertical="center" wrapText="1"/>
    </xf>
    <xf numFmtId="166" fontId="31" fillId="0" borderId="57" xfId="0" applyNumberFormat="1" applyFont="1" applyBorder="1" applyAlignment="1">
      <alignment horizontal="center" vertical="center" wrapText="1"/>
    </xf>
    <xf numFmtId="0" fontId="2" fillId="24" borderId="44" xfId="0" applyFont="1" applyFill="1" applyBorder="1" applyAlignment="1">
      <alignment horizontal="left" vertical="center"/>
    </xf>
    <xf numFmtId="0" fontId="2" fillId="24" borderId="51" xfId="0" applyFont="1" applyFill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2" fillId="24" borderId="31" xfId="0" applyFont="1" applyFill="1" applyBorder="1" applyAlignment="1">
      <alignment horizontal="left" vertical="center"/>
    </xf>
    <xf numFmtId="0" fontId="2" fillId="24" borderId="14" xfId="0" applyFont="1" applyFill="1" applyBorder="1" applyAlignment="1">
      <alignment horizontal="left" vertical="center"/>
    </xf>
    <xf numFmtId="0" fontId="2" fillId="24" borderId="59" xfId="0" applyFont="1" applyFill="1" applyBorder="1" applyAlignment="1">
      <alignment horizontal="left" vertical="center"/>
    </xf>
    <xf numFmtId="0" fontId="2" fillId="24" borderId="60" xfId="0" applyFont="1" applyFill="1" applyBorder="1" applyAlignment="1">
      <alignment horizontal="left" vertical="center"/>
    </xf>
    <xf numFmtId="0" fontId="2" fillId="24" borderId="61" xfId="0" applyFont="1" applyFill="1" applyBorder="1" applyAlignment="1">
      <alignment horizontal="center" vertical="center" wrapText="1"/>
    </xf>
    <xf numFmtId="0" fontId="2" fillId="24" borderId="49" xfId="0" applyFont="1" applyFill="1" applyBorder="1" applyAlignment="1">
      <alignment horizontal="center" vertical="center" wrapText="1"/>
    </xf>
    <xf numFmtId="0" fontId="2" fillId="24" borderId="20" xfId="0" applyFont="1" applyFill="1" applyBorder="1" applyAlignment="1">
      <alignment horizontal="center" vertical="center" wrapText="1"/>
    </xf>
    <xf numFmtId="0" fontId="2" fillId="24" borderId="62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8" fillId="1" borderId="58" xfId="0" applyFont="1" applyFill="1" applyBorder="1" applyAlignment="1">
      <alignment horizontal="left" vertical="center"/>
    </xf>
    <xf numFmtId="0" fontId="8" fillId="1" borderId="53" xfId="0" applyFont="1" applyFill="1" applyBorder="1" applyAlignment="1">
      <alignment horizontal="left" vertical="center"/>
    </xf>
    <xf numFmtId="0" fontId="2" fillId="24" borderId="37" xfId="0" applyFont="1" applyFill="1" applyBorder="1" applyAlignment="1">
      <alignment horizontal="center" vertical="center" wrapText="1"/>
    </xf>
    <xf numFmtId="0" fontId="0" fillId="0" borderId="37" xfId="0" applyBorder="1" applyAlignment="1">
      <alignment vertical="center"/>
    </xf>
    <xf numFmtId="3" fontId="2" fillId="24" borderId="44" xfId="0" applyNumberFormat="1" applyFont="1" applyFill="1" applyBorder="1" applyAlignment="1">
      <alignment horizontal="center" vertical="center" wrapText="1"/>
    </xf>
    <xf numFmtId="3" fontId="2" fillId="24" borderId="52" xfId="0" applyNumberFormat="1" applyFont="1" applyFill="1" applyBorder="1" applyAlignment="1">
      <alignment horizontal="center" vertical="center" wrapText="1"/>
    </xf>
    <xf numFmtId="0" fontId="2" fillId="24" borderId="44" xfId="0" applyFont="1" applyFill="1" applyBorder="1" applyAlignment="1">
      <alignment horizontal="center" vertical="center" wrapText="1"/>
    </xf>
    <xf numFmtId="0" fontId="2" fillId="24" borderId="5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63" xfId="0" applyFont="1" applyBorder="1" applyAlignment="1">
      <alignment horizontal="center" vertical="top"/>
    </xf>
    <xf numFmtId="0" fontId="2" fillId="0" borderId="46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0" fontId="2" fillId="0" borderId="66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1" borderId="18" xfId="0" applyFont="1" applyFill="1" applyBorder="1" applyAlignment="1">
      <alignment horizontal="left" vertical="center"/>
    </xf>
    <xf numFmtId="0" fontId="2" fillId="1" borderId="32" xfId="0" applyFont="1" applyFill="1" applyBorder="1" applyAlignment="1">
      <alignment horizontal="left" vertical="center"/>
    </xf>
    <xf numFmtId="0" fontId="2" fillId="1" borderId="14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0" borderId="45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24" borderId="64" xfId="0" applyFont="1" applyFill="1" applyBorder="1" applyAlignment="1">
      <alignment horizontal="left" vertical="center"/>
    </xf>
    <xf numFmtId="0" fontId="2" fillId="24" borderId="65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top"/>
    </xf>
    <xf numFmtId="2" fontId="2" fillId="0" borderId="18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2" fillId="24" borderId="26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66" fontId="32" fillId="0" borderId="38" xfId="0" applyNumberFormat="1" applyFont="1" applyBorder="1" applyAlignment="1">
      <alignment horizontal="center" vertical="center" wrapText="1"/>
    </xf>
    <xf numFmtId="166" fontId="32" fillId="0" borderId="43" xfId="0" applyNumberFormat="1" applyFont="1" applyBorder="1" applyAlignment="1">
      <alignment horizontal="center" vertical="center" wrapText="1"/>
    </xf>
    <xf numFmtId="166" fontId="32" fillId="0" borderId="63" xfId="0" applyNumberFormat="1" applyFont="1" applyBorder="1" applyAlignment="1">
      <alignment horizontal="center" vertical="center" wrapText="1"/>
    </xf>
    <xf numFmtId="166" fontId="32" fillId="0" borderId="21" xfId="0" applyNumberFormat="1" applyFont="1" applyBorder="1" applyAlignment="1">
      <alignment horizontal="center" vertical="center" wrapText="1"/>
    </xf>
    <xf numFmtId="166" fontId="32" fillId="0" borderId="70" xfId="0" applyNumberFormat="1" applyFont="1" applyBorder="1" applyAlignment="1">
      <alignment horizontal="center" vertical="center" wrapText="1"/>
    </xf>
    <xf numFmtId="166" fontId="32" fillId="0" borderId="16" xfId="0" applyNumberFormat="1" applyFont="1" applyBorder="1" applyAlignment="1">
      <alignment horizontal="center" vertical="center"/>
    </xf>
    <xf numFmtId="166" fontId="32" fillId="0" borderId="16" xfId="0" applyNumberFormat="1" applyFont="1" applyBorder="1" applyAlignment="1">
      <alignment horizontal="center" vertical="center" wrapText="1"/>
    </xf>
    <xf numFmtId="0" fontId="2" fillId="24" borderId="29" xfId="0" applyFont="1" applyFill="1" applyBorder="1" applyAlignment="1">
      <alignment horizontal="center" vertical="center" wrapText="1"/>
    </xf>
    <xf numFmtId="0" fontId="2" fillId="24" borderId="67" xfId="0" applyFont="1" applyFill="1" applyBorder="1" applyAlignment="1">
      <alignment horizontal="center" vertical="center" wrapText="1"/>
    </xf>
    <xf numFmtId="49" fontId="2" fillId="24" borderId="63" xfId="0" applyNumberFormat="1" applyFont="1" applyFill="1" applyBorder="1" applyAlignment="1">
      <alignment horizontal="center" vertical="center" wrapText="1"/>
    </xf>
    <xf numFmtId="49" fontId="2" fillId="24" borderId="21" xfId="0" applyNumberFormat="1" applyFont="1" applyFill="1" applyBorder="1" applyAlignment="1">
      <alignment horizontal="center" vertical="center" wrapText="1"/>
    </xf>
    <xf numFmtId="0" fontId="2" fillId="24" borderId="66" xfId="0" applyFont="1" applyFill="1" applyBorder="1" applyAlignment="1">
      <alignment horizontal="center" vertical="center" wrapText="1"/>
    </xf>
    <xf numFmtId="0" fontId="2" fillId="24" borderId="28" xfId="0" applyFont="1" applyFill="1" applyBorder="1" applyAlignment="1">
      <alignment horizontal="center" vertical="center" wrapText="1"/>
    </xf>
    <xf numFmtId="43" fontId="2" fillId="24" borderId="61" xfId="0" applyNumberFormat="1" applyFont="1" applyFill="1" applyBorder="1" applyAlignment="1">
      <alignment horizontal="center" vertical="center" wrapText="1"/>
    </xf>
    <xf numFmtId="43" fontId="2" fillId="24" borderId="49" xfId="0" applyNumberFormat="1" applyFont="1" applyFill="1" applyBorder="1" applyAlignment="1">
      <alignment horizontal="center" vertical="center" wrapText="1"/>
    </xf>
    <xf numFmtId="0" fontId="2" fillId="24" borderId="68" xfId="0" applyFont="1" applyFill="1" applyBorder="1" applyAlignment="1">
      <alignment horizontal="center" vertical="center" wrapText="1"/>
    </xf>
    <xf numFmtId="0" fontId="2" fillId="24" borderId="69" xfId="0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horizontal="center" vertical="center" wrapText="1"/>
    </xf>
    <xf numFmtId="0" fontId="2" fillId="24" borderId="45" xfId="0" applyFont="1" applyFill="1" applyBorder="1" applyAlignment="1">
      <alignment horizontal="center" vertical="center" wrapText="1"/>
    </xf>
    <xf numFmtId="0" fontId="2" fillId="24" borderId="54" xfId="0" applyFont="1" applyFill="1" applyBorder="1" applyAlignment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 wrapText="1"/>
    </xf>
    <xf numFmtId="0" fontId="0" fillId="0" borderId="37" xfId="0" applyBorder="1"/>
    <xf numFmtId="0" fontId="3" fillId="0" borderId="44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2" fillId="0" borderId="36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center" vertical="center"/>
    </xf>
    <xf numFmtId="3" fontId="2" fillId="0" borderId="4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46" xfId="0" applyFont="1" applyFill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top"/>
    </xf>
    <xf numFmtId="0" fontId="2" fillId="24" borderId="23" xfId="0" applyFont="1" applyFill="1" applyBorder="1" applyAlignment="1">
      <alignment horizontal="left" vertical="center"/>
    </xf>
    <xf numFmtId="3" fontId="2" fillId="24" borderId="64" xfId="0" applyNumberFormat="1" applyFont="1" applyFill="1" applyBorder="1" applyAlignment="1">
      <alignment horizontal="right" vertical="center"/>
    </xf>
    <xf numFmtId="0" fontId="2" fillId="0" borderId="63" xfId="0" applyFont="1" applyFill="1" applyBorder="1" applyAlignment="1">
      <alignment horizontal="center" vertical="top"/>
    </xf>
    <xf numFmtId="0" fontId="2" fillId="0" borderId="66" xfId="0" applyFont="1" applyBorder="1" applyAlignment="1">
      <alignment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49" xfId="0" applyFont="1" applyBorder="1" applyAlignment="1">
      <alignment vertical="center"/>
    </xf>
    <xf numFmtId="3" fontId="2" fillId="24" borderId="23" xfId="0" applyNumberFormat="1" applyFont="1" applyFill="1" applyBorder="1" applyAlignment="1">
      <alignment horizontal="right" vertical="center"/>
    </xf>
    <xf numFmtId="3" fontId="2" fillId="0" borderId="17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1" borderId="74" xfId="0" applyNumberFormat="1" applyFont="1" applyFill="1" applyBorder="1" applyAlignment="1">
      <alignment vertical="center"/>
    </xf>
    <xf numFmtId="3" fontId="50" fillId="0" borderId="12" xfId="0" applyNumberFormat="1" applyFont="1" applyBorder="1" applyAlignment="1">
      <alignment vertical="center"/>
    </xf>
    <xf numFmtId="3" fontId="2" fillId="0" borderId="74" xfId="0" applyNumberFormat="1" applyFont="1" applyBorder="1" applyAlignment="1">
      <alignment vertical="center"/>
    </xf>
    <xf numFmtId="3" fontId="2" fillId="24" borderId="75" xfId="0" applyNumberFormat="1" applyFont="1" applyFill="1" applyBorder="1" applyAlignment="1">
      <alignment vertical="center"/>
    </xf>
    <xf numFmtId="3" fontId="2" fillId="0" borderId="12" xfId="0" applyNumberFormat="1" applyFont="1" applyBorder="1" applyAlignment="1">
      <alignment horizontal="right" vertical="center"/>
    </xf>
    <xf numFmtId="3" fontId="2" fillId="24" borderId="13" xfId="0" applyNumberFormat="1" applyFont="1" applyFill="1" applyBorder="1" applyAlignment="1">
      <alignment horizontal="right" vertical="center"/>
    </xf>
    <xf numFmtId="3" fontId="2" fillId="0" borderId="76" xfId="0" applyNumberFormat="1" applyFont="1" applyFill="1" applyBorder="1" applyAlignment="1">
      <alignment horizontal="right" vertical="center"/>
    </xf>
    <xf numFmtId="0" fontId="0" fillId="0" borderId="0" xfId="0" applyFont="1"/>
    <xf numFmtId="0" fontId="41" fillId="24" borderId="35" xfId="0" applyFont="1" applyFill="1" applyBorder="1" applyAlignment="1">
      <alignment horizontal="center" vertical="center" wrapText="1"/>
    </xf>
    <xf numFmtId="0" fontId="41" fillId="24" borderId="53" xfId="0" applyFont="1" applyFill="1" applyBorder="1" applyAlignment="1">
      <alignment horizontal="center" vertical="center" wrapText="1"/>
    </xf>
    <xf numFmtId="0" fontId="41" fillId="24" borderId="54" xfId="0" applyFont="1" applyFill="1" applyBorder="1" applyAlignment="1">
      <alignment horizontal="center" vertical="center" wrapText="1"/>
    </xf>
    <xf numFmtId="0" fontId="41" fillId="24" borderId="19" xfId="0" applyFont="1" applyFill="1" applyBorder="1" applyAlignment="1">
      <alignment horizontal="center" vertical="center" wrapText="1"/>
    </xf>
    <xf numFmtId="3" fontId="41" fillId="24" borderId="35" xfId="0" applyNumberFormat="1" applyFont="1" applyFill="1" applyBorder="1" applyAlignment="1">
      <alignment horizontal="center" vertical="center" wrapText="1"/>
    </xf>
    <xf numFmtId="3" fontId="41" fillId="24" borderId="53" xfId="0" applyNumberFormat="1" applyFont="1" applyFill="1" applyBorder="1" applyAlignment="1">
      <alignment horizontal="center" vertical="center" wrapText="1"/>
    </xf>
    <xf numFmtId="3" fontId="41" fillId="24" borderId="54" xfId="0" applyNumberFormat="1" applyFont="1" applyFill="1" applyBorder="1" applyAlignment="1">
      <alignment horizontal="center" vertical="center" wrapText="1"/>
    </xf>
    <xf numFmtId="0" fontId="41" fillId="24" borderId="40" xfId="0" applyFont="1" applyFill="1" applyBorder="1" applyAlignment="1">
      <alignment horizontal="center" vertical="center" wrapText="1"/>
    </xf>
    <xf numFmtId="0" fontId="41" fillId="24" borderId="0" xfId="0" applyFont="1" applyFill="1" applyBorder="1" applyAlignment="1">
      <alignment horizontal="center" vertical="center" wrapText="1"/>
    </xf>
    <xf numFmtId="0" fontId="41" fillId="24" borderId="72" xfId="0" applyFont="1" applyFill="1" applyBorder="1" applyAlignment="1">
      <alignment horizontal="center" vertical="center" wrapText="1"/>
    </xf>
    <xf numFmtId="0" fontId="41" fillId="24" borderId="36" xfId="0" applyFont="1" applyFill="1" applyBorder="1" applyAlignment="1">
      <alignment horizontal="center" vertical="center" wrapText="1"/>
    </xf>
    <xf numFmtId="0" fontId="41" fillId="24" borderId="18" xfId="0" applyFont="1" applyFill="1" applyBorder="1" applyAlignment="1">
      <alignment horizontal="center" vertical="center" wrapText="1"/>
    </xf>
    <xf numFmtId="0" fontId="41" fillId="24" borderId="14" xfId="0" applyFont="1" applyFill="1" applyBorder="1" applyAlignment="1">
      <alignment horizontal="center" vertical="center" wrapText="1"/>
    </xf>
    <xf numFmtId="3" fontId="41" fillId="24" borderId="19" xfId="0" applyNumberFormat="1" applyFont="1" applyFill="1" applyBorder="1" applyAlignment="1">
      <alignment horizontal="center" vertical="center" wrapText="1"/>
    </xf>
    <xf numFmtId="0" fontId="41" fillId="24" borderId="27" xfId="0" applyFont="1" applyFill="1" applyBorder="1" applyAlignment="1">
      <alignment horizontal="center" vertical="center" wrapText="1"/>
    </xf>
    <xf numFmtId="0" fontId="41" fillId="24" borderId="34" xfId="0" applyFont="1" applyFill="1" applyBorder="1" applyAlignment="1">
      <alignment horizontal="center" vertical="center" wrapText="1"/>
    </xf>
    <xf numFmtId="0" fontId="41" fillId="24" borderId="55" xfId="0" applyFont="1" applyFill="1" applyBorder="1" applyAlignment="1">
      <alignment horizontal="center" vertical="center" wrapText="1"/>
    </xf>
    <xf numFmtId="0" fontId="41" fillId="24" borderId="17" xfId="0" applyFont="1" applyFill="1" applyBorder="1" applyAlignment="1">
      <alignment horizontal="center" vertical="center" wrapText="1"/>
    </xf>
    <xf numFmtId="3" fontId="41" fillId="24" borderId="11" xfId="0" applyNumberFormat="1" applyFont="1" applyFill="1" applyBorder="1" applyAlignment="1">
      <alignment horizontal="center" vertical="center" wrapText="1"/>
    </xf>
    <xf numFmtId="3" fontId="41" fillId="24" borderId="17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 vertical="top"/>
    </xf>
    <xf numFmtId="0" fontId="41" fillId="0" borderId="11" xfId="0" applyFont="1" applyBorder="1" applyAlignment="1">
      <alignment horizontal="right" vertical="top" wrapText="1"/>
    </xf>
    <xf numFmtId="0" fontId="41" fillId="0" borderId="11" xfId="0" applyFont="1" applyBorder="1" applyAlignment="1">
      <alignment horizontal="left" vertical="center" wrapText="1"/>
    </xf>
    <xf numFmtId="0" fontId="41" fillId="0" borderId="11" xfId="0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27" fillId="26" borderId="11" xfId="0" applyFont="1" applyFill="1" applyBorder="1" applyAlignment="1">
      <alignment horizontal="right" vertical="top" wrapText="1"/>
    </xf>
    <xf numFmtId="0" fontId="0" fillId="0" borderId="11" xfId="0" applyFont="1" applyBorder="1"/>
    <xf numFmtId="0" fontId="27" fillId="29" borderId="11" xfId="0" applyFont="1" applyFill="1" applyBorder="1" applyAlignment="1">
      <alignment horizontal="left" vertical="center" wrapText="1"/>
    </xf>
    <xf numFmtId="0" fontId="27" fillId="29" borderId="11" xfId="0" applyFont="1" applyFill="1" applyBorder="1" applyAlignment="1">
      <alignment horizontal="left" vertical="center" wrapText="1"/>
    </xf>
    <xf numFmtId="3" fontId="27" fillId="29" borderId="1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27" fillId="0" borderId="11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43" fillId="30" borderId="11" xfId="0" applyFont="1" applyFill="1" applyBorder="1" applyAlignment="1">
      <alignment horizontal="left"/>
    </xf>
    <xf numFmtId="0" fontId="43" fillId="30" borderId="11" xfId="0" applyFont="1" applyFill="1" applyBorder="1" applyAlignment="1">
      <alignment horizontal="left"/>
    </xf>
    <xf numFmtId="3" fontId="43" fillId="30" borderId="11" xfId="0" applyNumberFormat="1" applyFont="1" applyFill="1" applyBorder="1" applyAlignment="1">
      <alignment horizontal="right"/>
    </xf>
    <xf numFmtId="0" fontId="0" fillId="0" borderId="11" xfId="0" applyFont="1" applyBorder="1" applyAlignment="1">
      <alignment horizontal="center"/>
    </xf>
    <xf numFmtId="3" fontId="0" fillId="0" borderId="0" xfId="0" applyNumberFormat="1" applyFont="1"/>
    <xf numFmtId="3" fontId="0" fillId="0" borderId="0" xfId="0" applyNumberFormat="1" applyFont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27" fillId="24" borderId="11" xfId="0" applyFont="1" applyFill="1" applyBorder="1" applyAlignment="1">
      <alignment horizontal="right" vertical="center" wrapText="1"/>
    </xf>
    <xf numFmtId="0" fontId="0" fillId="0" borderId="36" xfId="0" applyFont="1" applyBorder="1" applyAlignment="1">
      <alignment horizontal="center"/>
    </xf>
    <xf numFmtId="0" fontId="27" fillId="31" borderId="18" xfId="0" applyFont="1" applyFill="1" applyBorder="1" applyAlignment="1">
      <alignment horizontal="left" vertical="center" wrapText="1"/>
    </xf>
    <xf numFmtId="0" fontId="27" fillId="31" borderId="14" xfId="0" applyFont="1" applyFill="1" applyBorder="1" applyAlignment="1">
      <alignment horizontal="left" vertical="center" wrapText="1"/>
    </xf>
    <xf numFmtId="0" fontId="27" fillId="31" borderId="14" xfId="0" applyFont="1" applyFill="1" applyBorder="1" applyAlignment="1">
      <alignment horizontal="left" vertical="center" wrapText="1"/>
    </xf>
    <xf numFmtId="3" fontId="27" fillId="31" borderId="11" xfId="0" applyNumberFormat="1" applyFont="1" applyFill="1" applyBorder="1" applyAlignment="1">
      <alignment horizontal="center" vertical="center" wrapText="1"/>
    </xf>
    <xf numFmtId="3" fontId="27" fillId="31" borderId="11" xfId="0" applyNumberFormat="1" applyFont="1" applyFill="1" applyBorder="1" applyAlignment="1">
      <alignment horizontal="right" vertical="center" wrapText="1"/>
    </xf>
    <xf numFmtId="0" fontId="27" fillId="31" borderId="14" xfId="0" applyFont="1" applyFill="1" applyBorder="1" applyAlignment="1">
      <alignment horizontal="right" vertical="center" wrapText="1"/>
    </xf>
    <xf numFmtId="3" fontId="0" fillId="0" borderId="0" xfId="0" applyNumberFormat="1" applyFont="1" applyAlignment="1">
      <alignment horizontal="center" vertical="center"/>
    </xf>
    <xf numFmtId="0" fontId="27" fillId="29" borderId="27" xfId="0" applyFont="1" applyFill="1" applyBorder="1" applyAlignment="1">
      <alignment horizontal="left" vertical="center" wrapText="1"/>
    </xf>
    <xf numFmtId="0" fontId="27" fillId="29" borderId="34" xfId="0" applyFont="1" applyFill="1" applyBorder="1" applyAlignment="1">
      <alignment horizontal="left" vertical="center" wrapText="1"/>
    </xf>
    <xf numFmtId="0" fontId="27" fillId="29" borderId="55" xfId="0" applyFont="1" applyFill="1" applyBorder="1" applyAlignment="1">
      <alignment horizontal="left" vertical="center" wrapText="1"/>
    </xf>
    <xf numFmtId="0" fontId="27" fillId="29" borderId="55" xfId="0" applyFont="1" applyFill="1" applyBorder="1" applyAlignment="1">
      <alignment horizontal="left" vertical="center" wrapText="1"/>
    </xf>
    <xf numFmtId="0" fontId="41" fillId="24" borderId="32" xfId="0" applyFont="1" applyFill="1" applyBorder="1" applyAlignment="1">
      <alignment horizontal="center" vertical="center" wrapText="1"/>
    </xf>
    <xf numFmtId="3" fontId="27" fillId="31" borderId="14" xfId="0" applyNumberFormat="1" applyFont="1" applyFill="1" applyBorder="1" applyAlignment="1">
      <alignment horizontal="right" vertical="center" wrapText="1"/>
    </xf>
    <xf numFmtId="0" fontId="0" fillId="0" borderId="11" xfId="0" applyFont="1" applyFill="1" applyBorder="1" applyAlignment="1">
      <alignment horizontal="center"/>
    </xf>
    <xf numFmtId="0" fontId="0" fillId="0" borderId="0" xfId="0" applyFont="1" applyFill="1"/>
    <xf numFmtId="0" fontId="27" fillId="0" borderId="1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41" fillId="0" borderId="11" xfId="0" applyFont="1" applyFill="1" applyBorder="1" applyAlignment="1">
      <alignment horizontal="left" vertical="center" wrapText="1"/>
    </xf>
    <xf numFmtId="3" fontId="41" fillId="0" borderId="11" xfId="0" applyNumberFormat="1" applyFont="1" applyFill="1" applyBorder="1" applyAlignment="1">
      <alignment horizontal="right" vertical="center" wrapText="1"/>
    </xf>
    <xf numFmtId="3" fontId="41" fillId="0" borderId="11" xfId="0" applyNumberFormat="1" applyFont="1" applyBorder="1" applyAlignment="1">
      <alignment horizontal="right" vertic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tabColor indexed="17"/>
  </sheetPr>
  <dimension ref="A1:O57"/>
  <sheetViews>
    <sheetView tabSelected="1" topLeftCell="A13" zoomScale="85" zoomScaleNormal="85" zoomScaleSheetLayoutView="70" workbookViewId="0">
      <selection activeCell="Q22" sqref="Q22"/>
    </sheetView>
  </sheetViews>
  <sheetFormatPr defaultRowHeight="12.75" x14ac:dyDescent="0.2"/>
  <cols>
    <col min="1" max="1" width="3.7109375" customWidth="1"/>
    <col min="2" max="2" width="3.140625" customWidth="1"/>
    <col min="3" max="3" width="52.7109375" customWidth="1"/>
    <col min="4" max="4" width="15.7109375" style="187" customWidth="1"/>
    <col min="5" max="5" width="13" style="187" customWidth="1"/>
    <col min="6" max="6" width="15.85546875" style="187" bestFit="1" customWidth="1"/>
    <col min="7" max="7" width="16.28515625" style="187" customWidth="1"/>
    <col min="8" max="8" width="14.42578125" style="159" customWidth="1"/>
    <col min="9" max="9" width="13" style="159" customWidth="1"/>
    <col min="10" max="10" width="13.5703125" style="159" bestFit="1" customWidth="1"/>
    <col min="11" max="11" width="12.7109375" style="159" customWidth="1"/>
    <col min="12" max="12" width="15.5703125" style="159" bestFit="1" customWidth="1"/>
    <col min="13" max="13" width="14.42578125" style="159" customWidth="1"/>
    <col min="14" max="14" width="15.7109375" style="159" bestFit="1" customWidth="1"/>
    <col min="15" max="15" width="14.42578125" style="159" customWidth="1"/>
  </cols>
  <sheetData>
    <row r="1" spans="1:15" ht="21.75" customHeight="1" x14ac:dyDescent="0.2">
      <c r="A1" s="372" t="s">
        <v>370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5" ht="28.5" customHeight="1" x14ac:dyDescent="0.2">
      <c r="A2" s="376" t="s">
        <v>121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</row>
    <row r="3" spans="1:15" ht="36.75" customHeight="1" x14ac:dyDescent="0.2">
      <c r="A3" s="377" t="s">
        <v>44</v>
      </c>
      <c r="B3" s="378"/>
      <c r="C3" s="379"/>
      <c r="D3" s="383" t="s">
        <v>239</v>
      </c>
      <c r="E3" s="384"/>
      <c r="F3" s="384"/>
      <c r="G3" s="384"/>
      <c r="H3" s="384"/>
      <c r="I3" s="384"/>
      <c r="J3" s="384"/>
      <c r="K3" s="384"/>
      <c r="L3" s="385"/>
      <c r="M3" s="173"/>
      <c r="N3" s="173"/>
      <c r="O3" s="173"/>
    </row>
    <row r="4" spans="1:15" ht="30" x14ac:dyDescent="0.2">
      <c r="A4" s="380"/>
      <c r="B4" s="381"/>
      <c r="C4" s="382"/>
      <c r="D4" s="173" t="s">
        <v>222</v>
      </c>
      <c r="E4" s="173" t="s">
        <v>366</v>
      </c>
      <c r="F4" s="173" t="s">
        <v>367</v>
      </c>
      <c r="G4" s="173" t="s">
        <v>368</v>
      </c>
      <c r="H4" s="173" t="s">
        <v>303</v>
      </c>
      <c r="I4" s="173" t="s">
        <v>366</v>
      </c>
      <c r="J4" s="173" t="s">
        <v>367</v>
      </c>
      <c r="K4" s="173" t="s">
        <v>368</v>
      </c>
      <c r="L4" s="173" t="s">
        <v>382</v>
      </c>
      <c r="M4" s="173" t="s">
        <v>366</v>
      </c>
      <c r="N4" s="173" t="s">
        <v>367</v>
      </c>
      <c r="O4" s="173" t="s">
        <v>368</v>
      </c>
    </row>
    <row r="5" spans="1:15" ht="17.25" customHeight="1" x14ac:dyDescent="0.2">
      <c r="A5" s="375" t="s">
        <v>45</v>
      </c>
      <c r="B5" s="169"/>
      <c r="C5" s="166" t="s">
        <v>247</v>
      </c>
      <c r="D5" s="167">
        <v>76478545</v>
      </c>
      <c r="E5" s="167">
        <f>F5-D5</f>
        <v>226691</v>
      </c>
      <c r="F5" s="167">
        <v>76705236</v>
      </c>
      <c r="G5" s="167">
        <v>39995537</v>
      </c>
      <c r="H5" s="167">
        <v>0</v>
      </c>
      <c r="I5" s="167"/>
      <c r="J5" s="167"/>
      <c r="K5" s="167"/>
      <c r="L5" s="341">
        <f>SUM(D5+H5)</f>
        <v>76478545</v>
      </c>
      <c r="M5" s="167">
        <f>E5+I5</f>
        <v>226691</v>
      </c>
      <c r="N5" s="167">
        <f>F5+J5</f>
        <v>76705236</v>
      </c>
      <c r="O5" s="167">
        <f>G5+K5</f>
        <v>39995537</v>
      </c>
    </row>
    <row r="6" spans="1:15" ht="25.5" x14ac:dyDescent="0.2">
      <c r="A6" s="375"/>
      <c r="B6" s="169"/>
      <c r="C6" s="166" t="s">
        <v>248</v>
      </c>
      <c r="D6" s="167">
        <v>144931549</v>
      </c>
      <c r="E6" s="167">
        <f t="shared" ref="E6:E10" si="0">F6-D6</f>
        <v>0</v>
      </c>
      <c r="F6" s="167">
        <v>144931549</v>
      </c>
      <c r="G6" s="167">
        <v>74392743</v>
      </c>
      <c r="H6" s="167">
        <v>0</v>
      </c>
      <c r="I6" s="167"/>
      <c r="J6" s="167"/>
      <c r="K6" s="167"/>
      <c r="L6" s="341">
        <f t="shared" ref="L6:L16" si="1">SUM(D6+H6)</f>
        <v>144931549</v>
      </c>
      <c r="M6" s="167">
        <f t="shared" ref="M6:M16" si="2">E6+I6</f>
        <v>0</v>
      </c>
      <c r="N6" s="167">
        <f t="shared" ref="N6:N16" si="3">F6+J6</f>
        <v>144931549</v>
      </c>
      <c r="O6" s="167">
        <f t="shared" ref="O6:O16" si="4">G6+K6</f>
        <v>74392743</v>
      </c>
    </row>
    <row r="7" spans="1:15" ht="25.5" x14ac:dyDescent="0.2">
      <c r="A7" s="375"/>
      <c r="B7" s="169"/>
      <c r="C7" s="166" t="s">
        <v>249</v>
      </c>
      <c r="D7" s="167">
        <v>50942903</v>
      </c>
      <c r="E7" s="167">
        <f t="shared" si="0"/>
        <v>872725</v>
      </c>
      <c r="F7" s="167">
        <v>51815628</v>
      </c>
      <c r="G7" s="167">
        <v>27524761</v>
      </c>
      <c r="H7" s="167">
        <v>0</v>
      </c>
      <c r="I7" s="167"/>
      <c r="J7" s="167"/>
      <c r="K7" s="167"/>
      <c r="L7" s="341">
        <f t="shared" si="1"/>
        <v>50942903</v>
      </c>
      <c r="M7" s="167">
        <f t="shared" si="2"/>
        <v>872725</v>
      </c>
      <c r="N7" s="167">
        <f t="shared" si="3"/>
        <v>51815628</v>
      </c>
      <c r="O7" s="167">
        <f t="shared" si="4"/>
        <v>27524761</v>
      </c>
    </row>
    <row r="8" spans="1:15" ht="14.25" customHeight="1" x14ac:dyDescent="0.2">
      <c r="A8" s="375"/>
      <c r="B8" s="169"/>
      <c r="C8" s="166" t="s">
        <v>250</v>
      </c>
      <c r="D8" s="167">
        <v>4028090</v>
      </c>
      <c r="E8" s="167">
        <f t="shared" si="0"/>
        <v>0</v>
      </c>
      <c r="F8" s="167">
        <v>4028090</v>
      </c>
      <c r="G8" s="167">
        <v>2094606</v>
      </c>
      <c r="H8" s="167">
        <v>0</v>
      </c>
      <c r="I8" s="167"/>
      <c r="J8" s="167"/>
      <c r="K8" s="167"/>
      <c r="L8" s="341">
        <f t="shared" si="1"/>
        <v>4028090</v>
      </c>
      <c r="M8" s="167">
        <f t="shared" si="2"/>
        <v>0</v>
      </c>
      <c r="N8" s="167">
        <f t="shared" si="3"/>
        <v>4028090</v>
      </c>
      <c r="O8" s="167">
        <f t="shared" si="4"/>
        <v>2094606</v>
      </c>
    </row>
    <row r="9" spans="1:15" ht="14.25" customHeight="1" x14ac:dyDescent="0.2">
      <c r="A9" s="375"/>
      <c r="B9" s="169"/>
      <c r="C9" s="339" t="s">
        <v>372</v>
      </c>
      <c r="D9" s="330">
        <v>0</v>
      </c>
      <c r="E9" s="330">
        <f t="shared" si="0"/>
        <v>11072000</v>
      </c>
      <c r="F9" s="330">
        <v>11072000</v>
      </c>
      <c r="G9" s="330">
        <v>11072000</v>
      </c>
      <c r="H9" s="167"/>
      <c r="I9" s="167"/>
      <c r="J9" s="167"/>
      <c r="K9" s="167"/>
      <c r="L9" s="341">
        <f t="shared" si="1"/>
        <v>0</v>
      </c>
      <c r="M9" s="167">
        <f t="shared" si="2"/>
        <v>11072000</v>
      </c>
      <c r="N9" s="167">
        <f t="shared" si="3"/>
        <v>11072000</v>
      </c>
      <c r="O9" s="167">
        <f t="shared" si="4"/>
        <v>11072000</v>
      </c>
    </row>
    <row r="10" spans="1:15" ht="14.25" customHeight="1" x14ac:dyDescent="0.2">
      <c r="A10" s="375"/>
      <c r="B10" s="169"/>
      <c r="C10" s="339" t="s">
        <v>373</v>
      </c>
      <c r="D10" s="330">
        <v>0</v>
      </c>
      <c r="E10" s="330">
        <f t="shared" si="0"/>
        <v>612850</v>
      </c>
      <c r="F10" s="330">
        <v>612850</v>
      </c>
      <c r="G10" s="330">
        <v>612850</v>
      </c>
      <c r="H10" s="167"/>
      <c r="I10" s="167"/>
      <c r="J10" s="167"/>
      <c r="K10" s="167"/>
      <c r="L10" s="341">
        <f t="shared" si="1"/>
        <v>0</v>
      </c>
      <c r="M10" s="167">
        <f t="shared" si="2"/>
        <v>612850</v>
      </c>
      <c r="N10" s="167">
        <f t="shared" si="3"/>
        <v>612850</v>
      </c>
      <c r="O10" s="167">
        <f t="shared" si="4"/>
        <v>612850</v>
      </c>
    </row>
    <row r="11" spans="1:15" ht="18" customHeight="1" x14ac:dyDescent="0.2">
      <c r="A11" s="375"/>
      <c r="B11" s="373" t="s">
        <v>251</v>
      </c>
      <c r="C11" s="373"/>
      <c r="D11" s="188">
        <f>SUM(D5:D10)</f>
        <v>276381087</v>
      </c>
      <c r="E11" s="188">
        <f>SUM(E5:E10)</f>
        <v>12784266</v>
      </c>
      <c r="F11" s="188">
        <f>SUM(F5:F10)</f>
        <v>289165353</v>
      </c>
      <c r="G11" s="188">
        <f>SUM(G5:G10)</f>
        <v>155692497</v>
      </c>
      <c r="H11" s="188">
        <f>SUM(H5:H8)</f>
        <v>0</v>
      </c>
      <c r="I11" s="188">
        <f t="shared" ref="I11:K11" si="5">SUM(I5:I8)</f>
        <v>0</v>
      </c>
      <c r="J11" s="188">
        <f t="shared" si="5"/>
        <v>0</v>
      </c>
      <c r="K11" s="188">
        <f t="shared" si="5"/>
        <v>0</v>
      </c>
      <c r="L11" s="342">
        <f>SUM(D11+H11)</f>
        <v>276381087</v>
      </c>
      <c r="M11" s="175">
        <f>E11+I11</f>
        <v>12784266</v>
      </c>
      <c r="N11" s="175">
        <f>F11+J11</f>
        <v>289165353</v>
      </c>
      <c r="O11" s="175">
        <f>G11+K11</f>
        <v>155692497</v>
      </c>
    </row>
    <row r="12" spans="1:15" x14ac:dyDescent="0.2">
      <c r="A12" s="375"/>
      <c r="B12" s="170"/>
      <c r="C12" s="208" t="s">
        <v>339</v>
      </c>
      <c r="D12" s="167">
        <v>2300000</v>
      </c>
      <c r="E12" s="167">
        <f>F12-D12</f>
        <v>0</v>
      </c>
      <c r="F12" s="167">
        <v>2300000</v>
      </c>
      <c r="G12" s="167">
        <v>2300000</v>
      </c>
      <c r="H12" s="167">
        <v>0</v>
      </c>
      <c r="I12" s="167">
        <f>J12-H12</f>
        <v>2230448</v>
      </c>
      <c r="J12" s="167">
        <v>2230448</v>
      </c>
      <c r="K12" s="167">
        <v>1973525</v>
      </c>
      <c r="L12" s="341">
        <f t="shared" si="1"/>
        <v>2300000</v>
      </c>
      <c r="M12" s="167">
        <f t="shared" si="2"/>
        <v>2230448</v>
      </c>
      <c r="N12" s="167">
        <f t="shared" si="3"/>
        <v>4530448</v>
      </c>
      <c r="O12" s="167">
        <f t="shared" si="4"/>
        <v>4273525</v>
      </c>
    </row>
    <row r="13" spans="1:15" x14ac:dyDescent="0.2">
      <c r="A13" s="375"/>
      <c r="B13" s="170"/>
      <c r="C13" s="208" t="s">
        <v>374</v>
      </c>
      <c r="D13" s="167"/>
      <c r="E13" s="167">
        <f>F13-D13</f>
        <v>56430</v>
      </c>
      <c r="F13" s="167">
        <v>56430</v>
      </c>
      <c r="G13" s="167">
        <v>112860</v>
      </c>
      <c r="H13" s="167"/>
      <c r="I13" s="167">
        <f t="shared" ref="I13:I16" si="6">J13-H13</f>
        <v>0</v>
      </c>
      <c r="J13" s="167"/>
      <c r="K13" s="167"/>
      <c r="L13" s="341">
        <f t="shared" si="1"/>
        <v>0</v>
      </c>
      <c r="M13" s="167">
        <f t="shared" si="2"/>
        <v>56430</v>
      </c>
      <c r="N13" s="167">
        <f t="shared" si="3"/>
        <v>56430</v>
      </c>
      <c r="O13" s="167">
        <f t="shared" si="4"/>
        <v>112860</v>
      </c>
    </row>
    <row r="14" spans="1:15" x14ac:dyDescent="0.2">
      <c r="A14" s="375"/>
      <c r="B14" s="170"/>
      <c r="C14" s="163" t="s">
        <v>265</v>
      </c>
      <c r="D14" s="167">
        <v>14526000</v>
      </c>
      <c r="E14" s="167">
        <f t="shared" ref="E14:E16" si="7">F14-D14</f>
        <v>0</v>
      </c>
      <c r="F14" s="167">
        <v>14526000</v>
      </c>
      <c r="G14" s="167">
        <v>7260100</v>
      </c>
      <c r="H14" s="167"/>
      <c r="I14" s="167">
        <f t="shared" si="6"/>
        <v>0</v>
      </c>
      <c r="J14" s="167"/>
      <c r="K14" s="167"/>
      <c r="L14" s="341">
        <f t="shared" si="1"/>
        <v>14526000</v>
      </c>
      <c r="M14" s="167">
        <f t="shared" si="2"/>
        <v>0</v>
      </c>
      <c r="N14" s="167">
        <f t="shared" si="3"/>
        <v>14526000</v>
      </c>
      <c r="O14" s="167">
        <f t="shared" si="4"/>
        <v>7260100</v>
      </c>
    </row>
    <row r="15" spans="1:15" x14ac:dyDescent="0.2">
      <c r="A15" s="375"/>
      <c r="B15" s="170"/>
      <c r="C15" s="163" t="s">
        <v>266</v>
      </c>
      <c r="D15" s="167">
        <v>4866514</v>
      </c>
      <c r="E15" s="167">
        <f t="shared" si="7"/>
        <v>0</v>
      </c>
      <c r="F15" s="167">
        <v>4866514</v>
      </c>
      <c r="G15" s="167">
        <v>2925794</v>
      </c>
      <c r="H15" s="167">
        <v>0</v>
      </c>
      <c r="I15" s="167">
        <f t="shared" si="6"/>
        <v>0</v>
      </c>
      <c r="J15" s="167"/>
      <c r="K15" s="167"/>
      <c r="L15" s="341">
        <f t="shared" si="1"/>
        <v>4866514</v>
      </c>
      <c r="M15" s="167">
        <f t="shared" si="2"/>
        <v>0</v>
      </c>
      <c r="N15" s="167">
        <f t="shared" si="3"/>
        <v>4866514</v>
      </c>
      <c r="O15" s="167">
        <f t="shared" si="4"/>
        <v>2925794</v>
      </c>
    </row>
    <row r="16" spans="1:15" x14ac:dyDescent="0.2">
      <c r="A16" s="375"/>
      <c r="B16" s="170"/>
      <c r="C16" s="163" t="s">
        <v>267</v>
      </c>
      <c r="D16" s="167">
        <v>16958507</v>
      </c>
      <c r="E16" s="167">
        <f t="shared" si="7"/>
        <v>0</v>
      </c>
      <c r="F16" s="167">
        <v>16958507</v>
      </c>
      <c r="G16" s="167">
        <v>8122127</v>
      </c>
      <c r="H16" s="167">
        <v>0</v>
      </c>
      <c r="I16" s="167">
        <f t="shared" si="6"/>
        <v>0</v>
      </c>
      <c r="J16" s="167"/>
      <c r="K16" s="167"/>
      <c r="L16" s="341">
        <f t="shared" si="1"/>
        <v>16958507</v>
      </c>
      <c r="M16" s="167">
        <f t="shared" si="2"/>
        <v>0</v>
      </c>
      <c r="N16" s="167">
        <f t="shared" si="3"/>
        <v>16958507</v>
      </c>
      <c r="O16" s="167">
        <f t="shared" si="4"/>
        <v>8122127</v>
      </c>
    </row>
    <row r="17" spans="1:15" s="160" customFormat="1" ht="32.25" customHeight="1" x14ac:dyDescent="0.2">
      <c r="A17" s="375"/>
      <c r="B17" s="373" t="s">
        <v>268</v>
      </c>
      <c r="C17" s="373"/>
      <c r="D17" s="188">
        <f>SUM(D12:D16)</f>
        <v>38651021</v>
      </c>
      <c r="E17" s="188">
        <f t="shared" ref="E17:G17" si="8">SUM(E12:E16)</f>
        <v>56430</v>
      </c>
      <c r="F17" s="188">
        <f t="shared" si="8"/>
        <v>38707451</v>
      </c>
      <c r="G17" s="188">
        <f t="shared" si="8"/>
        <v>20720881</v>
      </c>
      <c r="H17" s="188">
        <f>SUM(H12:H16)</f>
        <v>0</v>
      </c>
      <c r="I17" s="188">
        <f t="shared" ref="I17:K17" si="9">SUM(I12:I16)</f>
        <v>2230448</v>
      </c>
      <c r="J17" s="188">
        <f t="shared" si="9"/>
        <v>2230448</v>
      </c>
      <c r="K17" s="188">
        <f t="shared" si="9"/>
        <v>1973525</v>
      </c>
      <c r="L17" s="342">
        <f>SUM(D17+H17)</f>
        <v>38651021</v>
      </c>
      <c r="M17" s="175">
        <f t="shared" ref="M17:O18" si="10">E17+I17</f>
        <v>2286878</v>
      </c>
      <c r="N17" s="175">
        <f t="shared" si="10"/>
        <v>40937899</v>
      </c>
      <c r="O17" s="175">
        <f t="shared" si="10"/>
        <v>22694406</v>
      </c>
    </row>
    <row r="18" spans="1:15" s="164" customFormat="1" ht="22.5" customHeight="1" x14ac:dyDescent="0.2">
      <c r="A18" s="375"/>
      <c r="B18" s="374" t="s">
        <v>269</v>
      </c>
      <c r="C18" s="374"/>
      <c r="D18" s="189">
        <f>D11+D17</f>
        <v>315032108</v>
      </c>
      <c r="E18" s="189">
        <f>E11+E17</f>
        <v>12840696</v>
      </c>
      <c r="F18" s="189">
        <f>F11+F17</f>
        <v>327872804</v>
      </c>
      <c r="G18" s="189">
        <f>G11+G17</f>
        <v>176413378</v>
      </c>
      <c r="H18" s="189">
        <f>H11+H17</f>
        <v>0</v>
      </c>
      <c r="I18" s="189">
        <f t="shared" ref="I18:K18" si="11">I11+I17</f>
        <v>2230448</v>
      </c>
      <c r="J18" s="189">
        <f t="shared" si="11"/>
        <v>2230448</v>
      </c>
      <c r="K18" s="189">
        <f t="shared" si="11"/>
        <v>1973525</v>
      </c>
      <c r="L18" s="343">
        <f>D18+H18</f>
        <v>315032108</v>
      </c>
      <c r="M18" s="174">
        <f t="shared" si="10"/>
        <v>15071144</v>
      </c>
      <c r="N18" s="174">
        <f t="shared" si="10"/>
        <v>330103252</v>
      </c>
      <c r="O18" s="174">
        <f t="shared" si="10"/>
        <v>178386903</v>
      </c>
    </row>
    <row r="19" spans="1:15" x14ac:dyDescent="0.2">
      <c r="A19" s="335"/>
      <c r="B19" s="170"/>
      <c r="C19" s="208" t="s">
        <v>376</v>
      </c>
      <c r="D19" s="167">
        <v>0</v>
      </c>
      <c r="E19" s="167">
        <f t="shared" ref="E19" si="12">F19-D19</f>
        <v>49996154</v>
      </c>
      <c r="F19" s="167">
        <v>49996154</v>
      </c>
      <c r="G19" s="167">
        <v>49996154</v>
      </c>
      <c r="H19" s="167">
        <v>0</v>
      </c>
      <c r="I19" s="167">
        <f t="shared" ref="I19" si="13">J19-H19</f>
        <v>0</v>
      </c>
      <c r="J19" s="167"/>
      <c r="K19" s="167"/>
      <c r="L19" s="341">
        <f t="shared" ref="L19" si="14">SUM(D19+H19)</f>
        <v>0</v>
      </c>
      <c r="M19" s="167">
        <f t="shared" ref="M19:O19" si="15">E19+I19</f>
        <v>49996154</v>
      </c>
      <c r="N19" s="167">
        <f t="shared" si="15"/>
        <v>49996154</v>
      </c>
      <c r="O19" s="167">
        <f t="shared" si="15"/>
        <v>49996154</v>
      </c>
    </row>
    <row r="20" spans="1:15" s="160" customFormat="1" ht="18.75" customHeight="1" x14ac:dyDescent="0.2">
      <c r="A20" s="335"/>
      <c r="B20" s="386" t="s">
        <v>377</v>
      </c>
      <c r="C20" s="373"/>
      <c r="D20" s="188">
        <f>SUM(D19)</f>
        <v>0</v>
      </c>
      <c r="E20" s="188">
        <f t="shared" ref="E20:G20" si="16">SUM(E19)</f>
        <v>49996154</v>
      </c>
      <c r="F20" s="188">
        <f t="shared" si="16"/>
        <v>49996154</v>
      </c>
      <c r="G20" s="188">
        <f t="shared" si="16"/>
        <v>49996154</v>
      </c>
      <c r="H20" s="188">
        <f>SUM(H19)</f>
        <v>0</v>
      </c>
      <c r="I20" s="188">
        <f t="shared" ref="I20" si="17">SUM(I19)</f>
        <v>0</v>
      </c>
      <c r="J20" s="188">
        <f t="shared" ref="J20" si="18">SUM(J19)</f>
        <v>0</v>
      </c>
      <c r="K20" s="188">
        <f t="shared" ref="K20" si="19">SUM(K19)</f>
        <v>0</v>
      </c>
      <c r="L20" s="342">
        <f>SUM(D20+H20)</f>
        <v>0</v>
      </c>
      <c r="M20" s="175">
        <f t="shared" ref="M20:O22" si="20">E20+I20</f>
        <v>49996154</v>
      </c>
      <c r="N20" s="175">
        <f t="shared" si="20"/>
        <v>49996154</v>
      </c>
      <c r="O20" s="175">
        <f t="shared" si="20"/>
        <v>49996154</v>
      </c>
    </row>
    <row r="21" spans="1:15" s="164" customFormat="1" ht="22.5" customHeight="1" x14ac:dyDescent="0.2">
      <c r="A21" s="335"/>
      <c r="B21" s="387" t="s">
        <v>378</v>
      </c>
      <c r="C21" s="374"/>
      <c r="D21" s="189">
        <f>D20</f>
        <v>0</v>
      </c>
      <c r="E21" s="189">
        <f t="shared" ref="E21:G21" si="21">E20</f>
        <v>49996154</v>
      </c>
      <c r="F21" s="189">
        <f t="shared" si="21"/>
        <v>49996154</v>
      </c>
      <c r="G21" s="189">
        <f t="shared" si="21"/>
        <v>49996154</v>
      </c>
      <c r="H21" s="189">
        <f>H20</f>
        <v>0</v>
      </c>
      <c r="I21" s="189">
        <f t="shared" ref="I21:K21" si="22">I20</f>
        <v>0</v>
      </c>
      <c r="J21" s="189">
        <f t="shared" si="22"/>
        <v>0</v>
      </c>
      <c r="K21" s="189">
        <f t="shared" si="22"/>
        <v>0</v>
      </c>
      <c r="L21" s="343">
        <f>D21+H21</f>
        <v>0</v>
      </c>
      <c r="M21" s="174">
        <f t="shared" si="20"/>
        <v>49996154</v>
      </c>
      <c r="N21" s="174">
        <f t="shared" si="20"/>
        <v>49996154</v>
      </c>
      <c r="O21" s="174">
        <f t="shared" si="20"/>
        <v>49996154</v>
      </c>
    </row>
    <row r="22" spans="1:15" s="160" customFormat="1" x14ac:dyDescent="0.2">
      <c r="A22" s="375" t="s">
        <v>46</v>
      </c>
      <c r="B22" s="373" t="s">
        <v>252</v>
      </c>
      <c r="C22" s="373"/>
      <c r="D22" s="188">
        <v>6400000</v>
      </c>
      <c r="E22" s="188">
        <f>F22-D22</f>
        <v>0</v>
      </c>
      <c r="F22" s="188">
        <v>6400000</v>
      </c>
      <c r="G22" s="188">
        <v>2955953</v>
      </c>
      <c r="H22" s="188">
        <v>0</v>
      </c>
      <c r="I22" s="188"/>
      <c r="J22" s="188"/>
      <c r="K22" s="188"/>
      <c r="L22" s="342">
        <f>SUM(D22+H22)</f>
        <v>6400000</v>
      </c>
      <c r="M22" s="175">
        <f t="shared" si="20"/>
        <v>0</v>
      </c>
      <c r="N22" s="175">
        <f t="shared" si="20"/>
        <v>6400000</v>
      </c>
      <c r="O22" s="175">
        <f t="shared" si="20"/>
        <v>2955953</v>
      </c>
    </row>
    <row r="23" spans="1:15" x14ac:dyDescent="0.2">
      <c r="A23" s="375"/>
      <c r="B23" s="169" t="s">
        <v>45</v>
      </c>
      <c r="C23" s="166" t="s">
        <v>244</v>
      </c>
      <c r="D23" s="167">
        <v>150900000</v>
      </c>
      <c r="E23" s="167">
        <f>F23-D23</f>
        <v>0</v>
      </c>
      <c r="F23" s="167">
        <v>150900000</v>
      </c>
      <c r="G23" s="167">
        <v>65560685</v>
      </c>
      <c r="H23" s="167">
        <v>0</v>
      </c>
      <c r="I23" s="167"/>
      <c r="J23" s="167"/>
      <c r="K23" s="167"/>
      <c r="L23" s="341">
        <f t="shared" ref="L23:L25" si="23">SUM(D23+H23)</f>
        <v>150900000</v>
      </c>
      <c r="M23" s="167">
        <f t="shared" ref="M23:O25" si="24">E23+I23</f>
        <v>0</v>
      </c>
      <c r="N23" s="167">
        <f t="shared" si="24"/>
        <v>150900000</v>
      </c>
      <c r="O23" s="167">
        <f t="shared" si="24"/>
        <v>65560685</v>
      </c>
    </row>
    <row r="24" spans="1:15" x14ac:dyDescent="0.2">
      <c r="A24" s="375"/>
      <c r="B24" s="169" t="s">
        <v>46</v>
      </c>
      <c r="C24" s="166" t="s">
        <v>253</v>
      </c>
      <c r="D24" s="167">
        <v>12900000</v>
      </c>
      <c r="E24" s="167">
        <f t="shared" ref="E24:E25" si="25">F24-D24</f>
        <v>0</v>
      </c>
      <c r="F24" s="167">
        <v>12900000</v>
      </c>
      <c r="G24" s="167">
        <v>6486853</v>
      </c>
      <c r="H24" s="167">
        <v>0</v>
      </c>
      <c r="I24" s="167"/>
      <c r="J24" s="167"/>
      <c r="K24" s="167"/>
      <c r="L24" s="341">
        <f t="shared" si="23"/>
        <v>12900000</v>
      </c>
      <c r="M24" s="167">
        <f t="shared" si="24"/>
        <v>0</v>
      </c>
      <c r="N24" s="167">
        <f t="shared" si="24"/>
        <v>12900000</v>
      </c>
      <c r="O24" s="167">
        <f t="shared" si="24"/>
        <v>6486853</v>
      </c>
    </row>
    <row r="25" spans="1:15" x14ac:dyDescent="0.2">
      <c r="A25" s="375"/>
      <c r="B25" s="169" t="s">
        <v>47</v>
      </c>
      <c r="C25" s="166" t="s">
        <v>245</v>
      </c>
      <c r="D25" s="167">
        <v>600000</v>
      </c>
      <c r="E25" s="167">
        <f t="shared" si="25"/>
        <v>0</v>
      </c>
      <c r="F25" s="167">
        <v>600000</v>
      </c>
      <c r="G25" s="167">
        <v>186600</v>
      </c>
      <c r="H25" s="167">
        <v>0</v>
      </c>
      <c r="I25" s="167"/>
      <c r="J25" s="167"/>
      <c r="K25" s="167"/>
      <c r="L25" s="341">
        <f t="shared" si="23"/>
        <v>600000</v>
      </c>
      <c r="M25" s="167">
        <f t="shared" si="24"/>
        <v>0</v>
      </c>
      <c r="N25" s="167">
        <f t="shared" si="24"/>
        <v>600000</v>
      </c>
      <c r="O25" s="167">
        <f t="shared" si="24"/>
        <v>186600</v>
      </c>
    </row>
    <row r="26" spans="1:15" ht="17.25" customHeight="1" x14ac:dyDescent="0.2">
      <c r="A26" s="375"/>
      <c r="B26" s="373" t="s">
        <v>299</v>
      </c>
      <c r="C26" s="373"/>
      <c r="D26" s="188">
        <f>SUM(D23:D25)</f>
        <v>164400000</v>
      </c>
      <c r="E26" s="188">
        <f t="shared" ref="E26:G27" si="26">SUM(E23:E25)</f>
        <v>0</v>
      </c>
      <c r="F26" s="188">
        <f t="shared" si="26"/>
        <v>164400000</v>
      </c>
      <c r="G26" s="188">
        <f t="shared" si="26"/>
        <v>72234138</v>
      </c>
      <c r="H26" s="188">
        <f>SUM(H23:H25)</f>
        <v>0</v>
      </c>
      <c r="I26" s="188"/>
      <c r="J26" s="188"/>
      <c r="K26" s="188"/>
      <c r="L26" s="342">
        <f>SUM(D26+H26)</f>
        <v>164400000</v>
      </c>
      <c r="M26" s="175">
        <f t="shared" ref="M26:O28" si="27">E26+I26</f>
        <v>0</v>
      </c>
      <c r="N26" s="175">
        <f t="shared" si="27"/>
        <v>164400000</v>
      </c>
      <c r="O26" s="175">
        <f t="shared" si="27"/>
        <v>72234138</v>
      </c>
    </row>
    <row r="27" spans="1:15" s="160" customFormat="1" ht="18.75" customHeight="1" x14ac:dyDescent="0.2">
      <c r="A27" s="375"/>
      <c r="B27" s="373" t="s">
        <v>246</v>
      </c>
      <c r="C27" s="373"/>
      <c r="D27" s="188">
        <v>100000</v>
      </c>
      <c r="E27" s="188">
        <f t="shared" si="26"/>
        <v>0</v>
      </c>
      <c r="F27" s="188">
        <v>100000</v>
      </c>
      <c r="G27" s="188">
        <v>19390</v>
      </c>
      <c r="H27" s="188">
        <v>0</v>
      </c>
      <c r="I27" s="188"/>
      <c r="J27" s="188"/>
      <c r="K27" s="188"/>
      <c r="L27" s="342">
        <f>SUM(D27+H27)</f>
        <v>100000</v>
      </c>
      <c r="M27" s="175">
        <f t="shared" si="27"/>
        <v>0</v>
      </c>
      <c r="N27" s="175">
        <f t="shared" si="27"/>
        <v>100000</v>
      </c>
      <c r="O27" s="175">
        <f t="shared" si="27"/>
        <v>19390</v>
      </c>
    </row>
    <row r="28" spans="1:15" s="164" customFormat="1" ht="18" customHeight="1" x14ac:dyDescent="0.2">
      <c r="A28" s="375"/>
      <c r="B28" s="374" t="s">
        <v>254</v>
      </c>
      <c r="C28" s="374"/>
      <c r="D28" s="189">
        <f>D22+D26+D27</f>
        <v>170900000</v>
      </c>
      <c r="E28" s="189">
        <f t="shared" ref="E28:G28" si="28">E22+E26+E27</f>
        <v>0</v>
      </c>
      <c r="F28" s="189">
        <f t="shared" si="28"/>
        <v>170900000</v>
      </c>
      <c r="G28" s="189">
        <f t="shared" si="28"/>
        <v>75209481</v>
      </c>
      <c r="H28" s="189">
        <f>H22+H26+H27</f>
        <v>0</v>
      </c>
      <c r="I28" s="189"/>
      <c r="J28" s="189"/>
      <c r="K28" s="189"/>
      <c r="L28" s="343">
        <f>D28+H28</f>
        <v>170900000</v>
      </c>
      <c r="M28" s="174">
        <f t="shared" si="27"/>
        <v>0</v>
      </c>
      <c r="N28" s="174">
        <f t="shared" si="27"/>
        <v>170900000</v>
      </c>
      <c r="O28" s="174">
        <f t="shared" si="27"/>
        <v>75209481</v>
      </c>
    </row>
    <row r="29" spans="1:15" x14ac:dyDescent="0.2">
      <c r="A29" s="375" t="s">
        <v>47</v>
      </c>
      <c r="B29" s="171"/>
      <c r="C29" s="166" t="s">
        <v>256</v>
      </c>
      <c r="D29" s="167">
        <v>3827000</v>
      </c>
      <c r="E29" s="167">
        <f t="shared" ref="E29:E45" si="29">F29-D29</f>
        <v>0</v>
      </c>
      <c r="F29" s="167">
        <v>3827000</v>
      </c>
      <c r="G29" s="167">
        <v>1164723</v>
      </c>
      <c r="H29" s="167">
        <v>0</v>
      </c>
      <c r="I29" s="167"/>
      <c r="J29" s="167"/>
      <c r="K29" s="167"/>
      <c r="L29" s="341">
        <f t="shared" ref="L29:L45" si="30">SUM(D29+H29)</f>
        <v>3827000</v>
      </c>
      <c r="M29" s="167">
        <f t="shared" ref="M29:O45" si="31">E29+I29</f>
        <v>0</v>
      </c>
      <c r="N29" s="167">
        <f t="shared" si="31"/>
        <v>3827000</v>
      </c>
      <c r="O29" s="167">
        <f t="shared" si="31"/>
        <v>1164723</v>
      </c>
    </row>
    <row r="30" spans="1:15" x14ac:dyDescent="0.2">
      <c r="A30" s="375"/>
      <c r="B30" s="171"/>
      <c r="C30" s="166" t="s">
        <v>257</v>
      </c>
      <c r="D30" s="167">
        <v>112778</v>
      </c>
      <c r="E30" s="167">
        <f t="shared" si="29"/>
        <v>606700</v>
      </c>
      <c r="F30" s="167">
        <v>719478</v>
      </c>
      <c r="G30" s="167">
        <v>543357</v>
      </c>
      <c r="H30" s="167">
        <v>2000000</v>
      </c>
      <c r="I30" s="167">
        <f>J30-H30</f>
        <v>0</v>
      </c>
      <c r="J30" s="167">
        <v>2000000</v>
      </c>
      <c r="K30" s="167">
        <v>1005194</v>
      </c>
      <c r="L30" s="341">
        <f t="shared" si="30"/>
        <v>2112778</v>
      </c>
      <c r="M30" s="167">
        <f t="shared" si="31"/>
        <v>606700</v>
      </c>
      <c r="N30" s="167">
        <f t="shared" si="31"/>
        <v>2719478</v>
      </c>
      <c r="O30" s="167">
        <f t="shared" si="31"/>
        <v>1548551</v>
      </c>
    </row>
    <row r="31" spans="1:15" x14ac:dyDescent="0.2">
      <c r="A31" s="375"/>
      <c r="B31" s="171"/>
      <c r="C31" s="166" t="s">
        <v>258</v>
      </c>
      <c r="D31" s="167">
        <v>0</v>
      </c>
      <c r="E31" s="167">
        <f t="shared" si="29"/>
        <v>241671</v>
      </c>
      <c r="F31" s="167">
        <v>241671</v>
      </c>
      <c r="G31" s="167">
        <v>241671</v>
      </c>
      <c r="H31" s="167">
        <v>0</v>
      </c>
      <c r="I31" s="167">
        <f t="shared" ref="I31:I36" si="32">J31-H31</f>
        <v>0</v>
      </c>
      <c r="J31" s="167"/>
      <c r="K31" s="167"/>
      <c r="L31" s="341">
        <f t="shared" si="30"/>
        <v>0</v>
      </c>
      <c r="M31" s="167">
        <f t="shared" si="31"/>
        <v>241671</v>
      </c>
      <c r="N31" s="167">
        <f t="shared" si="31"/>
        <v>241671</v>
      </c>
      <c r="O31" s="167">
        <f t="shared" si="31"/>
        <v>241671</v>
      </c>
    </row>
    <row r="32" spans="1:15" x14ac:dyDescent="0.2">
      <c r="A32" s="375"/>
      <c r="B32" s="171"/>
      <c r="C32" s="166" t="s">
        <v>259</v>
      </c>
      <c r="D32" s="167">
        <v>6192650</v>
      </c>
      <c r="E32" s="167">
        <f t="shared" si="29"/>
        <v>0</v>
      </c>
      <c r="F32" s="167">
        <v>6192650</v>
      </c>
      <c r="G32" s="167">
        <v>4771964</v>
      </c>
      <c r="H32" s="167">
        <v>0</v>
      </c>
      <c r="I32" s="167">
        <f t="shared" si="32"/>
        <v>0</v>
      </c>
      <c r="J32" s="167"/>
      <c r="K32" s="167"/>
      <c r="L32" s="341">
        <f t="shared" si="30"/>
        <v>6192650</v>
      </c>
      <c r="M32" s="167">
        <f t="shared" si="31"/>
        <v>0</v>
      </c>
      <c r="N32" s="167">
        <f t="shared" si="31"/>
        <v>6192650</v>
      </c>
      <c r="O32" s="167">
        <f t="shared" si="31"/>
        <v>4771964</v>
      </c>
    </row>
    <row r="33" spans="1:15" x14ac:dyDescent="0.2">
      <c r="A33" s="375"/>
      <c r="B33" s="171"/>
      <c r="C33" s="166" t="s">
        <v>260</v>
      </c>
      <c r="D33" s="167">
        <v>1667426</v>
      </c>
      <c r="E33" s="167">
        <f t="shared" si="29"/>
        <v>0</v>
      </c>
      <c r="F33" s="167">
        <v>1667426</v>
      </c>
      <c r="G33" s="167">
        <v>1406464</v>
      </c>
      <c r="H33" s="167">
        <v>0</v>
      </c>
      <c r="I33" s="167">
        <f t="shared" si="32"/>
        <v>0</v>
      </c>
      <c r="J33" s="167"/>
      <c r="K33" s="167"/>
      <c r="L33" s="341">
        <f t="shared" si="30"/>
        <v>1667426</v>
      </c>
      <c r="M33" s="167">
        <f t="shared" si="31"/>
        <v>0</v>
      </c>
      <c r="N33" s="167">
        <f t="shared" si="31"/>
        <v>1667426</v>
      </c>
      <c r="O33" s="167">
        <f t="shared" si="31"/>
        <v>1406464</v>
      </c>
    </row>
    <row r="34" spans="1:15" x14ac:dyDescent="0.2">
      <c r="A34" s="375"/>
      <c r="B34" s="171"/>
      <c r="C34" s="166" t="s">
        <v>261</v>
      </c>
      <c r="D34" s="167">
        <v>3435000</v>
      </c>
      <c r="E34" s="167">
        <f t="shared" si="29"/>
        <v>202990</v>
      </c>
      <c r="F34" s="167">
        <v>3637990</v>
      </c>
      <c r="G34" s="167">
        <v>3637736</v>
      </c>
      <c r="H34" s="167">
        <v>0</v>
      </c>
      <c r="I34" s="167">
        <f t="shared" si="32"/>
        <v>0</v>
      </c>
      <c r="J34" s="167"/>
      <c r="K34" s="167"/>
      <c r="L34" s="341">
        <f t="shared" si="30"/>
        <v>3435000</v>
      </c>
      <c r="M34" s="167">
        <f t="shared" si="31"/>
        <v>202990</v>
      </c>
      <c r="N34" s="167">
        <f t="shared" si="31"/>
        <v>3637990</v>
      </c>
      <c r="O34" s="167">
        <f t="shared" si="31"/>
        <v>3637736</v>
      </c>
    </row>
    <row r="35" spans="1:15" s="161" customFormat="1" ht="13.5" customHeight="1" x14ac:dyDescent="0.2">
      <c r="A35" s="375"/>
      <c r="B35" s="172"/>
      <c r="C35" s="166" t="s">
        <v>240</v>
      </c>
      <c r="D35" s="167">
        <v>250000</v>
      </c>
      <c r="E35" s="167">
        <f t="shared" si="29"/>
        <v>2398832</v>
      </c>
      <c r="F35" s="167">
        <v>2648832</v>
      </c>
      <c r="G35" s="167">
        <v>2629131</v>
      </c>
      <c r="H35" s="167">
        <v>1200</v>
      </c>
      <c r="I35" s="167">
        <f t="shared" si="32"/>
        <v>-20</v>
      </c>
      <c r="J35" s="167">
        <v>1180</v>
      </c>
      <c r="K35" s="167">
        <v>919</v>
      </c>
      <c r="L35" s="341">
        <f t="shared" si="30"/>
        <v>251200</v>
      </c>
      <c r="M35" s="167">
        <f t="shared" si="31"/>
        <v>2398812</v>
      </c>
      <c r="N35" s="167">
        <f t="shared" si="31"/>
        <v>2650012</v>
      </c>
      <c r="O35" s="167">
        <f t="shared" si="31"/>
        <v>2630050</v>
      </c>
    </row>
    <row r="36" spans="1:15" x14ac:dyDescent="0.2">
      <c r="A36" s="375"/>
      <c r="B36" s="171"/>
      <c r="C36" s="166" t="s">
        <v>262</v>
      </c>
      <c r="D36" s="167">
        <v>1000</v>
      </c>
      <c r="E36" s="167">
        <f t="shared" si="29"/>
        <v>286725</v>
      </c>
      <c r="F36" s="167">
        <v>287725</v>
      </c>
      <c r="G36" s="167">
        <v>318589</v>
      </c>
      <c r="H36" s="167">
        <v>0</v>
      </c>
      <c r="I36" s="167">
        <f t="shared" si="32"/>
        <v>107</v>
      </c>
      <c r="J36" s="167">
        <v>107</v>
      </c>
      <c r="K36" s="167">
        <v>107</v>
      </c>
      <c r="L36" s="341">
        <f t="shared" si="30"/>
        <v>1000</v>
      </c>
      <c r="M36" s="167">
        <f t="shared" si="31"/>
        <v>286832</v>
      </c>
      <c r="N36" s="167">
        <f t="shared" si="31"/>
        <v>287832</v>
      </c>
      <c r="O36" s="167">
        <f t="shared" si="31"/>
        <v>318696</v>
      </c>
    </row>
    <row r="37" spans="1:15" x14ac:dyDescent="0.2">
      <c r="A37" s="375"/>
      <c r="B37" s="371" t="s">
        <v>255</v>
      </c>
      <c r="C37" s="371"/>
      <c r="D37" s="190">
        <f>SUM(D29:D36)</f>
        <v>15485854</v>
      </c>
      <c r="E37" s="190">
        <f t="shared" ref="E37:G37" si="33">SUM(E29:E36)</f>
        <v>3736918</v>
      </c>
      <c r="F37" s="190">
        <f t="shared" si="33"/>
        <v>19222772</v>
      </c>
      <c r="G37" s="190">
        <f t="shared" si="33"/>
        <v>14713635</v>
      </c>
      <c r="H37" s="190">
        <f>SUM(H29:H36)</f>
        <v>2001200</v>
      </c>
      <c r="I37" s="190">
        <f t="shared" ref="I37:K37" si="34">SUM(I29:I36)</f>
        <v>87</v>
      </c>
      <c r="J37" s="190">
        <f t="shared" si="34"/>
        <v>2001287</v>
      </c>
      <c r="K37" s="190">
        <f t="shared" si="34"/>
        <v>1006220</v>
      </c>
      <c r="L37" s="343">
        <f>D37+H37</f>
        <v>17487054</v>
      </c>
      <c r="M37" s="174">
        <f>E37+I37</f>
        <v>3737005</v>
      </c>
      <c r="N37" s="174">
        <f>F37+J37</f>
        <v>21224059</v>
      </c>
      <c r="O37" s="174">
        <f>G37+K37</f>
        <v>15719855</v>
      </c>
    </row>
    <row r="38" spans="1:15" ht="20.25" customHeight="1" x14ac:dyDescent="0.2">
      <c r="A38" s="375" t="s">
        <v>48</v>
      </c>
      <c r="B38" s="171"/>
      <c r="C38" s="166" t="s">
        <v>263</v>
      </c>
      <c r="D38" s="167">
        <v>2372880</v>
      </c>
      <c r="E38" s="167">
        <f t="shared" si="29"/>
        <v>0</v>
      </c>
      <c r="F38" s="167">
        <v>2372880</v>
      </c>
      <c r="G38" s="167">
        <v>1186440</v>
      </c>
      <c r="H38" s="167">
        <v>0</v>
      </c>
      <c r="I38" s="167"/>
      <c r="J38" s="167"/>
      <c r="K38" s="167"/>
      <c r="L38" s="341">
        <f t="shared" si="30"/>
        <v>2372880</v>
      </c>
      <c r="M38" s="167">
        <f t="shared" si="31"/>
        <v>0</v>
      </c>
      <c r="N38" s="167">
        <f t="shared" si="31"/>
        <v>2372880</v>
      </c>
      <c r="O38" s="167">
        <f t="shared" si="31"/>
        <v>1186440</v>
      </c>
    </row>
    <row r="39" spans="1:15" ht="20.25" customHeight="1" x14ac:dyDescent="0.2">
      <c r="A39" s="375"/>
      <c r="B39" s="171"/>
      <c r="C39" s="166" t="s">
        <v>381</v>
      </c>
      <c r="D39" s="167"/>
      <c r="E39" s="167"/>
      <c r="F39" s="167"/>
      <c r="G39" s="167"/>
      <c r="H39" s="167">
        <v>0</v>
      </c>
      <c r="I39" s="167">
        <f>J39-H39</f>
        <v>1797839</v>
      </c>
      <c r="J39" s="167">
        <v>1797839</v>
      </c>
      <c r="K39" s="167">
        <v>0</v>
      </c>
      <c r="L39" s="341">
        <f t="shared" si="30"/>
        <v>0</v>
      </c>
      <c r="M39" s="167">
        <f t="shared" si="31"/>
        <v>1797839</v>
      </c>
      <c r="N39" s="167">
        <f t="shared" si="31"/>
        <v>1797839</v>
      </c>
      <c r="O39" s="167">
        <f t="shared" si="31"/>
        <v>0</v>
      </c>
    </row>
    <row r="40" spans="1:15" ht="16.5" customHeight="1" x14ac:dyDescent="0.2">
      <c r="A40" s="375"/>
      <c r="B40" s="371" t="s">
        <v>241</v>
      </c>
      <c r="C40" s="371"/>
      <c r="D40" s="190">
        <f>SUM(D38+D39)</f>
        <v>2372880</v>
      </c>
      <c r="E40" s="190">
        <f t="shared" ref="E40:K40" si="35">SUM(E38+E39)</f>
        <v>0</v>
      </c>
      <c r="F40" s="190">
        <f t="shared" si="35"/>
        <v>2372880</v>
      </c>
      <c r="G40" s="190">
        <f t="shared" si="35"/>
        <v>1186440</v>
      </c>
      <c r="H40" s="190">
        <f>SUM(H38+H39)</f>
        <v>0</v>
      </c>
      <c r="I40" s="190">
        <f t="shared" si="35"/>
        <v>1797839</v>
      </c>
      <c r="J40" s="190">
        <f t="shared" si="35"/>
        <v>1797839</v>
      </c>
      <c r="K40" s="190">
        <f t="shared" si="35"/>
        <v>0</v>
      </c>
      <c r="L40" s="343">
        <f>D40+H40</f>
        <v>2372880</v>
      </c>
      <c r="M40" s="174">
        <f>E40+I40</f>
        <v>1797839</v>
      </c>
      <c r="N40" s="174">
        <f>F40+J40</f>
        <v>4170719</v>
      </c>
      <c r="O40" s="174">
        <f>G40+K40</f>
        <v>1186440</v>
      </c>
    </row>
    <row r="41" spans="1:15" x14ac:dyDescent="0.2">
      <c r="A41" s="335"/>
      <c r="B41" s="171"/>
      <c r="C41" s="166" t="s">
        <v>379</v>
      </c>
      <c r="D41" s="167">
        <v>0</v>
      </c>
      <c r="E41" s="167">
        <f t="shared" ref="E41" si="36">F41-D41</f>
        <v>16654</v>
      </c>
      <c r="F41" s="167">
        <v>16654</v>
      </c>
      <c r="G41" s="167">
        <v>16654</v>
      </c>
      <c r="H41" s="167">
        <v>0</v>
      </c>
      <c r="I41" s="167">
        <f t="shared" ref="I41" si="37">J41-H41</f>
        <v>0</v>
      </c>
      <c r="J41" s="167">
        <v>0</v>
      </c>
      <c r="K41" s="167">
        <v>0</v>
      </c>
      <c r="L41" s="341">
        <f t="shared" si="30"/>
        <v>0</v>
      </c>
      <c r="M41" s="167">
        <f t="shared" si="31"/>
        <v>16654</v>
      </c>
      <c r="N41" s="167">
        <f t="shared" si="31"/>
        <v>16654</v>
      </c>
      <c r="O41" s="167">
        <f t="shared" si="31"/>
        <v>16654</v>
      </c>
    </row>
    <row r="42" spans="1:15" x14ac:dyDescent="0.2">
      <c r="A42" s="335"/>
      <c r="B42" s="370" t="s">
        <v>380</v>
      </c>
      <c r="C42" s="371"/>
      <c r="D42" s="190">
        <f>D41</f>
        <v>0</v>
      </c>
      <c r="E42" s="190">
        <f t="shared" ref="E42:F42" si="38">E41</f>
        <v>16654</v>
      </c>
      <c r="F42" s="190">
        <f t="shared" si="38"/>
        <v>16654</v>
      </c>
      <c r="G42" s="190">
        <f>G41</f>
        <v>16654</v>
      </c>
      <c r="H42" s="190">
        <f t="shared" ref="H42:K42" si="39">H41</f>
        <v>0</v>
      </c>
      <c r="I42" s="190">
        <f t="shared" si="39"/>
        <v>0</v>
      </c>
      <c r="J42" s="190">
        <f t="shared" si="39"/>
        <v>0</v>
      </c>
      <c r="K42" s="190">
        <f t="shared" si="39"/>
        <v>0</v>
      </c>
      <c r="L42" s="343">
        <f>D42+H42</f>
        <v>0</v>
      </c>
      <c r="M42" s="174">
        <f>E42+I42</f>
        <v>16654</v>
      </c>
      <c r="N42" s="174">
        <f>F42+J42</f>
        <v>16654</v>
      </c>
      <c r="O42" s="174">
        <f>G42+K42</f>
        <v>16654</v>
      </c>
    </row>
    <row r="43" spans="1:15" s="332" customFormat="1" ht="25.5" x14ac:dyDescent="0.2">
      <c r="A43" s="336"/>
      <c r="B43" s="337"/>
      <c r="C43" s="339" t="s">
        <v>375</v>
      </c>
      <c r="D43" s="330">
        <v>0</v>
      </c>
      <c r="E43" s="330">
        <f>F43-D43</f>
        <v>1049525</v>
      </c>
      <c r="F43" s="330">
        <v>1049525</v>
      </c>
      <c r="G43" s="330">
        <v>1049525</v>
      </c>
      <c r="H43" s="338"/>
      <c r="I43" s="338"/>
      <c r="J43" s="338"/>
      <c r="K43" s="338"/>
      <c r="L43" s="341">
        <f t="shared" si="30"/>
        <v>0</v>
      </c>
      <c r="M43" s="167">
        <f t="shared" si="31"/>
        <v>1049525</v>
      </c>
      <c r="N43" s="167">
        <f t="shared" si="31"/>
        <v>1049525</v>
      </c>
      <c r="O43" s="167">
        <f t="shared" si="31"/>
        <v>1049525</v>
      </c>
    </row>
    <row r="44" spans="1:15" ht="25.5" x14ac:dyDescent="0.2">
      <c r="A44" s="375" t="s">
        <v>49</v>
      </c>
      <c r="B44" s="171"/>
      <c r="C44" s="166" t="s">
        <v>264</v>
      </c>
      <c r="D44" s="167">
        <v>701680</v>
      </c>
      <c r="E44" s="167">
        <f t="shared" si="29"/>
        <v>0</v>
      </c>
      <c r="F44" s="167">
        <v>701680</v>
      </c>
      <c r="G44" s="167">
        <v>272190</v>
      </c>
      <c r="H44" s="167">
        <v>0</v>
      </c>
      <c r="I44" s="167"/>
      <c r="J44" s="167"/>
      <c r="K44" s="167"/>
      <c r="L44" s="341">
        <f t="shared" si="30"/>
        <v>701680</v>
      </c>
      <c r="M44" s="167">
        <f t="shared" si="31"/>
        <v>0</v>
      </c>
      <c r="N44" s="167">
        <f t="shared" si="31"/>
        <v>701680</v>
      </c>
      <c r="O44" s="167">
        <f t="shared" si="31"/>
        <v>272190</v>
      </c>
    </row>
    <row r="45" spans="1:15" x14ac:dyDescent="0.2">
      <c r="A45" s="375"/>
      <c r="B45" s="171"/>
      <c r="C45" s="166" t="s">
        <v>340</v>
      </c>
      <c r="D45" s="167">
        <v>7280000</v>
      </c>
      <c r="E45" s="167">
        <f t="shared" si="29"/>
        <v>0</v>
      </c>
      <c r="F45" s="167">
        <v>7280000</v>
      </c>
      <c r="G45" s="167">
        <v>934892</v>
      </c>
      <c r="H45" s="167"/>
      <c r="I45" s="167"/>
      <c r="J45" s="167"/>
      <c r="K45" s="167"/>
      <c r="L45" s="341">
        <f t="shared" si="30"/>
        <v>7280000</v>
      </c>
      <c r="M45" s="167">
        <f t="shared" si="31"/>
        <v>0</v>
      </c>
      <c r="N45" s="167">
        <f t="shared" si="31"/>
        <v>7280000</v>
      </c>
      <c r="O45" s="167">
        <f t="shared" si="31"/>
        <v>934892</v>
      </c>
    </row>
    <row r="46" spans="1:15" x14ac:dyDescent="0.2">
      <c r="A46" s="375"/>
      <c r="B46" s="371" t="s">
        <v>242</v>
      </c>
      <c r="C46" s="371"/>
      <c r="D46" s="190">
        <f>SUM(D43:D45)</f>
        <v>7981680</v>
      </c>
      <c r="E46" s="190">
        <f>SUM(E43:E45)</f>
        <v>1049525</v>
      </c>
      <c r="F46" s="190">
        <f>SUM(F43:F45)</f>
        <v>9031205</v>
      </c>
      <c r="G46" s="190">
        <f>SUM(G43:G45)</f>
        <v>2256607</v>
      </c>
      <c r="H46" s="190">
        <f>SUM(H44)</f>
        <v>0</v>
      </c>
      <c r="I46" s="190">
        <f t="shared" ref="I46:K46" si="40">SUM(I44)</f>
        <v>0</v>
      </c>
      <c r="J46" s="190">
        <f t="shared" si="40"/>
        <v>0</v>
      </c>
      <c r="K46" s="190">
        <f t="shared" si="40"/>
        <v>0</v>
      </c>
      <c r="L46" s="343">
        <f>D46+H46</f>
        <v>7981680</v>
      </c>
      <c r="M46" s="174">
        <f>E46+I46</f>
        <v>1049525</v>
      </c>
      <c r="N46" s="343">
        <f>F46+J46</f>
        <v>9031205</v>
      </c>
      <c r="O46" s="174">
        <f>G46+K46</f>
        <v>2256607</v>
      </c>
    </row>
    <row r="47" spans="1:15" s="162" customFormat="1" ht="24.75" customHeight="1" x14ac:dyDescent="0.2">
      <c r="A47" s="389" t="s">
        <v>243</v>
      </c>
      <c r="B47" s="390"/>
      <c r="C47" s="391"/>
      <c r="D47" s="346">
        <f>D18+D28+D37+D40+D46+D42</f>
        <v>511772522</v>
      </c>
      <c r="E47" s="346">
        <f>E18+E28+E37+E40+E46+E21+E42</f>
        <v>67639947</v>
      </c>
      <c r="F47" s="346">
        <f>F18+F28+F37+F40+F46+F21+F42</f>
        <v>579412469</v>
      </c>
      <c r="G47" s="346">
        <f>G18+G28+G37+G40+G46+G21+G42</f>
        <v>319792349</v>
      </c>
      <c r="H47" s="346">
        <f>H18+H28+H37+H40+H46</f>
        <v>2001200</v>
      </c>
      <c r="I47" s="346">
        <f>I18+I28+I37+I40+I46+I42</f>
        <v>4028374</v>
      </c>
      <c r="J47" s="346">
        <f>J18+J28+J37+J40+J46</f>
        <v>6029574</v>
      </c>
      <c r="K47" s="346">
        <f>K18+K28+K37+K40+K46</f>
        <v>2979745</v>
      </c>
      <c r="L47" s="345">
        <f>L18+L28+L37+L40+L46+L42</f>
        <v>513773722</v>
      </c>
      <c r="M47" s="345">
        <f>M18+M28+M37+M40+M46+M21+M42</f>
        <v>71668321</v>
      </c>
      <c r="N47" s="345">
        <f>N18+N28+N37+N40+N46+N21+N42</f>
        <v>585442043</v>
      </c>
      <c r="O47" s="345">
        <f>O18+O28+O37+O40+O46+O42+O21</f>
        <v>322772094</v>
      </c>
    </row>
    <row r="48" spans="1:15" ht="24" customHeight="1" x14ac:dyDescent="0.2">
      <c r="A48" s="191"/>
      <c r="B48" s="171"/>
      <c r="C48" s="166" t="s">
        <v>307</v>
      </c>
      <c r="D48" s="167">
        <v>400000000</v>
      </c>
      <c r="E48" s="167">
        <f>F48-D48</f>
        <v>0</v>
      </c>
      <c r="F48" s="167">
        <v>400000000</v>
      </c>
      <c r="G48" s="167">
        <v>0</v>
      </c>
      <c r="H48" s="167">
        <v>0</v>
      </c>
      <c r="I48" s="167"/>
      <c r="J48" s="167"/>
      <c r="K48" s="167"/>
      <c r="L48" s="341">
        <f t="shared" ref="L48:L54" si="41">SUM(D48+H48)</f>
        <v>400000000</v>
      </c>
      <c r="M48" s="341">
        <f t="shared" ref="M48:O54" si="42">E48+I48</f>
        <v>0</v>
      </c>
      <c r="N48" s="341">
        <f t="shared" si="42"/>
        <v>400000000</v>
      </c>
      <c r="O48" s="167">
        <f t="shared" si="42"/>
        <v>0</v>
      </c>
    </row>
    <row r="49" spans="1:15" ht="18.75" customHeight="1" x14ac:dyDescent="0.2">
      <c r="A49" s="191"/>
      <c r="B49" s="370" t="s">
        <v>308</v>
      </c>
      <c r="C49" s="371"/>
      <c r="D49" s="190">
        <f>SUM(D48)</f>
        <v>400000000</v>
      </c>
      <c r="E49" s="190">
        <f t="shared" ref="E49:G49" si="43">SUM(E48)</f>
        <v>0</v>
      </c>
      <c r="F49" s="190">
        <f t="shared" si="43"/>
        <v>400000000</v>
      </c>
      <c r="G49" s="190">
        <f t="shared" si="43"/>
        <v>0</v>
      </c>
      <c r="H49" s="190">
        <f>SUM(H48)</f>
        <v>0</v>
      </c>
      <c r="I49" s="190"/>
      <c r="J49" s="190"/>
      <c r="K49" s="190"/>
      <c r="L49" s="344">
        <f>SUM(L48)</f>
        <v>400000000</v>
      </c>
      <c r="M49" s="344">
        <f t="shared" ref="M49:O49" si="44">SUM(M48)</f>
        <v>0</v>
      </c>
      <c r="N49" s="344">
        <f t="shared" si="44"/>
        <v>400000000</v>
      </c>
      <c r="O49" s="344">
        <f t="shared" si="44"/>
        <v>0</v>
      </c>
    </row>
    <row r="50" spans="1:15" ht="17.25" customHeight="1" x14ac:dyDescent="0.2">
      <c r="A50" s="375" t="s">
        <v>56</v>
      </c>
      <c r="B50" s="171"/>
      <c r="C50" s="166" t="s">
        <v>271</v>
      </c>
      <c r="D50" s="167">
        <v>131883904</v>
      </c>
      <c r="E50" s="167">
        <f>F50-D50</f>
        <v>0</v>
      </c>
      <c r="F50" s="167">
        <v>131883904</v>
      </c>
      <c r="G50" s="167">
        <v>56033599</v>
      </c>
      <c r="H50" s="167">
        <v>0</v>
      </c>
      <c r="I50" s="167"/>
      <c r="J50" s="167"/>
      <c r="K50" s="167"/>
      <c r="L50" s="341">
        <f t="shared" si="41"/>
        <v>131883904</v>
      </c>
      <c r="M50" s="341">
        <f t="shared" si="42"/>
        <v>0</v>
      </c>
      <c r="N50" s="341">
        <f t="shared" si="42"/>
        <v>131883904</v>
      </c>
      <c r="O50" s="341">
        <f t="shared" si="42"/>
        <v>56033599</v>
      </c>
    </row>
    <row r="51" spans="1:15" ht="18.75" customHeight="1" x14ac:dyDescent="0.2">
      <c r="A51" s="375"/>
      <c r="B51" s="371" t="s">
        <v>270</v>
      </c>
      <c r="C51" s="371"/>
      <c r="D51" s="190">
        <f>SUM(D50)</f>
        <v>131883904</v>
      </c>
      <c r="E51" s="190">
        <f t="shared" ref="E51:G51" si="45">SUM(E50)</f>
        <v>0</v>
      </c>
      <c r="F51" s="190">
        <f t="shared" si="45"/>
        <v>131883904</v>
      </c>
      <c r="G51" s="190">
        <f t="shared" si="45"/>
        <v>56033599</v>
      </c>
      <c r="H51" s="190">
        <f>SUM(H50)</f>
        <v>0</v>
      </c>
      <c r="I51" s="190"/>
      <c r="J51" s="190"/>
      <c r="K51" s="190"/>
      <c r="L51" s="344">
        <f>SUM(L50)</f>
        <v>131883904</v>
      </c>
      <c r="M51" s="344">
        <f t="shared" ref="M51:O51" si="46">SUM(M50)</f>
        <v>0</v>
      </c>
      <c r="N51" s="344">
        <f t="shared" si="46"/>
        <v>131883904</v>
      </c>
      <c r="O51" s="344">
        <f t="shared" si="46"/>
        <v>56033599</v>
      </c>
    </row>
    <row r="52" spans="1:15" ht="15" customHeight="1" x14ac:dyDescent="0.2">
      <c r="A52" s="375" t="s">
        <v>58</v>
      </c>
      <c r="B52" s="171"/>
      <c r="C52" s="166" t="s">
        <v>300</v>
      </c>
      <c r="D52" s="167">
        <v>47915639</v>
      </c>
      <c r="E52" s="167">
        <f>F52-D52</f>
        <v>0</v>
      </c>
      <c r="F52" s="167">
        <v>47915639</v>
      </c>
      <c r="G52" s="167">
        <v>47915639</v>
      </c>
      <c r="H52" s="167">
        <v>357716</v>
      </c>
      <c r="I52" s="167">
        <f t="shared" ref="I52:I54" si="47">J52-H52</f>
        <v>0</v>
      </c>
      <c r="J52" s="167">
        <v>357716</v>
      </c>
      <c r="K52" s="167">
        <v>357716</v>
      </c>
      <c r="L52" s="341">
        <f t="shared" si="41"/>
        <v>48273355</v>
      </c>
      <c r="M52" s="341">
        <f t="shared" si="42"/>
        <v>0</v>
      </c>
      <c r="N52" s="341">
        <f t="shared" si="42"/>
        <v>48273355</v>
      </c>
      <c r="O52" s="341">
        <f t="shared" si="42"/>
        <v>48273355</v>
      </c>
    </row>
    <row r="53" spans="1:15" ht="17.25" customHeight="1" x14ac:dyDescent="0.2">
      <c r="A53" s="375"/>
      <c r="B53" s="371" t="s">
        <v>272</v>
      </c>
      <c r="C53" s="371"/>
      <c r="D53" s="190">
        <f>SUM(D52)</f>
        <v>47915639</v>
      </c>
      <c r="E53" s="190">
        <f t="shared" ref="E53:G53" si="48">SUM(E52)</f>
        <v>0</v>
      </c>
      <c r="F53" s="190">
        <f t="shared" si="48"/>
        <v>47915639</v>
      </c>
      <c r="G53" s="190">
        <f t="shared" si="48"/>
        <v>47915639</v>
      </c>
      <c r="H53" s="190">
        <f>SUM(H52)</f>
        <v>357716</v>
      </c>
      <c r="I53" s="190">
        <f t="shared" ref="I53:K53" si="49">SUM(I52)</f>
        <v>0</v>
      </c>
      <c r="J53" s="190">
        <f t="shared" si="49"/>
        <v>357716</v>
      </c>
      <c r="K53" s="190">
        <f t="shared" si="49"/>
        <v>357716</v>
      </c>
      <c r="L53" s="344">
        <f>SUM(L52)</f>
        <v>48273355</v>
      </c>
      <c r="M53" s="344">
        <f t="shared" ref="M53:O53" si="50">SUM(M52)</f>
        <v>0</v>
      </c>
      <c r="N53" s="344">
        <f t="shared" si="50"/>
        <v>48273355</v>
      </c>
      <c r="O53" s="344">
        <f t="shared" si="50"/>
        <v>48273355</v>
      </c>
    </row>
    <row r="54" spans="1:15" ht="15.75" customHeight="1" x14ac:dyDescent="0.2">
      <c r="A54" s="368" t="s">
        <v>59</v>
      </c>
      <c r="B54" s="171"/>
      <c r="C54" s="166" t="s">
        <v>304</v>
      </c>
      <c r="D54" s="167">
        <v>0</v>
      </c>
      <c r="E54" s="167"/>
      <c r="F54" s="167"/>
      <c r="G54" s="167"/>
      <c r="H54" s="167">
        <v>102023405</v>
      </c>
      <c r="I54" s="167">
        <f t="shared" si="47"/>
        <v>997200</v>
      </c>
      <c r="J54" s="167">
        <v>103020605</v>
      </c>
      <c r="K54" s="167">
        <v>56747969</v>
      </c>
      <c r="L54" s="341">
        <f t="shared" si="41"/>
        <v>102023405</v>
      </c>
      <c r="M54" s="341">
        <f t="shared" si="42"/>
        <v>997200</v>
      </c>
      <c r="N54" s="341">
        <f t="shared" si="42"/>
        <v>103020605</v>
      </c>
      <c r="O54" s="341">
        <f t="shared" si="42"/>
        <v>56747969</v>
      </c>
    </row>
    <row r="55" spans="1:15" ht="18" customHeight="1" x14ac:dyDescent="0.2">
      <c r="A55" s="369"/>
      <c r="B55" s="371" t="s">
        <v>305</v>
      </c>
      <c r="C55" s="371"/>
      <c r="D55" s="190">
        <f>SUM(D54)</f>
        <v>0</v>
      </c>
      <c r="E55" s="190">
        <f t="shared" ref="E55:G55" si="51">SUM(E54)</f>
        <v>0</v>
      </c>
      <c r="F55" s="190">
        <f t="shared" si="51"/>
        <v>0</v>
      </c>
      <c r="G55" s="190">
        <f t="shared" si="51"/>
        <v>0</v>
      </c>
      <c r="H55" s="340">
        <f>SUM(H54+H53)</f>
        <v>102381121</v>
      </c>
      <c r="I55" s="340">
        <f t="shared" ref="I55:K55" si="52">SUM(I54+I53)</f>
        <v>997200</v>
      </c>
      <c r="J55" s="340">
        <f t="shared" si="52"/>
        <v>103378321</v>
      </c>
      <c r="K55" s="340">
        <f t="shared" si="52"/>
        <v>57105685</v>
      </c>
      <c r="L55" s="344">
        <f>SUM(L54)</f>
        <v>102023405</v>
      </c>
      <c r="M55" s="344">
        <f t="shared" ref="M55:O55" si="53">SUM(M54)</f>
        <v>997200</v>
      </c>
      <c r="N55" s="344">
        <f t="shared" si="53"/>
        <v>103020605</v>
      </c>
      <c r="O55" s="344">
        <f t="shared" si="53"/>
        <v>56747969</v>
      </c>
    </row>
    <row r="56" spans="1:15" s="164" customFormat="1" ht="21.75" customHeight="1" x14ac:dyDescent="0.2">
      <c r="A56" s="392" t="s">
        <v>273</v>
      </c>
      <c r="B56" s="392"/>
      <c r="C56" s="392"/>
      <c r="D56" s="345">
        <f>D51+D53+D55+D49</f>
        <v>579799543</v>
      </c>
      <c r="E56" s="345">
        <f t="shared" ref="E56:G56" si="54">E51+E53+E55+E49</f>
        <v>0</v>
      </c>
      <c r="F56" s="345">
        <f t="shared" si="54"/>
        <v>579799543</v>
      </c>
      <c r="G56" s="345">
        <f t="shared" si="54"/>
        <v>103949238</v>
      </c>
      <c r="H56" s="345">
        <f>H55</f>
        <v>102381121</v>
      </c>
      <c r="I56" s="345">
        <f t="shared" ref="I56:K56" si="55">I55</f>
        <v>997200</v>
      </c>
      <c r="J56" s="345">
        <f t="shared" si="55"/>
        <v>103378321</v>
      </c>
      <c r="K56" s="345">
        <f t="shared" si="55"/>
        <v>57105685</v>
      </c>
      <c r="L56" s="345">
        <f t="shared" ref="L56:O56" si="56">L51+L53+L55+L49</f>
        <v>682180664</v>
      </c>
      <c r="M56" s="345">
        <f t="shared" si="56"/>
        <v>997200</v>
      </c>
      <c r="N56" s="345">
        <f t="shared" si="56"/>
        <v>683177864</v>
      </c>
      <c r="O56" s="345">
        <f t="shared" si="56"/>
        <v>161054923</v>
      </c>
    </row>
    <row r="57" spans="1:15" s="176" customFormat="1" ht="22.5" customHeight="1" x14ac:dyDescent="0.25">
      <c r="A57" s="388" t="s">
        <v>274</v>
      </c>
      <c r="B57" s="388"/>
      <c r="C57" s="388"/>
      <c r="D57" s="347">
        <f>D47+D56</f>
        <v>1091572065</v>
      </c>
      <c r="E57" s="347">
        <f t="shared" ref="E57:G57" si="57">E47+E56</f>
        <v>67639947</v>
      </c>
      <c r="F57" s="347">
        <f t="shared" si="57"/>
        <v>1159212012</v>
      </c>
      <c r="G57" s="347">
        <f t="shared" si="57"/>
        <v>423741587</v>
      </c>
      <c r="H57" s="347">
        <f t="shared" ref="H57:O57" si="58">H47+H56</f>
        <v>104382321</v>
      </c>
      <c r="I57" s="347">
        <f t="shared" si="58"/>
        <v>5025574</v>
      </c>
      <c r="J57" s="347">
        <f t="shared" si="58"/>
        <v>109407895</v>
      </c>
      <c r="K57" s="347">
        <f t="shared" si="58"/>
        <v>60085430</v>
      </c>
      <c r="L57" s="348">
        <f t="shared" si="58"/>
        <v>1195954386</v>
      </c>
      <c r="M57" s="348">
        <f t="shared" si="58"/>
        <v>72665521</v>
      </c>
      <c r="N57" s="348">
        <f t="shared" si="58"/>
        <v>1268619907</v>
      </c>
      <c r="O57" s="348">
        <f t="shared" si="58"/>
        <v>483827017</v>
      </c>
    </row>
  </sheetData>
  <mergeCells count="32">
    <mergeCell ref="A1:O1"/>
    <mergeCell ref="A2:O2"/>
    <mergeCell ref="B21:C21"/>
    <mergeCell ref="B42:C42"/>
    <mergeCell ref="A57:C57"/>
    <mergeCell ref="A50:A51"/>
    <mergeCell ref="A52:A53"/>
    <mergeCell ref="A47:C47"/>
    <mergeCell ref="B28:C28"/>
    <mergeCell ref="B46:C46"/>
    <mergeCell ref="A44:A46"/>
    <mergeCell ref="A38:A40"/>
    <mergeCell ref="A56:C56"/>
    <mergeCell ref="B51:C51"/>
    <mergeCell ref="B53:C53"/>
    <mergeCell ref="A22:A28"/>
    <mergeCell ref="B40:C40"/>
    <mergeCell ref="B55:C55"/>
    <mergeCell ref="A54:A55"/>
    <mergeCell ref="B49:C49"/>
    <mergeCell ref="B27:C27"/>
    <mergeCell ref="B18:C18"/>
    <mergeCell ref="B37:C37"/>
    <mergeCell ref="A29:A37"/>
    <mergeCell ref="B22:C22"/>
    <mergeCell ref="B26:C26"/>
    <mergeCell ref="B11:C11"/>
    <mergeCell ref="B17:C17"/>
    <mergeCell ref="A5:A18"/>
    <mergeCell ref="A3:C4"/>
    <mergeCell ref="D3:L3"/>
    <mergeCell ref="B20:C20"/>
  </mergeCells>
  <phoneticPr fontId="0" type="noConversion"/>
  <printOptions horizontalCentered="1"/>
  <pageMargins left="3.937007874015748E-2" right="3.937007874015748E-2" top="0.35433070866141736" bottom="0.35433070866141736" header="0.31496062992125984" footer="0.31496062992125984"/>
  <pageSetup paperSize="9" scale="50" firstPageNumber="39" orientation="landscape" r:id="rId1"/>
  <headerFooter alignWithMargins="0">
    <oddHeader>&amp;R&amp;"Times New Roman,Normál"1. számú melléklet</oddHeader>
    <oddFooter>&amp;C&amp;"Times New Roman,Normál"&amp;P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4"/>
  <sheetViews>
    <sheetView workbookViewId="0">
      <selection activeCell="B17" sqref="B17"/>
    </sheetView>
  </sheetViews>
  <sheetFormatPr defaultRowHeight="15" customHeight="1" x14ac:dyDescent="0.2"/>
  <cols>
    <col min="1" max="1" width="6.5703125" style="70" customWidth="1"/>
    <col min="2" max="2" width="39.28515625" style="2" customWidth="1"/>
    <col min="3" max="3" width="17.85546875" style="2" customWidth="1"/>
    <col min="4" max="4" width="16.28515625" style="2" customWidth="1"/>
    <col min="5" max="5" width="12.28515625" style="2" customWidth="1"/>
    <col min="6" max="6" width="16.5703125" style="72" customWidth="1"/>
    <col min="7" max="7" width="12" style="2" bestFit="1" customWidth="1"/>
    <col min="8" max="8" width="9.140625" style="2"/>
    <col min="9" max="9" width="14.140625" style="2" customWidth="1"/>
    <col min="10" max="10" width="9.5703125" style="2" bestFit="1" customWidth="1"/>
    <col min="11" max="16384" width="9.140625" style="2"/>
  </cols>
  <sheetData>
    <row r="1" spans="1:6" ht="15" customHeight="1" x14ac:dyDescent="0.2">
      <c r="A1" s="372" t="s">
        <v>371</v>
      </c>
      <c r="B1" s="372"/>
      <c r="C1" s="372"/>
      <c r="D1" s="372"/>
      <c r="E1" s="372"/>
      <c r="F1" s="13"/>
    </row>
    <row r="2" spans="1:6" ht="15" customHeight="1" x14ac:dyDescent="0.2">
      <c r="F2" s="71"/>
    </row>
    <row r="3" spans="1:6" ht="15" customHeight="1" thickBot="1" x14ac:dyDescent="0.25"/>
    <row r="4" spans="1:6" ht="42" customHeight="1" thickBot="1" x14ac:dyDescent="0.25">
      <c r="A4" s="467" t="s">
        <v>104</v>
      </c>
      <c r="B4" s="469" t="s">
        <v>105</v>
      </c>
      <c r="C4" s="471" t="s">
        <v>341</v>
      </c>
      <c r="D4" s="472"/>
      <c r="E4" s="73" t="s">
        <v>106</v>
      </c>
    </row>
    <row r="5" spans="1:6" ht="25.5" customHeight="1" thickBot="1" x14ac:dyDescent="0.25">
      <c r="A5" s="468"/>
      <c r="B5" s="470"/>
      <c r="C5" s="74" t="s">
        <v>107</v>
      </c>
      <c r="D5" s="158" t="s">
        <v>108</v>
      </c>
      <c r="E5" s="75"/>
    </row>
    <row r="6" spans="1:6" ht="15" customHeight="1" x14ac:dyDescent="0.2">
      <c r="A6" s="76" t="s">
        <v>45</v>
      </c>
      <c r="B6" s="77" t="s">
        <v>109</v>
      </c>
      <c r="C6" s="78">
        <v>1</v>
      </c>
      <c r="D6" s="79"/>
      <c r="E6" s="79"/>
    </row>
    <row r="7" spans="1:6" ht="15" customHeight="1" x14ac:dyDescent="0.2">
      <c r="A7" s="76" t="s">
        <v>46</v>
      </c>
      <c r="B7" s="80" t="s">
        <v>110</v>
      </c>
      <c r="C7" s="81">
        <v>1</v>
      </c>
      <c r="D7" s="82"/>
      <c r="E7" s="79"/>
    </row>
    <row r="8" spans="1:6" ht="15" customHeight="1" x14ac:dyDescent="0.2">
      <c r="A8" s="76" t="s">
        <v>47</v>
      </c>
      <c r="B8" s="83" t="s">
        <v>111</v>
      </c>
      <c r="C8" s="81">
        <v>2</v>
      </c>
      <c r="D8" s="82"/>
      <c r="E8" s="79"/>
    </row>
    <row r="9" spans="1:6" ht="15" customHeight="1" x14ac:dyDescent="0.2">
      <c r="A9" s="76" t="s">
        <v>48</v>
      </c>
      <c r="B9" s="80" t="s">
        <v>112</v>
      </c>
      <c r="C9" s="81">
        <v>1</v>
      </c>
      <c r="D9" s="82"/>
      <c r="E9" s="79"/>
    </row>
    <row r="10" spans="1:6" ht="15" customHeight="1" x14ac:dyDescent="0.2">
      <c r="A10" s="76" t="s">
        <v>49</v>
      </c>
      <c r="B10" s="80" t="s">
        <v>113</v>
      </c>
      <c r="C10" s="81">
        <v>2</v>
      </c>
      <c r="D10" s="82"/>
      <c r="E10" s="79"/>
    </row>
    <row r="11" spans="1:6" ht="15" customHeight="1" x14ac:dyDescent="0.2">
      <c r="A11" s="76" t="s">
        <v>56</v>
      </c>
      <c r="B11" s="83" t="s">
        <v>114</v>
      </c>
      <c r="C11" s="81">
        <v>1</v>
      </c>
      <c r="D11" s="82"/>
      <c r="E11" s="79"/>
    </row>
    <row r="12" spans="1:6" ht="15" customHeight="1" x14ac:dyDescent="0.2">
      <c r="A12" s="76" t="s">
        <v>58</v>
      </c>
      <c r="B12" s="83" t="s">
        <v>115</v>
      </c>
      <c r="C12" s="81">
        <v>7</v>
      </c>
      <c r="D12" s="82"/>
      <c r="E12" s="79"/>
    </row>
    <row r="13" spans="1:6" ht="15" customHeight="1" x14ac:dyDescent="0.2">
      <c r="A13" s="76" t="s">
        <v>59</v>
      </c>
      <c r="B13" s="13" t="s">
        <v>223</v>
      </c>
      <c r="C13" s="81">
        <v>0</v>
      </c>
      <c r="D13" s="82"/>
      <c r="E13" s="79"/>
    </row>
    <row r="14" spans="1:6" ht="15" customHeight="1" x14ac:dyDescent="0.2">
      <c r="A14" s="76" t="s">
        <v>60</v>
      </c>
      <c r="B14" s="83" t="s">
        <v>116</v>
      </c>
      <c r="C14" s="84"/>
      <c r="D14" s="85">
        <v>16</v>
      </c>
      <c r="E14" s="79"/>
    </row>
    <row r="15" spans="1:6" ht="15" customHeight="1" x14ac:dyDescent="0.2">
      <c r="A15" s="76" t="s">
        <v>61</v>
      </c>
      <c r="B15" s="80" t="s">
        <v>117</v>
      </c>
      <c r="C15" s="84"/>
      <c r="D15" s="85">
        <v>1</v>
      </c>
      <c r="E15" s="79"/>
    </row>
    <row r="16" spans="1:6" ht="15" customHeight="1" x14ac:dyDescent="0.2">
      <c r="A16" s="76" t="s">
        <v>29</v>
      </c>
      <c r="B16" s="80" t="s">
        <v>224</v>
      </c>
      <c r="C16" s="81">
        <v>1</v>
      </c>
      <c r="D16" s="85"/>
      <c r="E16" s="79"/>
    </row>
    <row r="17" spans="1:6" ht="15" customHeight="1" x14ac:dyDescent="0.2">
      <c r="A17" s="76" t="s">
        <v>29</v>
      </c>
      <c r="B17" s="80"/>
      <c r="C17" s="81"/>
      <c r="D17" s="82"/>
      <c r="E17" s="79"/>
    </row>
    <row r="18" spans="1:6" ht="15" customHeight="1" x14ac:dyDescent="0.2">
      <c r="A18" s="76" t="s">
        <v>30</v>
      </c>
      <c r="B18" s="83"/>
      <c r="C18" s="81"/>
      <c r="D18" s="82"/>
      <c r="E18" s="79"/>
    </row>
    <row r="19" spans="1:6" ht="15" customHeight="1" x14ac:dyDescent="0.2">
      <c r="A19" s="76" t="s">
        <v>36</v>
      </c>
      <c r="B19" s="86"/>
      <c r="C19" s="81"/>
      <c r="D19" s="82"/>
      <c r="E19" s="79"/>
    </row>
    <row r="20" spans="1:6" ht="15" customHeight="1" x14ac:dyDescent="0.2">
      <c r="A20" s="76"/>
      <c r="B20" s="86"/>
      <c r="C20" s="81"/>
      <c r="D20" s="82"/>
      <c r="E20" s="79"/>
    </row>
    <row r="21" spans="1:6" ht="15" customHeight="1" x14ac:dyDescent="0.2">
      <c r="A21" s="76" t="s">
        <v>31</v>
      </c>
      <c r="B21" s="83"/>
      <c r="C21" s="81"/>
      <c r="D21" s="82"/>
      <c r="E21" s="79"/>
    </row>
    <row r="22" spans="1:6" ht="15" customHeight="1" thickBot="1" x14ac:dyDescent="0.25">
      <c r="A22" s="76" t="s">
        <v>64</v>
      </c>
      <c r="B22" s="77"/>
      <c r="C22" s="87"/>
      <c r="D22" s="79"/>
      <c r="E22" s="88"/>
    </row>
    <row r="23" spans="1:6" s="13" customFormat="1" ht="18" customHeight="1" thickBot="1" x14ac:dyDescent="0.25">
      <c r="A23" s="465" t="s">
        <v>118</v>
      </c>
      <c r="B23" s="466"/>
      <c r="C23" s="89">
        <f>SUM(C6:C22)</f>
        <v>16</v>
      </c>
      <c r="D23" s="90">
        <f>SUM(D6:D22)</f>
        <v>17</v>
      </c>
      <c r="E23" s="91">
        <f>SUM(C23:D23)</f>
        <v>33</v>
      </c>
    </row>
    <row r="28" spans="1:6" ht="15" customHeight="1" x14ac:dyDescent="0.2">
      <c r="B28" s="13"/>
      <c r="C28" s="13"/>
      <c r="D28" s="13"/>
      <c r="E28" s="13"/>
      <c r="F28" s="92"/>
    </row>
    <row r="29" spans="1:6" ht="15" customHeight="1" x14ac:dyDescent="0.2">
      <c r="B29" s="13"/>
      <c r="C29" s="13"/>
      <c r="D29" s="13"/>
      <c r="E29" s="13"/>
      <c r="F29" s="92"/>
    </row>
    <row r="30" spans="1:6" ht="15" customHeight="1" x14ac:dyDescent="0.2">
      <c r="B30" s="13"/>
      <c r="C30" s="13"/>
      <c r="D30" s="13"/>
      <c r="E30" s="13"/>
      <c r="F30" s="92"/>
    </row>
    <row r="31" spans="1:6" ht="15" customHeight="1" x14ac:dyDescent="0.2">
      <c r="B31" s="13"/>
      <c r="C31" s="13"/>
      <c r="D31" s="13"/>
      <c r="E31" s="13"/>
      <c r="F31" s="92"/>
    </row>
    <row r="36" spans="2:6" ht="15" customHeight="1" x14ac:dyDescent="0.2">
      <c r="B36" s="13"/>
      <c r="C36" s="13"/>
      <c r="D36" s="13"/>
      <c r="E36" s="13"/>
      <c r="F36" s="92"/>
    </row>
    <row r="42" spans="2:6" ht="15" customHeight="1" x14ac:dyDescent="0.2">
      <c r="B42" s="13"/>
      <c r="C42" s="13"/>
      <c r="D42" s="13"/>
      <c r="E42" s="13"/>
      <c r="F42" s="92"/>
    </row>
    <row r="44" spans="2:6" ht="15" customHeight="1" x14ac:dyDescent="0.2">
      <c r="B44" s="13"/>
      <c r="C44" s="13"/>
      <c r="D44" s="13"/>
      <c r="E44" s="13"/>
      <c r="F44" s="92"/>
    </row>
  </sheetData>
  <mergeCells count="5">
    <mergeCell ref="A23:B23"/>
    <mergeCell ref="A1:E1"/>
    <mergeCell ref="A4:A5"/>
    <mergeCell ref="B4:B5"/>
    <mergeCell ref="C4:D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Header>&amp;R8.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7"/>
  </sheetPr>
  <dimension ref="A1:G17"/>
  <sheetViews>
    <sheetView workbookViewId="0">
      <selection activeCell="F30" sqref="F30"/>
    </sheetView>
  </sheetViews>
  <sheetFormatPr defaultRowHeight="12.75" x14ac:dyDescent="0.2"/>
  <cols>
    <col min="1" max="1" width="4.85546875" customWidth="1"/>
    <col min="3" max="3" width="36.140625" customWidth="1"/>
    <col min="4" max="4" width="23.42578125" bestFit="1" customWidth="1"/>
    <col min="5" max="5" width="14.140625" customWidth="1"/>
    <col min="6" max="6" width="16.5703125" customWidth="1"/>
    <col min="7" max="7" width="23.42578125" customWidth="1"/>
  </cols>
  <sheetData>
    <row r="1" spans="1:7" x14ac:dyDescent="0.2">
      <c r="A1" s="372" t="s">
        <v>371</v>
      </c>
      <c r="B1" s="372"/>
      <c r="C1" s="372"/>
      <c r="D1" s="372"/>
      <c r="E1" s="256"/>
      <c r="F1" s="256"/>
      <c r="G1" s="256"/>
    </row>
    <row r="2" spans="1:7" x14ac:dyDescent="0.2">
      <c r="A2" s="3"/>
      <c r="B2" s="3"/>
      <c r="C2" s="3"/>
      <c r="D2" s="145"/>
      <c r="E2" s="145"/>
      <c r="F2" s="145"/>
      <c r="G2" s="145"/>
    </row>
    <row r="3" spans="1:7" x14ac:dyDescent="0.2">
      <c r="A3" s="3"/>
      <c r="B3" s="3"/>
      <c r="C3" s="3"/>
      <c r="D3" s="145"/>
      <c r="E3" s="145"/>
      <c r="F3" s="145"/>
      <c r="G3" s="145"/>
    </row>
    <row r="4" spans="1:7" x14ac:dyDescent="0.2">
      <c r="A4" s="3"/>
      <c r="B4" s="3"/>
      <c r="C4" s="3"/>
      <c r="D4" s="145"/>
      <c r="E4" s="145"/>
      <c r="F4" s="145"/>
      <c r="G4" s="145"/>
    </row>
    <row r="5" spans="1:7" x14ac:dyDescent="0.2">
      <c r="A5" s="3"/>
      <c r="B5" s="3"/>
      <c r="C5" s="3"/>
      <c r="E5" s="17"/>
      <c r="F5" s="17"/>
      <c r="G5" s="17" t="s">
        <v>301</v>
      </c>
    </row>
    <row r="6" spans="1:7" ht="13.5" thickBot="1" x14ac:dyDescent="0.25">
      <c r="A6" s="1"/>
      <c r="B6" s="1"/>
      <c r="C6" s="2"/>
      <c r="D6" s="17"/>
      <c r="E6" s="17"/>
      <c r="F6" s="17"/>
      <c r="G6" s="17"/>
    </row>
    <row r="7" spans="1:7" ht="12.75" customHeight="1" x14ac:dyDescent="0.2">
      <c r="A7" s="473" t="s">
        <v>44</v>
      </c>
      <c r="B7" s="474"/>
      <c r="C7" s="475"/>
      <c r="D7" s="146" t="s">
        <v>322</v>
      </c>
      <c r="E7" s="173" t="s">
        <v>366</v>
      </c>
      <c r="F7" s="173" t="s">
        <v>367</v>
      </c>
      <c r="G7" s="173" t="s">
        <v>368</v>
      </c>
    </row>
    <row r="8" spans="1:7" x14ac:dyDescent="0.2">
      <c r="A8" s="476"/>
      <c r="B8" s="477"/>
      <c r="C8" s="478"/>
      <c r="D8" s="147" t="s">
        <v>107</v>
      </c>
      <c r="E8" s="147" t="s">
        <v>107</v>
      </c>
      <c r="F8" s="147" t="s">
        <v>107</v>
      </c>
      <c r="G8" s="147" t="s">
        <v>107</v>
      </c>
    </row>
    <row r="9" spans="1:7" x14ac:dyDescent="0.2">
      <c r="A9" s="4"/>
      <c r="B9" s="479"/>
      <c r="C9" s="479"/>
      <c r="D9" s="69"/>
      <c r="E9" s="6"/>
      <c r="F9" s="6"/>
      <c r="G9" s="6"/>
    </row>
    <row r="10" spans="1:7" x14ac:dyDescent="0.2">
      <c r="A10" s="4" t="s">
        <v>46</v>
      </c>
      <c r="B10" s="479" t="s">
        <v>219</v>
      </c>
      <c r="C10" s="479"/>
      <c r="D10" s="69">
        <v>157900000</v>
      </c>
      <c r="E10" s="6">
        <f>F10-D10</f>
        <v>0</v>
      </c>
      <c r="F10" s="6">
        <v>157900000</v>
      </c>
      <c r="G10" s="6">
        <f>2955953+65560685+186600</f>
        <v>68703238</v>
      </c>
    </row>
    <row r="11" spans="1:7" x14ac:dyDescent="0.2">
      <c r="A11" s="4" t="s">
        <v>47</v>
      </c>
      <c r="B11" s="479" t="s">
        <v>258</v>
      </c>
      <c r="C11" s="479"/>
      <c r="D11" s="69">
        <v>0</v>
      </c>
      <c r="E11" s="6">
        <f t="shared" ref="E11:E13" si="0">F11-D11</f>
        <v>0</v>
      </c>
      <c r="F11" s="6">
        <v>0</v>
      </c>
      <c r="G11" s="6"/>
    </row>
    <row r="12" spans="1:7" x14ac:dyDescent="0.2">
      <c r="A12" s="4" t="s">
        <v>48</v>
      </c>
      <c r="B12" s="479" t="s">
        <v>315</v>
      </c>
      <c r="C12" s="479"/>
      <c r="D12" s="69">
        <v>100000</v>
      </c>
      <c r="E12" s="6">
        <f t="shared" si="0"/>
        <v>0</v>
      </c>
      <c r="F12" s="6">
        <v>100000</v>
      </c>
      <c r="G12" s="6">
        <v>19390</v>
      </c>
    </row>
    <row r="13" spans="1:7" ht="13.5" thickBot="1" x14ac:dyDescent="0.25">
      <c r="A13" s="4" t="s">
        <v>49</v>
      </c>
      <c r="B13" s="481" t="s">
        <v>316</v>
      </c>
      <c r="C13" s="481"/>
      <c r="D13" s="327">
        <v>2372880</v>
      </c>
      <c r="E13" s="6">
        <f t="shared" si="0"/>
        <v>0</v>
      </c>
      <c r="F13" s="23">
        <v>2372880</v>
      </c>
      <c r="G13" s="23">
        <v>1186440</v>
      </c>
    </row>
    <row r="14" spans="1:7" ht="13.5" thickBot="1" x14ac:dyDescent="0.25">
      <c r="A14" s="482" t="s">
        <v>220</v>
      </c>
      <c r="B14" s="483"/>
      <c r="C14" s="483"/>
      <c r="D14" s="328">
        <f>SUM(D9:D13)</f>
        <v>160372880</v>
      </c>
      <c r="E14" s="328">
        <f t="shared" ref="E14:G14" si="1">SUM(E9:E13)</f>
        <v>0</v>
      </c>
      <c r="F14" s="328">
        <f t="shared" si="1"/>
        <v>160372880</v>
      </c>
      <c r="G14" s="328">
        <f t="shared" si="1"/>
        <v>69909068</v>
      </c>
    </row>
    <row r="15" spans="1:7" ht="13.5" thickBot="1" x14ac:dyDescent="0.25">
      <c r="A15" s="484" t="s">
        <v>221</v>
      </c>
      <c r="B15" s="485"/>
      <c r="C15" s="486"/>
      <c r="D15" s="329">
        <f>D14*0.5</f>
        <v>80186440</v>
      </c>
      <c r="E15" s="329">
        <f t="shared" ref="E15:G15" si="2">E14*0.5</f>
        <v>0</v>
      </c>
      <c r="F15" s="329">
        <f t="shared" si="2"/>
        <v>80186440</v>
      </c>
      <c r="G15" s="329">
        <f t="shared" si="2"/>
        <v>34954534</v>
      </c>
    </row>
    <row r="16" spans="1:7" x14ac:dyDescent="0.2">
      <c r="A16" s="487"/>
      <c r="B16" s="487"/>
      <c r="C16" s="487"/>
      <c r="D16" s="148"/>
      <c r="E16" s="297"/>
      <c r="F16" s="297"/>
      <c r="G16" s="297"/>
    </row>
    <row r="17" spans="1:7" x14ac:dyDescent="0.2">
      <c r="A17" s="1"/>
      <c r="B17" s="480"/>
      <c r="C17" s="480"/>
      <c r="D17" s="11"/>
      <c r="E17" s="11"/>
      <c r="F17" s="11"/>
      <c r="G17" s="11"/>
    </row>
  </sheetData>
  <mergeCells count="11">
    <mergeCell ref="A1:D1"/>
    <mergeCell ref="A7:C8"/>
    <mergeCell ref="B9:C9"/>
    <mergeCell ref="B10:C10"/>
    <mergeCell ref="B17:C17"/>
    <mergeCell ref="B11:C11"/>
    <mergeCell ref="B12:C12"/>
    <mergeCell ref="B13:C13"/>
    <mergeCell ref="A14:C14"/>
    <mergeCell ref="A15:C15"/>
    <mergeCell ref="A16:C16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&amp;R9.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7FC9E-C2B9-4A16-A553-86FB24898A8F}">
  <dimension ref="A1:R58"/>
  <sheetViews>
    <sheetView workbookViewId="0">
      <selection activeCell="M56" sqref="M56"/>
    </sheetView>
  </sheetViews>
  <sheetFormatPr defaultRowHeight="12.75" x14ac:dyDescent="0.2"/>
  <cols>
    <col min="1" max="2" width="2.5703125" style="512" bestFit="1" customWidth="1"/>
    <col min="3" max="3" width="52.7109375" style="512" customWidth="1"/>
    <col min="4" max="4" width="6.28515625" style="512" bestFit="1" customWidth="1"/>
    <col min="5" max="5" width="12.7109375" style="512" bestFit="1" customWidth="1"/>
    <col min="6" max="6" width="10.140625" style="512" bestFit="1" customWidth="1"/>
    <col min="7" max="7" width="11.140625" style="512" bestFit="1" customWidth="1"/>
    <col min="8" max="8" width="10.7109375" style="512" customWidth="1"/>
    <col min="9" max="9" width="12.7109375" style="512" bestFit="1" customWidth="1"/>
    <col min="10" max="13" width="9.140625" style="512"/>
    <col min="14" max="14" width="9.42578125" style="512" bestFit="1" customWidth="1"/>
    <col min="15" max="15" width="6.42578125" style="512" customWidth="1"/>
    <col min="16" max="16" width="7.42578125" style="512" customWidth="1"/>
    <col min="17" max="17" width="9.42578125" style="512" bestFit="1" customWidth="1"/>
    <col min="18" max="18" width="13.140625" style="512" bestFit="1" customWidth="1"/>
    <col min="19" max="16384" width="9.140625" style="512"/>
  </cols>
  <sheetData>
    <row r="1" spans="1:18" x14ac:dyDescent="0.2">
      <c r="A1" s="372" t="s">
        <v>463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</row>
    <row r="2" spans="1:18" ht="15.75" x14ac:dyDescent="0.2">
      <c r="A2" s="376" t="s">
        <v>121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</row>
    <row r="3" spans="1:18" x14ac:dyDescent="0.2">
      <c r="A3" s="513" t="s">
        <v>44</v>
      </c>
      <c r="B3" s="514"/>
      <c r="C3" s="515"/>
      <c r="D3" s="516" t="s">
        <v>398</v>
      </c>
      <c r="E3" s="517" t="s">
        <v>462</v>
      </c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9"/>
    </row>
    <row r="4" spans="1:18" ht="12.75" customHeight="1" x14ac:dyDescent="0.2">
      <c r="A4" s="520"/>
      <c r="B4" s="521"/>
      <c r="C4" s="522"/>
      <c r="D4" s="523"/>
      <c r="E4" s="524" t="s">
        <v>399</v>
      </c>
      <c r="F4" s="569"/>
      <c r="G4" s="569"/>
      <c r="H4" s="525"/>
      <c r="I4" s="516" t="s">
        <v>400</v>
      </c>
      <c r="J4" s="524" t="s">
        <v>401</v>
      </c>
      <c r="K4" s="569"/>
      <c r="L4" s="569"/>
      <c r="M4" s="525"/>
      <c r="N4" s="516" t="s">
        <v>400</v>
      </c>
      <c r="O4" s="524" t="s">
        <v>402</v>
      </c>
      <c r="P4" s="525"/>
      <c r="Q4" s="516" t="s">
        <v>400</v>
      </c>
      <c r="R4" s="526" t="s">
        <v>118</v>
      </c>
    </row>
    <row r="5" spans="1:18" s="533" customFormat="1" ht="38.25" x14ac:dyDescent="0.2">
      <c r="A5" s="527"/>
      <c r="B5" s="528"/>
      <c r="C5" s="529"/>
      <c r="D5" s="530"/>
      <c r="E5" s="531" t="s">
        <v>464</v>
      </c>
      <c r="F5" s="531" t="s">
        <v>367</v>
      </c>
      <c r="G5" s="531" t="s">
        <v>465</v>
      </c>
      <c r="H5" s="531" t="s">
        <v>367</v>
      </c>
      <c r="I5" s="530"/>
      <c r="J5" s="531" t="s">
        <v>464</v>
      </c>
      <c r="K5" s="531" t="s">
        <v>367</v>
      </c>
      <c r="L5" s="531" t="s">
        <v>465</v>
      </c>
      <c r="M5" s="531" t="s">
        <v>367</v>
      </c>
      <c r="N5" s="530"/>
      <c r="O5" s="531" t="s">
        <v>464</v>
      </c>
      <c r="P5" s="531" t="s">
        <v>465</v>
      </c>
      <c r="Q5" s="530"/>
      <c r="R5" s="532"/>
    </row>
    <row r="6" spans="1:18" x14ac:dyDescent="0.2">
      <c r="A6" s="534" t="s">
        <v>45</v>
      </c>
      <c r="B6" s="535"/>
      <c r="C6" s="166" t="s">
        <v>247</v>
      </c>
      <c r="D6" s="166" t="s">
        <v>403</v>
      </c>
      <c r="E6" s="167">
        <v>76478545</v>
      </c>
      <c r="F6" s="167">
        <v>226691</v>
      </c>
      <c r="G6" s="536">
        <v>0</v>
      </c>
      <c r="H6" s="536">
        <v>0</v>
      </c>
      <c r="I6" s="167">
        <f>SUM(E6:H6)</f>
        <v>76705236</v>
      </c>
      <c r="J6" s="536">
        <v>0</v>
      </c>
      <c r="K6" s="536">
        <v>0</v>
      </c>
      <c r="L6" s="536">
        <v>0</v>
      </c>
      <c r="M6" s="536">
        <v>0</v>
      </c>
      <c r="N6" s="536">
        <f>SUM(J6:M6)</f>
        <v>0</v>
      </c>
      <c r="O6" s="536">
        <v>0</v>
      </c>
      <c r="P6" s="536">
        <v>0</v>
      </c>
      <c r="Q6" s="536">
        <f>SUM(O6:P6)</f>
        <v>0</v>
      </c>
      <c r="R6" s="167">
        <f>I6+N6+Q6</f>
        <v>76705236</v>
      </c>
    </row>
    <row r="7" spans="1:18" ht="25.5" x14ac:dyDescent="0.2">
      <c r="A7" s="534"/>
      <c r="B7" s="535"/>
      <c r="C7" s="166" t="s">
        <v>248</v>
      </c>
      <c r="D7" s="166" t="s">
        <v>404</v>
      </c>
      <c r="E7" s="167">
        <v>144931549</v>
      </c>
      <c r="F7" s="167">
        <v>0</v>
      </c>
      <c r="G7" s="536">
        <v>0</v>
      </c>
      <c r="H7" s="536">
        <v>0</v>
      </c>
      <c r="I7" s="167">
        <f t="shared" ref="I7:I17" si="0">SUM(E7:H7)</f>
        <v>144931549</v>
      </c>
      <c r="J7" s="536">
        <v>0</v>
      </c>
      <c r="K7" s="536">
        <v>0</v>
      </c>
      <c r="L7" s="536">
        <v>0</v>
      </c>
      <c r="M7" s="536">
        <v>0</v>
      </c>
      <c r="N7" s="536">
        <f t="shared" ref="N7:N17" si="1">SUM(J7:M7)</f>
        <v>0</v>
      </c>
      <c r="O7" s="536">
        <v>0</v>
      </c>
      <c r="P7" s="536">
        <v>0</v>
      </c>
      <c r="Q7" s="536">
        <f t="shared" ref="Q7:Q11" si="2">SUM(O7:P7)</f>
        <v>0</v>
      </c>
      <c r="R7" s="167">
        <f t="shared" ref="R7:R17" si="3">I7+N7+Q7</f>
        <v>144931549</v>
      </c>
    </row>
    <row r="8" spans="1:18" ht="25.5" x14ac:dyDescent="0.2">
      <c r="A8" s="534"/>
      <c r="B8" s="535"/>
      <c r="C8" s="166" t="s">
        <v>249</v>
      </c>
      <c r="D8" s="166" t="s">
        <v>405</v>
      </c>
      <c r="E8" s="167">
        <v>50942903</v>
      </c>
      <c r="F8" s="167">
        <v>872725</v>
      </c>
      <c r="G8" s="536">
        <v>0</v>
      </c>
      <c r="H8" s="536">
        <v>0</v>
      </c>
      <c r="I8" s="167">
        <f t="shared" si="0"/>
        <v>51815628</v>
      </c>
      <c r="J8" s="536">
        <v>0</v>
      </c>
      <c r="K8" s="536">
        <v>0</v>
      </c>
      <c r="L8" s="536">
        <v>0</v>
      </c>
      <c r="M8" s="536">
        <v>0</v>
      </c>
      <c r="N8" s="536">
        <f t="shared" si="1"/>
        <v>0</v>
      </c>
      <c r="O8" s="536">
        <v>0</v>
      </c>
      <c r="P8" s="536">
        <v>0</v>
      </c>
      <c r="Q8" s="536">
        <f t="shared" si="2"/>
        <v>0</v>
      </c>
      <c r="R8" s="167">
        <f t="shared" si="3"/>
        <v>51815628</v>
      </c>
    </row>
    <row r="9" spans="1:18" ht="25.5" x14ac:dyDescent="0.2">
      <c r="A9" s="534"/>
      <c r="B9" s="535"/>
      <c r="C9" s="166" t="s">
        <v>250</v>
      </c>
      <c r="D9" s="166" t="s">
        <v>406</v>
      </c>
      <c r="E9" s="167">
        <v>4028090</v>
      </c>
      <c r="F9" s="167">
        <v>0</v>
      </c>
      <c r="G9" s="536">
        <v>0</v>
      </c>
      <c r="H9" s="536">
        <v>0</v>
      </c>
      <c r="I9" s="167">
        <f t="shared" si="0"/>
        <v>4028090</v>
      </c>
      <c r="J9" s="536">
        <v>0</v>
      </c>
      <c r="K9" s="536">
        <v>0</v>
      </c>
      <c r="L9" s="536">
        <v>0</v>
      </c>
      <c r="M9" s="536">
        <v>0</v>
      </c>
      <c r="N9" s="536">
        <f t="shared" si="1"/>
        <v>0</v>
      </c>
      <c r="O9" s="536">
        <v>0</v>
      </c>
      <c r="P9" s="536">
        <v>0</v>
      </c>
      <c r="Q9" s="536">
        <f t="shared" si="2"/>
        <v>0</v>
      </c>
      <c r="R9" s="167">
        <f t="shared" si="3"/>
        <v>4028090</v>
      </c>
    </row>
    <row r="10" spans="1:18" x14ac:dyDescent="0.2">
      <c r="A10" s="534"/>
      <c r="B10" s="535"/>
      <c r="C10" s="339" t="s">
        <v>372</v>
      </c>
      <c r="D10" s="166" t="s">
        <v>466</v>
      </c>
      <c r="E10" s="167">
        <v>0</v>
      </c>
      <c r="F10" s="167">
        <v>11072000</v>
      </c>
      <c r="G10" s="536">
        <v>0</v>
      </c>
      <c r="H10" s="536">
        <v>0</v>
      </c>
      <c r="I10" s="167">
        <f>SUM(E10:H10)</f>
        <v>11072000</v>
      </c>
      <c r="J10" s="536"/>
      <c r="K10" s="536">
        <v>0</v>
      </c>
      <c r="L10" s="536">
        <v>0</v>
      </c>
      <c r="M10" s="536">
        <v>0</v>
      </c>
      <c r="N10" s="536">
        <f t="shared" si="1"/>
        <v>0</v>
      </c>
      <c r="O10" s="536">
        <v>0</v>
      </c>
      <c r="P10" s="536">
        <v>0</v>
      </c>
      <c r="Q10" s="536">
        <f t="shared" si="2"/>
        <v>0</v>
      </c>
      <c r="R10" s="167">
        <f t="shared" si="3"/>
        <v>11072000</v>
      </c>
    </row>
    <row r="11" spans="1:18" x14ac:dyDescent="0.2">
      <c r="A11" s="534"/>
      <c r="B11" s="535"/>
      <c r="C11" s="339" t="s">
        <v>373</v>
      </c>
      <c r="D11" s="166" t="s">
        <v>467</v>
      </c>
      <c r="E11" s="167">
        <v>0</v>
      </c>
      <c r="F11" s="167">
        <v>612850</v>
      </c>
      <c r="G11" s="536">
        <v>0</v>
      </c>
      <c r="H11" s="536">
        <v>0</v>
      </c>
      <c r="I11" s="167">
        <f t="shared" si="0"/>
        <v>612850</v>
      </c>
      <c r="J11" s="536"/>
      <c r="K11" s="536">
        <v>0</v>
      </c>
      <c r="L11" s="536">
        <v>0</v>
      </c>
      <c r="M11" s="536">
        <v>0</v>
      </c>
      <c r="N11" s="536">
        <f t="shared" si="1"/>
        <v>0</v>
      </c>
      <c r="O11" s="536">
        <v>0</v>
      </c>
      <c r="P11" s="536">
        <v>0</v>
      </c>
      <c r="Q11" s="536">
        <f t="shared" si="2"/>
        <v>0</v>
      </c>
      <c r="R11" s="167">
        <f t="shared" si="3"/>
        <v>612850</v>
      </c>
    </row>
    <row r="12" spans="1:18" x14ac:dyDescent="0.2">
      <c r="A12" s="534"/>
      <c r="B12" s="386" t="s">
        <v>251</v>
      </c>
      <c r="C12" s="386"/>
      <c r="D12" s="358" t="s">
        <v>407</v>
      </c>
      <c r="E12" s="188">
        <f>SUM(E6:E11)</f>
        <v>276381087</v>
      </c>
      <c r="F12" s="188">
        <f t="shared" ref="F12:R12" si="4">SUM(F6:F11)</f>
        <v>12784266</v>
      </c>
      <c r="G12" s="188">
        <f t="shared" si="4"/>
        <v>0</v>
      </c>
      <c r="H12" s="188">
        <f t="shared" si="4"/>
        <v>0</v>
      </c>
      <c r="I12" s="188">
        <f t="shared" si="4"/>
        <v>289165353</v>
      </c>
      <c r="J12" s="188">
        <f t="shared" si="4"/>
        <v>0</v>
      </c>
      <c r="K12" s="188">
        <f t="shared" si="4"/>
        <v>0</v>
      </c>
      <c r="L12" s="188">
        <f t="shared" si="4"/>
        <v>0</v>
      </c>
      <c r="M12" s="188">
        <f t="shared" si="4"/>
        <v>0</v>
      </c>
      <c r="N12" s="188">
        <f t="shared" si="4"/>
        <v>0</v>
      </c>
      <c r="O12" s="188">
        <f t="shared" si="4"/>
        <v>0</v>
      </c>
      <c r="P12" s="188">
        <f t="shared" si="4"/>
        <v>0</v>
      </c>
      <c r="Q12" s="188">
        <f t="shared" si="4"/>
        <v>0</v>
      </c>
      <c r="R12" s="188">
        <f t="shared" si="4"/>
        <v>289165353</v>
      </c>
    </row>
    <row r="13" spans="1:18" ht="25.5" x14ac:dyDescent="0.2">
      <c r="A13" s="534"/>
      <c r="B13" s="165"/>
      <c r="C13" s="537" t="s">
        <v>339</v>
      </c>
      <c r="D13" s="537" t="s">
        <v>408</v>
      </c>
      <c r="E13" s="167">
        <v>2300000</v>
      </c>
      <c r="F13" s="167">
        <v>0</v>
      </c>
      <c r="G13" s="538">
        <v>0</v>
      </c>
      <c r="H13" s="577">
        <v>2230448</v>
      </c>
      <c r="I13" s="167">
        <f t="shared" si="0"/>
        <v>4530448</v>
      </c>
      <c r="J13" s="538">
        <v>0</v>
      </c>
      <c r="K13" s="538">
        <v>0</v>
      </c>
      <c r="L13" s="538">
        <v>0</v>
      </c>
      <c r="M13" s="538">
        <v>0</v>
      </c>
      <c r="N13" s="536">
        <f t="shared" si="1"/>
        <v>0</v>
      </c>
      <c r="O13" s="538">
        <v>0</v>
      </c>
      <c r="P13" s="538">
        <v>0</v>
      </c>
      <c r="Q13" s="538">
        <f>SUM(O13:P13)</f>
        <v>0</v>
      </c>
      <c r="R13" s="167">
        <f t="shared" si="3"/>
        <v>4530448</v>
      </c>
    </row>
    <row r="14" spans="1:18" x14ac:dyDescent="0.2">
      <c r="A14" s="534"/>
      <c r="B14" s="165"/>
      <c r="C14" s="208" t="s">
        <v>374</v>
      </c>
      <c r="D14" s="537" t="s">
        <v>408</v>
      </c>
      <c r="E14" s="167">
        <v>0</v>
      </c>
      <c r="F14" s="167">
        <v>56430</v>
      </c>
      <c r="G14" s="538"/>
      <c r="H14" s="538">
        <v>0</v>
      </c>
      <c r="I14" s="167">
        <f t="shared" si="0"/>
        <v>56430</v>
      </c>
      <c r="J14" s="538"/>
      <c r="K14" s="538"/>
      <c r="L14" s="538"/>
      <c r="M14" s="538">
        <v>0</v>
      </c>
      <c r="N14" s="536">
        <f t="shared" si="1"/>
        <v>0</v>
      </c>
      <c r="O14" s="538"/>
      <c r="P14" s="538"/>
      <c r="Q14" s="538">
        <f>SUM(O14:P14)</f>
        <v>0</v>
      </c>
      <c r="R14" s="167">
        <f t="shared" si="3"/>
        <v>56430</v>
      </c>
    </row>
    <row r="15" spans="1:18" x14ac:dyDescent="0.2">
      <c r="A15" s="534"/>
      <c r="B15" s="165"/>
      <c r="C15" s="208" t="s">
        <v>265</v>
      </c>
      <c r="D15" s="537" t="s">
        <v>408</v>
      </c>
      <c r="E15" s="167">
        <v>14526000</v>
      </c>
      <c r="F15" s="167">
        <v>0</v>
      </c>
      <c r="G15" s="538">
        <v>0</v>
      </c>
      <c r="H15" s="538">
        <v>0</v>
      </c>
      <c r="I15" s="167">
        <f t="shared" si="0"/>
        <v>14526000</v>
      </c>
      <c r="J15" s="538">
        <v>0</v>
      </c>
      <c r="K15" s="538">
        <v>0</v>
      </c>
      <c r="L15" s="538">
        <v>0</v>
      </c>
      <c r="M15" s="538">
        <v>0</v>
      </c>
      <c r="N15" s="536">
        <f t="shared" si="1"/>
        <v>0</v>
      </c>
      <c r="O15" s="538">
        <v>0</v>
      </c>
      <c r="P15" s="538">
        <v>0</v>
      </c>
      <c r="Q15" s="538">
        <f t="shared" ref="Q15:Q17" si="5">SUM(O15:P15)</f>
        <v>0</v>
      </c>
      <c r="R15" s="167">
        <f t="shared" si="3"/>
        <v>14526000</v>
      </c>
    </row>
    <row r="16" spans="1:18" x14ac:dyDescent="0.2">
      <c r="A16" s="534"/>
      <c r="B16" s="165"/>
      <c r="C16" s="208" t="s">
        <v>266</v>
      </c>
      <c r="D16" s="537" t="s">
        <v>408</v>
      </c>
      <c r="E16" s="167">
        <v>4866514</v>
      </c>
      <c r="F16" s="167">
        <v>0</v>
      </c>
      <c r="G16" s="538">
        <v>0</v>
      </c>
      <c r="H16" s="538">
        <v>0</v>
      </c>
      <c r="I16" s="167">
        <f t="shared" si="0"/>
        <v>4866514</v>
      </c>
      <c r="J16" s="538">
        <v>0</v>
      </c>
      <c r="K16" s="538">
        <v>0</v>
      </c>
      <c r="L16" s="538">
        <v>0</v>
      </c>
      <c r="M16" s="538">
        <v>0</v>
      </c>
      <c r="N16" s="536">
        <f t="shared" si="1"/>
        <v>0</v>
      </c>
      <c r="O16" s="538">
        <v>0</v>
      </c>
      <c r="P16" s="538">
        <v>0</v>
      </c>
      <c r="Q16" s="538">
        <f t="shared" si="5"/>
        <v>0</v>
      </c>
      <c r="R16" s="167">
        <f t="shared" si="3"/>
        <v>4866514</v>
      </c>
    </row>
    <row r="17" spans="1:18" x14ac:dyDescent="0.2">
      <c r="A17" s="534"/>
      <c r="B17" s="165"/>
      <c r="C17" s="208" t="s">
        <v>267</v>
      </c>
      <c r="D17" s="537" t="s">
        <v>408</v>
      </c>
      <c r="E17" s="167">
        <v>16958507</v>
      </c>
      <c r="F17" s="167">
        <v>0</v>
      </c>
      <c r="G17" s="538">
        <v>0</v>
      </c>
      <c r="H17" s="538">
        <v>0</v>
      </c>
      <c r="I17" s="167">
        <f t="shared" si="0"/>
        <v>16958507</v>
      </c>
      <c r="J17" s="538">
        <v>0</v>
      </c>
      <c r="K17" s="538">
        <v>0</v>
      </c>
      <c r="L17" s="538">
        <v>0</v>
      </c>
      <c r="M17" s="538">
        <v>0</v>
      </c>
      <c r="N17" s="536">
        <f t="shared" si="1"/>
        <v>0</v>
      </c>
      <c r="O17" s="538">
        <v>0</v>
      </c>
      <c r="P17" s="538">
        <v>0</v>
      </c>
      <c r="Q17" s="538">
        <f t="shared" si="5"/>
        <v>0</v>
      </c>
      <c r="R17" s="167">
        <f t="shared" si="3"/>
        <v>16958507</v>
      </c>
    </row>
    <row r="18" spans="1:18" s="160" customFormat="1" x14ac:dyDescent="0.2">
      <c r="A18" s="534"/>
      <c r="B18" s="386" t="s">
        <v>268</v>
      </c>
      <c r="C18" s="386"/>
      <c r="D18" s="358" t="s">
        <v>408</v>
      </c>
      <c r="E18" s="188">
        <f t="shared" ref="E18:R18" si="6">SUM(E13:E17)</f>
        <v>38651021</v>
      </c>
      <c r="F18" s="188">
        <f t="shared" si="6"/>
        <v>56430</v>
      </c>
      <c r="G18" s="188">
        <f t="shared" si="6"/>
        <v>0</v>
      </c>
      <c r="H18" s="188">
        <f t="shared" si="6"/>
        <v>2230448</v>
      </c>
      <c r="I18" s="188">
        <f t="shared" si="6"/>
        <v>40937899</v>
      </c>
      <c r="J18" s="188">
        <f t="shared" si="6"/>
        <v>0</v>
      </c>
      <c r="K18" s="188">
        <f t="shared" si="6"/>
        <v>0</v>
      </c>
      <c r="L18" s="188">
        <f t="shared" si="6"/>
        <v>0</v>
      </c>
      <c r="M18" s="188">
        <f t="shared" si="6"/>
        <v>0</v>
      </c>
      <c r="N18" s="188">
        <f>SUM(N13:N17)</f>
        <v>0</v>
      </c>
      <c r="O18" s="188">
        <f t="shared" si="6"/>
        <v>0</v>
      </c>
      <c r="P18" s="188">
        <f t="shared" si="6"/>
        <v>0</v>
      </c>
      <c r="Q18" s="188">
        <f t="shared" si="6"/>
        <v>0</v>
      </c>
      <c r="R18" s="188">
        <f t="shared" si="6"/>
        <v>40937899</v>
      </c>
    </row>
    <row r="19" spans="1:18" s="539" customFormat="1" x14ac:dyDescent="0.2">
      <c r="A19" s="534"/>
      <c r="B19" s="387" t="s">
        <v>269</v>
      </c>
      <c r="C19" s="387"/>
      <c r="D19" s="356" t="s">
        <v>409</v>
      </c>
      <c r="E19" s="189">
        <f t="shared" ref="E19:R19" si="7">E12+E18</f>
        <v>315032108</v>
      </c>
      <c r="F19" s="189">
        <f t="shared" si="7"/>
        <v>12840696</v>
      </c>
      <c r="G19" s="189">
        <f t="shared" si="7"/>
        <v>0</v>
      </c>
      <c r="H19" s="189">
        <f t="shared" si="7"/>
        <v>2230448</v>
      </c>
      <c r="I19" s="189">
        <f>I12+I18</f>
        <v>330103252</v>
      </c>
      <c r="J19" s="189">
        <f t="shared" si="7"/>
        <v>0</v>
      </c>
      <c r="K19" s="189">
        <f t="shared" si="7"/>
        <v>0</v>
      </c>
      <c r="L19" s="189">
        <f t="shared" si="7"/>
        <v>0</v>
      </c>
      <c r="M19" s="189">
        <f t="shared" si="7"/>
        <v>0</v>
      </c>
      <c r="N19" s="189">
        <f>N12+N18</f>
        <v>0</v>
      </c>
      <c r="O19" s="189">
        <f t="shared" si="7"/>
        <v>0</v>
      </c>
      <c r="P19" s="189">
        <f t="shared" si="7"/>
        <v>0</v>
      </c>
      <c r="Q19" s="189">
        <f t="shared" si="7"/>
        <v>0</v>
      </c>
      <c r="R19" s="189">
        <f t="shared" si="7"/>
        <v>330103252</v>
      </c>
    </row>
    <row r="20" spans="1:18" s="574" customFormat="1" x14ac:dyDescent="0.2">
      <c r="A20" s="571"/>
      <c r="B20" s="165"/>
      <c r="C20" s="208" t="s">
        <v>376</v>
      </c>
      <c r="D20" s="575" t="s">
        <v>471</v>
      </c>
      <c r="E20" s="576">
        <v>0</v>
      </c>
      <c r="F20" s="576">
        <v>49996154</v>
      </c>
      <c r="G20" s="576">
        <v>0</v>
      </c>
      <c r="H20" s="576">
        <v>0</v>
      </c>
      <c r="I20" s="167">
        <f>SUM(E20:H20)</f>
        <v>49996154</v>
      </c>
      <c r="J20" s="576">
        <v>0</v>
      </c>
      <c r="K20" s="576">
        <v>0</v>
      </c>
      <c r="L20" s="576">
        <v>0</v>
      </c>
      <c r="M20" s="576"/>
      <c r="N20" s="536">
        <f t="shared" ref="N20" si="8">SUM(J20:M20)</f>
        <v>0</v>
      </c>
      <c r="O20" s="576">
        <v>0</v>
      </c>
      <c r="P20" s="576">
        <v>0</v>
      </c>
      <c r="Q20" s="538">
        <f>SUM(O20:P20)</f>
        <v>0</v>
      </c>
      <c r="R20" s="167">
        <f t="shared" ref="R20" si="9">I20+N20+Q20</f>
        <v>49996154</v>
      </c>
    </row>
    <row r="21" spans="1:18" s="574" customFormat="1" ht="12.75" customHeight="1" x14ac:dyDescent="0.2">
      <c r="A21" s="571"/>
      <c r="B21" s="386" t="s">
        <v>377</v>
      </c>
      <c r="C21" s="373"/>
      <c r="D21" s="573" t="s">
        <v>470</v>
      </c>
      <c r="E21" s="331">
        <f>SUM(E20)</f>
        <v>0</v>
      </c>
      <c r="F21" s="331">
        <f t="shared" ref="F21:R22" si="10">SUM(F20)</f>
        <v>49996154</v>
      </c>
      <c r="G21" s="331">
        <f t="shared" si="10"/>
        <v>0</v>
      </c>
      <c r="H21" s="331">
        <f t="shared" si="10"/>
        <v>0</v>
      </c>
      <c r="I21" s="331">
        <f t="shared" si="10"/>
        <v>49996154</v>
      </c>
      <c r="J21" s="331">
        <f t="shared" si="10"/>
        <v>0</v>
      </c>
      <c r="K21" s="331">
        <f t="shared" si="10"/>
        <v>0</v>
      </c>
      <c r="L21" s="331">
        <f t="shared" si="10"/>
        <v>0</v>
      </c>
      <c r="M21" s="331">
        <f t="shared" si="10"/>
        <v>0</v>
      </c>
      <c r="N21" s="331">
        <f t="shared" si="10"/>
        <v>0</v>
      </c>
      <c r="O21" s="331">
        <f t="shared" si="10"/>
        <v>0</v>
      </c>
      <c r="P21" s="331">
        <f t="shared" si="10"/>
        <v>0</v>
      </c>
      <c r="Q21" s="331">
        <f t="shared" si="10"/>
        <v>0</v>
      </c>
      <c r="R21" s="331">
        <f t="shared" si="10"/>
        <v>49996154</v>
      </c>
    </row>
    <row r="22" spans="1:18" s="539" customFormat="1" ht="12.75" customHeight="1" x14ac:dyDescent="0.2">
      <c r="A22" s="552"/>
      <c r="B22" s="387" t="s">
        <v>378</v>
      </c>
      <c r="C22" s="374"/>
      <c r="D22" s="356" t="s">
        <v>470</v>
      </c>
      <c r="E22" s="189">
        <f>SUM(E21)</f>
        <v>0</v>
      </c>
      <c r="F22" s="189">
        <f t="shared" si="10"/>
        <v>49996154</v>
      </c>
      <c r="G22" s="189">
        <f t="shared" si="10"/>
        <v>0</v>
      </c>
      <c r="H22" s="189">
        <f t="shared" si="10"/>
        <v>0</v>
      </c>
      <c r="I22" s="189">
        <f t="shared" si="10"/>
        <v>49996154</v>
      </c>
      <c r="J22" s="189">
        <f t="shared" si="10"/>
        <v>0</v>
      </c>
      <c r="K22" s="189">
        <f t="shared" si="10"/>
        <v>0</v>
      </c>
      <c r="L22" s="189">
        <f t="shared" si="10"/>
        <v>0</v>
      </c>
      <c r="M22" s="189">
        <f t="shared" si="10"/>
        <v>0</v>
      </c>
      <c r="N22" s="189">
        <f t="shared" si="10"/>
        <v>0</v>
      </c>
      <c r="O22" s="189">
        <f t="shared" si="10"/>
        <v>0</v>
      </c>
      <c r="P22" s="189">
        <f t="shared" si="10"/>
        <v>0</v>
      </c>
      <c r="Q22" s="189">
        <f t="shared" si="10"/>
        <v>0</v>
      </c>
      <c r="R22" s="189">
        <f t="shared" si="10"/>
        <v>49996154</v>
      </c>
    </row>
    <row r="23" spans="1:18" s="160" customFormat="1" x14ac:dyDescent="0.2">
      <c r="A23" s="534" t="s">
        <v>46</v>
      </c>
      <c r="B23" s="386" t="s">
        <v>252</v>
      </c>
      <c r="C23" s="386"/>
      <c r="D23" s="358" t="s">
        <v>410</v>
      </c>
      <c r="E23" s="188">
        <v>6400000</v>
      </c>
      <c r="F23" s="188">
        <v>0</v>
      </c>
      <c r="G23" s="540">
        <v>0</v>
      </c>
      <c r="H23" s="540">
        <v>0</v>
      </c>
      <c r="I23" s="188">
        <f>SUM(E23:H23)</f>
        <v>6400000</v>
      </c>
      <c r="J23" s="540">
        <v>0</v>
      </c>
      <c r="K23" s="540"/>
      <c r="L23" s="540">
        <v>0</v>
      </c>
      <c r="M23" s="540"/>
      <c r="N23" s="540">
        <f>SUM(J23:M23)</f>
        <v>0</v>
      </c>
      <c r="O23" s="540">
        <v>0</v>
      </c>
      <c r="P23" s="540">
        <v>0</v>
      </c>
      <c r="Q23" s="540">
        <f>SUM(O23:P23)</f>
        <v>0</v>
      </c>
      <c r="R23" s="188">
        <f>I23+N23+Q23</f>
        <v>6400000</v>
      </c>
    </row>
    <row r="24" spans="1:18" x14ac:dyDescent="0.2">
      <c r="A24" s="534"/>
      <c r="B24" s="535" t="s">
        <v>45</v>
      </c>
      <c r="C24" s="166" t="s">
        <v>244</v>
      </c>
      <c r="D24" s="166" t="s">
        <v>411</v>
      </c>
      <c r="E24" s="167">
        <v>150900000</v>
      </c>
      <c r="F24" s="167">
        <v>0</v>
      </c>
      <c r="G24" s="536">
        <v>0</v>
      </c>
      <c r="H24" s="536">
        <v>0</v>
      </c>
      <c r="I24" s="167">
        <f>SUM(E24:H24)</f>
        <v>150900000</v>
      </c>
      <c r="J24" s="536">
        <v>0</v>
      </c>
      <c r="K24" s="536">
        <v>0</v>
      </c>
      <c r="L24" s="536">
        <v>0</v>
      </c>
      <c r="M24" s="536">
        <v>0</v>
      </c>
      <c r="N24" s="536">
        <f t="shared" ref="N24:N26" si="11">SUM(J24:M24)</f>
        <v>0</v>
      </c>
      <c r="O24" s="536">
        <v>0</v>
      </c>
      <c r="P24" s="536">
        <v>0</v>
      </c>
      <c r="Q24" s="536">
        <f>SUM(O24:P24)</f>
        <v>0</v>
      </c>
      <c r="R24" s="167">
        <f t="shared" ref="R24:R26" si="12">I24+N24+Q24</f>
        <v>150900000</v>
      </c>
    </row>
    <row r="25" spans="1:18" x14ac:dyDescent="0.2">
      <c r="A25" s="534"/>
      <c r="B25" s="535" t="s">
        <v>46</v>
      </c>
      <c r="C25" s="166" t="s">
        <v>253</v>
      </c>
      <c r="D25" s="166" t="s">
        <v>412</v>
      </c>
      <c r="E25" s="167">
        <v>12900000</v>
      </c>
      <c r="F25" s="167">
        <v>0</v>
      </c>
      <c r="G25" s="536">
        <v>0</v>
      </c>
      <c r="H25" s="536">
        <v>0</v>
      </c>
      <c r="I25" s="167">
        <f t="shared" ref="I25:I26" si="13">SUM(E25:H25)</f>
        <v>12900000</v>
      </c>
      <c r="J25" s="536">
        <v>0</v>
      </c>
      <c r="K25" s="536">
        <v>0</v>
      </c>
      <c r="L25" s="536">
        <v>0</v>
      </c>
      <c r="M25" s="536">
        <v>0</v>
      </c>
      <c r="N25" s="536">
        <f t="shared" si="11"/>
        <v>0</v>
      </c>
      <c r="O25" s="536">
        <v>0</v>
      </c>
      <c r="P25" s="536">
        <v>0</v>
      </c>
      <c r="Q25" s="536">
        <f>SUM(O25:P25)</f>
        <v>0</v>
      </c>
      <c r="R25" s="167">
        <f t="shared" si="12"/>
        <v>12900000</v>
      </c>
    </row>
    <row r="26" spans="1:18" x14ac:dyDescent="0.2">
      <c r="A26" s="534"/>
      <c r="B26" s="535" t="s">
        <v>47</v>
      </c>
      <c r="C26" s="166" t="s">
        <v>245</v>
      </c>
      <c r="D26" s="166" t="s">
        <v>413</v>
      </c>
      <c r="E26" s="167">
        <v>600000</v>
      </c>
      <c r="F26" s="167">
        <v>0</v>
      </c>
      <c r="G26" s="536">
        <v>0</v>
      </c>
      <c r="H26" s="536">
        <v>0</v>
      </c>
      <c r="I26" s="167">
        <f t="shared" si="13"/>
        <v>600000</v>
      </c>
      <c r="J26" s="536">
        <v>0</v>
      </c>
      <c r="K26" s="536">
        <v>0</v>
      </c>
      <c r="L26" s="536">
        <v>0</v>
      </c>
      <c r="M26" s="536">
        <v>0</v>
      </c>
      <c r="N26" s="536">
        <f t="shared" si="11"/>
        <v>0</v>
      </c>
      <c r="O26" s="536">
        <v>0</v>
      </c>
      <c r="P26" s="536">
        <v>0</v>
      </c>
      <c r="Q26" s="536">
        <f>SUM(O26:P26)</f>
        <v>0</v>
      </c>
      <c r="R26" s="167">
        <f t="shared" si="12"/>
        <v>600000</v>
      </c>
    </row>
    <row r="27" spans="1:18" x14ac:dyDescent="0.2">
      <c r="A27" s="534"/>
      <c r="B27" s="386" t="s">
        <v>299</v>
      </c>
      <c r="C27" s="386"/>
      <c r="D27" s="358" t="s">
        <v>414</v>
      </c>
      <c r="E27" s="188">
        <f t="shared" ref="E27:Q27" si="14">SUM(E24:E26)</f>
        <v>164400000</v>
      </c>
      <c r="F27" s="188">
        <f t="shared" si="14"/>
        <v>0</v>
      </c>
      <c r="G27" s="188">
        <f t="shared" si="14"/>
        <v>0</v>
      </c>
      <c r="H27" s="188">
        <f t="shared" si="14"/>
        <v>0</v>
      </c>
      <c r="I27" s="188">
        <f>SUM(I24:I26)</f>
        <v>164400000</v>
      </c>
      <c r="J27" s="188">
        <f t="shared" si="14"/>
        <v>0</v>
      </c>
      <c r="K27" s="188">
        <f t="shared" si="14"/>
        <v>0</v>
      </c>
      <c r="L27" s="188">
        <f t="shared" si="14"/>
        <v>0</v>
      </c>
      <c r="M27" s="188">
        <f t="shared" si="14"/>
        <v>0</v>
      </c>
      <c r="N27" s="188">
        <f>SUM(N24:N26)</f>
        <v>0</v>
      </c>
      <c r="O27" s="188">
        <f t="shared" si="14"/>
        <v>0</v>
      </c>
      <c r="P27" s="188">
        <f t="shared" si="14"/>
        <v>0</v>
      </c>
      <c r="Q27" s="188">
        <f t="shared" si="14"/>
        <v>0</v>
      </c>
      <c r="R27" s="188">
        <f>SUM(R24:R26)</f>
        <v>164400000</v>
      </c>
    </row>
    <row r="28" spans="1:18" s="160" customFormat="1" x14ac:dyDescent="0.2">
      <c r="A28" s="534"/>
      <c r="B28" s="386" t="s">
        <v>246</v>
      </c>
      <c r="C28" s="386"/>
      <c r="D28" s="358" t="s">
        <v>415</v>
      </c>
      <c r="E28" s="188">
        <v>100000</v>
      </c>
      <c r="F28" s="188">
        <v>0</v>
      </c>
      <c r="G28" s="540">
        <v>0</v>
      </c>
      <c r="H28" s="540">
        <v>0</v>
      </c>
      <c r="I28" s="188">
        <f>SUM(E28:H28)</f>
        <v>100000</v>
      </c>
      <c r="J28" s="540">
        <v>0</v>
      </c>
      <c r="K28" s="540"/>
      <c r="L28" s="540">
        <v>0</v>
      </c>
      <c r="M28" s="540"/>
      <c r="N28" s="540">
        <f>SUM(J28:M28)</f>
        <v>0</v>
      </c>
      <c r="O28" s="540">
        <v>0</v>
      </c>
      <c r="P28" s="540">
        <v>0</v>
      </c>
      <c r="Q28" s="540">
        <f>SUM(O28:P28)</f>
        <v>0</v>
      </c>
      <c r="R28" s="188">
        <f>I28+N28+Q28</f>
        <v>100000</v>
      </c>
    </row>
    <row r="29" spans="1:18" s="539" customFormat="1" x14ac:dyDescent="0.2">
      <c r="A29" s="534"/>
      <c r="B29" s="387" t="s">
        <v>254</v>
      </c>
      <c r="C29" s="387"/>
      <c r="D29" s="356" t="s">
        <v>416</v>
      </c>
      <c r="E29" s="189">
        <f t="shared" ref="E29:Q29" si="15">E23+E27+E28</f>
        <v>170900000</v>
      </c>
      <c r="F29" s="189">
        <f t="shared" si="15"/>
        <v>0</v>
      </c>
      <c r="G29" s="189">
        <f t="shared" si="15"/>
        <v>0</v>
      </c>
      <c r="H29" s="189">
        <f t="shared" si="15"/>
        <v>0</v>
      </c>
      <c r="I29" s="189">
        <f t="shared" si="15"/>
        <v>170900000</v>
      </c>
      <c r="J29" s="189">
        <f t="shared" si="15"/>
        <v>0</v>
      </c>
      <c r="K29" s="189">
        <f t="shared" si="15"/>
        <v>0</v>
      </c>
      <c r="L29" s="189">
        <f t="shared" si="15"/>
        <v>0</v>
      </c>
      <c r="M29" s="189">
        <f t="shared" si="15"/>
        <v>0</v>
      </c>
      <c r="N29" s="189">
        <f t="shared" si="15"/>
        <v>0</v>
      </c>
      <c r="O29" s="189">
        <f t="shared" si="15"/>
        <v>0</v>
      </c>
      <c r="P29" s="189">
        <f t="shared" si="15"/>
        <v>0</v>
      </c>
      <c r="Q29" s="189">
        <f t="shared" si="15"/>
        <v>0</v>
      </c>
      <c r="R29" s="189">
        <f>R23+R27+R28</f>
        <v>170900000</v>
      </c>
    </row>
    <row r="30" spans="1:18" x14ac:dyDescent="0.2">
      <c r="A30" s="534" t="s">
        <v>47</v>
      </c>
      <c r="B30" s="541"/>
      <c r="C30" s="166" t="s">
        <v>256</v>
      </c>
      <c r="D30" s="166" t="s">
        <v>417</v>
      </c>
      <c r="E30" s="167">
        <v>227000</v>
      </c>
      <c r="F30" s="167">
        <v>0</v>
      </c>
      <c r="G30" s="536">
        <v>0</v>
      </c>
      <c r="H30" s="536">
        <v>0</v>
      </c>
      <c r="I30" s="167">
        <f t="shared" ref="I30:I40" si="16">SUM(E30:H30)</f>
        <v>227000</v>
      </c>
      <c r="J30" s="167">
        <v>3600000</v>
      </c>
      <c r="K30" s="167">
        <v>0</v>
      </c>
      <c r="L30" s="167">
        <v>0</v>
      </c>
      <c r="M30" s="167">
        <v>0</v>
      </c>
      <c r="N30" s="167">
        <f>SUM(J30:M30)</f>
        <v>3600000</v>
      </c>
      <c r="O30" s="167">
        <v>0</v>
      </c>
      <c r="P30" s="167">
        <v>0</v>
      </c>
      <c r="Q30" s="536">
        <f>SUM(O30:P30)</f>
        <v>0</v>
      </c>
      <c r="R30" s="167">
        <f t="shared" ref="R30:R46" si="17">I30+N30+Q30</f>
        <v>3827000</v>
      </c>
    </row>
    <row r="31" spans="1:18" x14ac:dyDescent="0.2">
      <c r="A31" s="534"/>
      <c r="B31" s="541"/>
      <c r="C31" s="166" t="s">
        <v>257</v>
      </c>
      <c r="D31" s="166" t="s">
        <v>418</v>
      </c>
      <c r="E31" s="536">
        <v>0</v>
      </c>
      <c r="F31" s="536">
        <v>0</v>
      </c>
      <c r="G31" s="536">
        <v>0</v>
      </c>
      <c r="H31" s="536">
        <v>0</v>
      </c>
      <c r="I31" s="167">
        <f t="shared" si="16"/>
        <v>0</v>
      </c>
      <c r="J31" s="167">
        <v>112778</v>
      </c>
      <c r="K31" s="167">
        <v>606700</v>
      </c>
      <c r="L31" s="167">
        <v>2000000</v>
      </c>
      <c r="M31" s="167">
        <v>0</v>
      </c>
      <c r="N31" s="167">
        <f t="shared" ref="N31:N46" si="18">SUM(J31:M31)</f>
        <v>2719478</v>
      </c>
      <c r="O31" s="536">
        <v>0</v>
      </c>
      <c r="P31" s="536">
        <v>0</v>
      </c>
      <c r="Q31" s="536">
        <f t="shared" ref="Q31:Q37" si="19">SUM(O31:P31)</f>
        <v>0</v>
      </c>
      <c r="R31" s="167">
        <f t="shared" si="17"/>
        <v>2719478</v>
      </c>
    </row>
    <row r="32" spans="1:18" x14ac:dyDescent="0.2">
      <c r="A32" s="534"/>
      <c r="B32" s="541"/>
      <c r="C32" s="166" t="s">
        <v>258</v>
      </c>
      <c r="D32" s="166" t="s">
        <v>419</v>
      </c>
      <c r="E32" s="167">
        <v>0</v>
      </c>
      <c r="F32" s="167">
        <v>241671</v>
      </c>
      <c r="G32" s="167">
        <v>0</v>
      </c>
      <c r="H32" s="167">
        <v>0</v>
      </c>
      <c r="I32" s="167">
        <f t="shared" si="16"/>
        <v>241671</v>
      </c>
      <c r="J32" s="536">
        <v>0</v>
      </c>
      <c r="K32" s="536">
        <v>0</v>
      </c>
      <c r="L32" s="536">
        <v>0</v>
      </c>
      <c r="M32" s="536">
        <v>0</v>
      </c>
      <c r="N32" s="167">
        <f t="shared" si="18"/>
        <v>0</v>
      </c>
      <c r="O32" s="536">
        <v>0</v>
      </c>
      <c r="P32" s="536">
        <v>0</v>
      </c>
      <c r="Q32" s="536">
        <f t="shared" si="19"/>
        <v>0</v>
      </c>
      <c r="R32" s="167">
        <f t="shared" si="17"/>
        <v>241671</v>
      </c>
    </row>
    <row r="33" spans="1:18" x14ac:dyDescent="0.2">
      <c r="A33" s="534"/>
      <c r="B33" s="541"/>
      <c r="C33" s="166" t="s">
        <v>259</v>
      </c>
      <c r="D33" s="166" t="s">
        <v>420</v>
      </c>
      <c r="E33" s="167">
        <v>6192650</v>
      </c>
      <c r="F33" s="167">
        <v>0</v>
      </c>
      <c r="G33" s="167">
        <v>0</v>
      </c>
      <c r="H33" s="167">
        <v>0</v>
      </c>
      <c r="I33" s="167">
        <f t="shared" si="16"/>
        <v>6192650</v>
      </c>
      <c r="J33" s="536">
        <v>0</v>
      </c>
      <c r="K33" s="536">
        <v>0</v>
      </c>
      <c r="L33" s="536">
        <v>0</v>
      </c>
      <c r="M33" s="536">
        <v>0</v>
      </c>
      <c r="N33" s="167">
        <f t="shared" si="18"/>
        <v>0</v>
      </c>
      <c r="O33" s="536">
        <v>0</v>
      </c>
      <c r="P33" s="536">
        <v>0</v>
      </c>
      <c r="Q33" s="536">
        <f t="shared" si="19"/>
        <v>0</v>
      </c>
      <c r="R33" s="167">
        <f t="shared" si="17"/>
        <v>6192650</v>
      </c>
    </row>
    <row r="34" spans="1:18" x14ac:dyDescent="0.2">
      <c r="A34" s="534"/>
      <c r="B34" s="541"/>
      <c r="C34" s="166" t="s">
        <v>260</v>
      </c>
      <c r="D34" s="166" t="s">
        <v>421</v>
      </c>
      <c r="E34" s="167">
        <v>1667426</v>
      </c>
      <c r="F34" s="167">
        <v>0</v>
      </c>
      <c r="G34" s="167">
        <v>0</v>
      </c>
      <c r="H34" s="167">
        <v>0</v>
      </c>
      <c r="I34" s="167">
        <f t="shared" si="16"/>
        <v>1667426</v>
      </c>
      <c r="J34" s="536">
        <v>0</v>
      </c>
      <c r="K34" s="536">
        <v>0</v>
      </c>
      <c r="L34" s="536">
        <v>0</v>
      </c>
      <c r="M34" s="536">
        <v>0</v>
      </c>
      <c r="N34" s="167">
        <f t="shared" si="18"/>
        <v>0</v>
      </c>
      <c r="O34" s="536">
        <v>0</v>
      </c>
      <c r="P34" s="536">
        <v>0</v>
      </c>
      <c r="Q34" s="536">
        <f t="shared" si="19"/>
        <v>0</v>
      </c>
      <c r="R34" s="167">
        <f t="shared" si="17"/>
        <v>1667426</v>
      </c>
    </row>
    <row r="35" spans="1:18" x14ac:dyDescent="0.2">
      <c r="A35" s="534"/>
      <c r="B35" s="541"/>
      <c r="C35" s="166" t="s">
        <v>261</v>
      </c>
      <c r="D35" s="166" t="s">
        <v>422</v>
      </c>
      <c r="E35" s="167">
        <v>3435000</v>
      </c>
      <c r="F35" s="167">
        <v>202990</v>
      </c>
      <c r="G35" s="167">
        <v>0</v>
      </c>
      <c r="H35" s="167">
        <v>0</v>
      </c>
      <c r="I35" s="167">
        <f t="shared" si="16"/>
        <v>3637990</v>
      </c>
      <c r="J35" s="536">
        <v>0</v>
      </c>
      <c r="K35" s="536">
        <v>0</v>
      </c>
      <c r="L35" s="536">
        <v>0</v>
      </c>
      <c r="M35" s="536">
        <v>0</v>
      </c>
      <c r="N35" s="167">
        <f t="shared" si="18"/>
        <v>0</v>
      </c>
      <c r="O35" s="536">
        <v>0</v>
      </c>
      <c r="P35" s="536">
        <v>0</v>
      </c>
      <c r="Q35" s="536">
        <f t="shared" si="19"/>
        <v>0</v>
      </c>
      <c r="R35" s="167">
        <f t="shared" si="17"/>
        <v>3637990</v>
      </c>
    </row>
    <row r="36" spans="1:18" x14ac:dyDescent="0.2">
      <c r="A36" s="534"/>
      <c r="B36" s="541"/>
      <c r="C36" s="166" t="s">
        <v>240</v>
      </c>
      <c r="D36" s="166" t="s">
        <v>423</v>
      </c>
      <c r="E36" s="167">
        <v>250000</v>
      </c>
      <c r="F36" s="167">
        <v>2398832</v>
      </c>
      <c r="G36" s="167">
        <v>1200</v>
      </c>
      <c r="H36" s="167">
        <v>-20</v>
      </c>
      <c r="I36" s="167">
        <f t="shared" si="16"/>
        <v>2650012</v>
      </c>
      <c r="J36" s="536">
        <v>0</v>
      </c>
      <c r="K36" s="536">
        <v>0</v>
      </c>
      <c r="L36" s="536">
        <v>0</v>
      </c>
      <c r="M36" s="536">
        <v>0</v>
      </c>
      <c r="N36" s="167">
        <f t="shared" si="18"/>
        <v>0</v>
      </c>
      <c r="O36" s="536">
        <v>0</v>
      </c>
      <c r="P36" s="536">
        <v>0</v>
      </c>
      <c r="Q36" s="536">
        <f t="shared" si="19"/>
        <v>0</v>
      </c>
      <c r="R36" s="167">
        <f t="shared" si="17"/>
        <v>2650012</v>
      </c>
    </row>
    <row r="37" spans="1:18" x14ac:dyDescent="0.2">
      <c r="A37" s="534"/>
      <c r="B37" s="541"/>
      <c r="C37" s="166" t="s">
        <v>262</v>
      </c>
      <c r="D37" s="166" t="s">
        <v>424</v>
      </c>
      <c r="E37" s="167">
        <v>1000</v>
      </c>
      <c r="F37" s="167">
        <v>286725</v>
      </c>
      <c r="G37" s="167">
        <v>0</v>
      </c>
      <c r="H37" s="167">
        <v>107</v>
      </c>
      <c r="I37" s="167">
        <f t="shared" si="16"/>
        <v>287832</v>
      </c>
      <c r="J37" s="536">
        <v>0</v>
      </c>
      <c r="K37" s="536">
        <v>0</v>
      </c>
      <c r="L37" s="536">
        <v>0</v>
      </c>
      <c r="M37" s="536">
        <v>0</v>
      </c>
      <c r="N37" s="167">
        <f t="shared" si="18"/>
        <v>0</v>
      </c>
      <c r="O37" s="536">
        <v>0</v>
      </c>
      <c r="P37" s="536">
        <v>0</v>
      </c>
      <c r="Q37" s="536">
        <f t="shared" si="19"/>
        <v>0</v>
      </c>
      <c r="R37" s="167">
        <f t="shared" si="17"/>
        <v>287832</v>
      </c>
    </row>
    <row r="38" spans="1:18" x14ac:dyDescent="0.2">
      <c r="A38" s="534"/>
      <c r="B38" s="370" t="s">
        <v>255</v>
      </c>
      <c r="C38" s="370"/>
      <c r="D38" s="357" t="s">
        <v>425</v>
      </c>
      <c r="E38" s="190">
        <f t="shared" ref="E38:Q38" si="20">SUM(E30:E37)</f>
        <v>11773076</v>
      </c>
      <c r="F38" s="190">
        <f t="shared" si="20"/>
        <v>3130218</v>
      </c>
      <c r="G38" s="190">
        <f t="shared" si="20"/>
        <v>1200</v>
      </c>
      <c r="H38" s="190">
        <f t="shared" si="20"/>
        <v>87</v>
      </c>
      <c r="I38" s="190">
        <f t="shared" si="20"/>
        <v>14904581</v>
      </c>
      <c r="J38" s="190">
        <f t="shared" si="20"/>
        <v>3712778</v>
      </c>
      <c r="K38" s="190">
        <f t="shared" si="20"/>
        <v>606700</v>
      </c>
      <c r="L38" s="190">
        <f t="shared" si="20"/>
        <v>2000000</v>
      </c>
      <c r="M38" s="190">
        <f t="shared" si="20"/>
        <v>0</v>
      </c>
      <c r="N38" s="190">
        <f t="shared" si="20"/>
        <v>6319478</v>
      </c>
      <c r="O38" s="190">
        <f t="shared" si="20"/>
        <v>0</v>
      </c>
      <c r="P38" s="190">
        <f t="shared" si="20"/>
        <v>0</v>
      </c>
      <c r="Q38" s="190">
        <f t="shared" si="20"/>
        <v>0</v>
      </c>
      <c r="R38" s="190">
        <f>SUM(R30:R37)</f>
        <v>21224059</v>
      </c>
    </row>
    <row r="39" spans="1:18" x14ac:dyDescent="0.2">
      <c r="A39" s="534" t="s">
        <v>48</v>
      </c>
      <c r="B39" s="541"/>
      <c r="C39" s="166" t="s">
        <v>263</v>
      </c>
      <c r="D39" s="166" t="s">
        <v>426</v>
      </c>
      <c r="E39" s="167">
        <v>2372880</v>
      </c>
      <c r="F39" s="167">
        <v>0</v>
      </c>
      <c r="G39" s="536">
        <v>0</v>
      </c>
      <c r="H39" s="536">
        <v>0</v>
      </c>
      <c r="I39" s="167">
        <f t="shared" si="16"/>
        <v>2372880</v>
      </c>
      <c r="J39" s="536">
        <v>0</v>
      </c>
      <c r="K39" s="536">
        <v>0</v>
      </c>
      <c r="L39" s="536">
        <v>0</v>
      </c>
      <c r="M39" s="536">
        <v>0</v>
      </c>
      <c r="N39" s="167">
        <f t="shared" si="18"/>
        <v>0</v>
      </c>
      <c r="O39" s="536">
        <v>0</v>
      </c>
      <c r="P39" s="536">
        <v>0</v>
      </c>
      <c r="Q39" s="536">
        <f>SUM(O39:P39)</f>
        <v>0</v>
      </c>
      <c r="R39" s="167">
        <f t="shared" si="17"/>
        <v>2372880</v>
      </c>
    </row>
    <row r="40" spans="1:18" x14ac:dyDescent="0.2">
      <c r="A40" s="534"/>
      <c r="B40" s="541"/>
      <c r="C40" s="166" t="s">
        <v>381</v>
      </c>
      <c r="D40" s="166"/>
      <c r="E40" s="167">
        <v>0</v>
      </c>
      <c r="F40" s="167">
        <v>0</v>
      </c>
      <c r="G40" s="536">
        <v>0</v>
      </c>
      <c r="H40" s="167">
        <v>1797839</v>
      </c>
      <c r="I40" s="167">
        <f t="shared" si="16"/>
        <v>1797839</v>
      </c>
      <c r="J40" s="536">
        <v>0</v>
      </c>
      <c r="K40" s="536">
        <v>0</v>
      </c>
      <c r="L40" s="536">
        <v>0</v>
      </c>
      <c r="M40" s="536">
        <v>0</v>
      </c>
      <c r="N40" s="167">
        <f t="shared" si="18"/>
        <v>0</v>
      </c>
      <c r="O40" s="536">
        <v>0</v>
      </c>
      <c r="P40" s="536">
        <v>0</v>
      </c>
      <c r="Q40" s="536">
        <f>SUM(O40:P40)</f>
        <v>0</v>
      </c>
      <c r="R40" s="167">
        <f t="shared" si="17"/>
        <v>1797839</v>
      </c>
    </row>
    <row r="41" spans="1:18" x14ac:dyDescent="0.2">
      <c r="A41" s="534"/>
      <c r="B41" s="370" t="s">
        <v>241</v>
      </c>
      <c r="C41" s="370"/>
      <c r="D41" s="357" t="s">
        <v>426</v>
      </c>
      <c r="E41" s="190">
        <f>SUM(E39:E40)</f>
        <v>2372880</v>
      </c>
      <c r="F41" s="190">
        <f t="shared" ref="F41:R41" si="21">SUM(F39:F40)</f>
        <v>0</v>
      </c>
      <c r="G41" s="190">
        <f t="shared" si="21"/>
        <v>0</v>
      </c>
      <c r="H41" s="190">
        <f t="shared" si="21"/>
        <v>1797839</v>
      </c>
      <c r="I41" s="190">
        <f>SUM(I39:I40)</f>
        <v>4170719</v>
      </c>
      <c r="J41" s="190">
        <f t="shared" si="21"/>
        <v>0</v>
      </c>
      <c r="K41" s="190">
        <f t="shared" si="21"/>
        <v>0</v>
      </c>
      <c r="L41" s="190">
        <f t="shared" si="21"/>
        <v>0</v>
      </c>
      <c r="M41" s="190">
        <f t="shared" si="21"/>
        <v>0</v>
      </c>
      <c r="N41" s="190">
        <f t="shared" si="21"/>
        <v>0</v>
      </c>
      <c r="O41" s="190">
        <f t="shared" si="21"/>
        <v>0</v>
      </c>
      <c r="P41" s="190">
        <f t="shared" si="21"/>
        <v>0</v>
      </c>
      <c r="Q41" s="190">
        <f t="shared" si="21"/>
        <v>0</v>
      </c>
      <c r="R41" s="190">
        <f t="shared" si="21"/>
        <v>4170719</v>
      </c>
    </row>
    <row r="42" spans="1:18" s="572" customFormat="1" x14ac:dyDescent="0.2">
      <c r="A42" s="571"/>
      <c r="B42" s="541"/>
      <c r="C42" s="166" t="s">
        <v>379</v>
      </c>
      <c r="D42" s="339" t="s">
        <v>468</v>
      </c>
      <c r="E42" s="330">
        <v>0</v>
      </c>
      <c r="F42" s="330">
        <v>16654</v>
      </c>
      <c r="G42" s="330"/>
      <c r="H42" s="330"/>
      <c r="I42" s="167">
        <f>SUM(E42:H42)</f>
        <v>16654</v>
      </c>
      <c r="J42" s="330">
        <v>0</v>
      </c>
      <c r="K42" s="330">
        <v>0</v>
      </c>
      <c r="L42" s="330">
        <v>0</v>
      </c>
      <c r="M42" s="330">
        <v>0</v>
      </c>
      <c r="N42" s="167">
        <v>0</v>
      </c>
      <c r="O42" s="330">
        <v>0</v>
      </c>
      <c r="P42" s="330">
        <v>0</v>
      </c>
      <c r="Q42" s="536">
        <v>0</v>
      </c>
      <c r="R42" s="167">
        <f t="shared" si="17"/>
        <v>16654</v>
      </c>
    </row>
    <row r="43" spans="1:18" x14ac:dyDescent="0.2">
      <c r="A43" s="552"/>
      <c r="B43" s="370" t="s">
        <v>380</v>
      </c>
      <c r="C43" s="371"/>
      <c r="D43" s="357" t="s">
        <v>468</v>
      </c>
      <c r="E43" s="190">
        <f>SUM(E42)</f>
        <v>0</v>
      </c>
      <c r="F43" s="190">
        <f t="shared" ref="F43:R43" si="22">SUM(F42)</f>
        <v>16654</v>
      </c>
      <c r="G43" s="190">
        <f t="shared" si="22"/>
        <v>0</v>
      </c>
      <c r="H43" s="190">
        <f t="shared" si="22"/>
        <v>0</v>
      </c>
      <c r="I43" s="190">
        <f t="shared" si="22"/>
        <v>16654</v>
      </c>
      <c r="J43" s="190">
        <f t="shared" si="22"/>
        <v>0</v>
      </c>
      <c r="K43" s="190">
        <f t="shared" si="22"/>
        <v>0</v>
      </c>
      <c r="L43" s="190">
        <f t="shared" si="22"/>
        <v>0</v>
      </c>
      <c r="M43" s="190">
        <f t="shared" si="22"/>
        <v>0</v>
      </c>
      <c r="N43" s="190">
        <f t="shared" si="22"/>
        <v>0</v>
      </c>
      <c r="O43" s="190">
        <f t="shared" si="22"/>
        <v>0</v>
      </c>
      <c r="P43" s="190">
        <f t="shared" si="22"/>
        <v>0</v>
      </c>
      <c r="Q43" s="190">
        <f t="shared" si="22"/>
        <v>0</v>
      </c>
      <c r="R43" s="190">
        <f t="shared" si="22"/>
        <v>16654</v>
      </c>
    </row>
    <row r="44" spans="1:18" s="572" customFormat="1" ht="25.5" x14ac:dyDescent="0.2">
      <c r="A44" s="571"/>
      <c r="B44" s="339"/>
      <c r="C44" s="339" t="s">
        <v>375</v>
      </c>
      <c r="D44" s="339" t="s">
        <v>469</v>
      </c>
      <c r="E44" s="330">
        <v>0</v>
      </c>
      <c r="F44" s="330">
        <v>1049525</v>
      </c>
      <c r="G44" s="330"/>
      <c r="H44" s="330">
        <v>0</v>
      </c>
      <c r="I44" s="167">
        <f t="shared" ref="I44:I46" si="23">SUM(E44:H44)</f>
        <v>1049525</v>
      </c>
      <c r="J44" s="330">
        <v>0</v>
      </c>
      <c r="K44" s="330">
        <v>0</v>
      </c>
      <c r="L44" s="330">
        <v>0</v>
      </c>
      <c r="M44" s="330">
        <v>0</v>
      </c>
      <c r="N44" s="536">
        <f t="shared" ref="N44:N46" si="24">SUM(J44:M44)</f>
        <v>0</v>
      </c>
      <c r="O44" s="330">
        <v>0</v>
      </c>
      <c r="P44" s="330">
        <v>0</v>
      </c>
      <c r="Q44" s="536">
        <f>SUM(O44:P44)</f>
        <v>0</v>
      </c>
      <c r="R44" s="167">
        <f t="shared" si="17"/>
        <v>1049525</v>
      </c>
    </row>
    <row r="45" spans="1:18" ht="25.5" x14ac:dyDescent="0.2">
      <c r="A45" s="534" t="s">
        <v>49</v>
      </c>
      <c r="B45" s="541"/>
      <c r="C45" s="166" t="s">
        <v>264</v>
      </c>
      <c r="D45" s="166" t="s">
        <v>427</v>
      </c>
      <c r="E45" s="167">
        <v>701680</v>
      </c>
      <c r="F45" s="167">
        <v>0</v>
      </c>
      <c r="G45" s="536">
        <v>0</v>
      </c>
      <c r="H45" s="536">
        <v>0</v>
      </c>
      <c r="I45" s="167">
        <f t="shared" si="23"/>
        <v>701680</v>
      </c>
      <c r="J45" s="536">
        <v>0</v>
      </c>
      <c r="K45" s="536">
        <v>0</v>
      </c>
      <c r="L45" s="536">
        <v>0</v>
      </c>
      <c r="M45" s="536">
        <v>0</v>
      </c>
      <c r="N45" s="536">
        <f t="shared" si="24"/>
        <v>0</v>
      </c>
      <c r="O45" s="536">
        <v>0</v>
      </c>
      <c r="P45" s="536">
        <v>0</v>
      </c>
      <c r="Q45" s="536">
        <f>SUM(O45:P45)</f>
        <v>0</v>
      </c>
      <c r="R45" s="167">
        <f t="shared" si="17"/>
        <v>701680</v>
      </c>
    </row>
    <row r="46" spans="1:18" x14ac:dyDescent="0.2">
      <c r="A46" s="534"/>
      <c r="B46" s="541"/>
      <c r="C46" s="166" t="s">
        <v>340</v>
      </c>
      <c r="D46" s="166" t="s">
        <v>428</v>
      </c>
      <c r="E46" s="167">
        <v>7280000</v>
      </c>
      <c r="F46" s="167">
        <v>0</v>
      </c>
      <c r="G46" s="536">
        <v>0</v>
      </c>
      <c r="H46" s="536">
        <v>0</v>
      </c>
      <c r="I46" s="167">
        <f t="shared" si="23"/>
        <v>7280000</v>
      </c>
      <c r="J46" s="536">
        <v>0</v>
      </c>
      <c r="K46" s="536">
        <v>0</v>
      </c>
      <c r="L46" s="536">
        <v>0</v>
      </c>
      <c r="M46" s="536">
        <v>0</v>
      </c>
      <c r="N46" s="536">
        <f t="shared" si="24"/>
        <v>0</v>
      </c>
      <c r="O46" s="536">
        <v>0</v>
      </c>
      <c r="P46" s="536">
        <v>0</v>
      </c>
      <c r="Q46" s="536">
        <f>SUM(O46:P46)</f>
        <v>0</v>
      </c>
      <c r="R46" s="167">
        <f t="shared" si="17"/>
        <v>7280000</v>
      </c>
    </row>
    <row r="47" spans="1:18" x14ac:dyDescent="0.2">
      <c r="A47" s="534"/>
      <c r="B47" s="370" t="s">
        <v>242</v>
      </c>
      <c r="C47" s="370"/>
      <c r="D47" s="357" t="s">
        <v>429</v>
      </c>
      <c r="E47" s="190">
        <f>SUM(E44:E46)</f>
        <v>7981680</v>
      </c>
      <c r="F47" s="190">
        <f t="shared" ref="F47:R47" si="25">SUM(F44:F46)</f>
        <v>1049525</v>
      </c>
      <c r="G47" s="190">
        <f t="shared" si="25"/>
        <v>0</v>
      </c>
      <c r="H47" s="190">
        <f t="shared" si="25"/>
        <v>0</v>
      </c>
      <c r="I47" s="190">
        <f t="shared" si="25"/>
        <v>9031205</v>
      </c>
      <c r="J47" s="190">
        <f t="shared" si="25"/>
        <v>0</v>
      </c>
      <c r="K47" s="190">
        <f t="shared" si="25"/>
        <v>0</v>
      </c>
      <c r="L47" s="190">
        <f t="shared" si="25"/>
        <v>0</v>
      </c>
      <c r="M47" s="190">
        <f t="shared" si="25"/>
        <v>0</v>
      </c>
      <c r="N47" s="190">
        <f>SUM(N44:N46)</f>
        <v>0</v>
      </c>
      <c r="O47" s="190">
        <f t="shared" si="25"/>
        <v>0</v>
      </c>
      <c r="P47" s="190">
        <f t="shared" si="25"/>
        <v>0</v>
      </c>
      <c r="Q47" s="190">
        <f t="shared" si="25"/>
        <v>0</v>
      </c>
      <c r="R47" s="190">
        <f t="shared" si="25"/>
        <v>9031205</v>
      </c>
    </row>
    <row r="48" spans="1:18" s="545" customFormat="1" x14ac:dyDescent="0.2">
      <c r="A48" s="542" t="s">
        <v>243</v>
      </c>
      <c r="B48" s="542"/>
      <c r="C48" s="542"/>
      <c r="D48" s="543" t="s">
        <v>430</v>
      </c>
      <c r="E48" s="544">
        <f>E19+E29+E38+E41+E47+E22+E43</f>
        <v>508059744</v>
      </c>
      <c r="F48" s="544">
        <f t="shared" ref="F48:R48" si="26">F19+F29+F38+F41+F47+F22+F43</f>
        <v>67033247</v>
      </c>
      <c r="G48" s="544">
        <f t="shared" si="26"/>
        <v>1200</v>
      </c>
      <c r="H48" s="544">
        <f t="shared" si="26"/>
        <v>4028374</v>
      </c>
      <c r="I48" s="544">
        <f t="shared" si="26"/>
        <v>579122565</v>
      </c>
      <c r="J48" s="544">
        <f t="shared" si="26"/>
        <v>3712778</v>
      </c>
      <c r="K48" s="544">
        <f t="shared" si="26"/>
        <v>606700</v>
      </c>
      <c r="L48" s="544">
        <f t="shared" si="26"/>
        <v>2000000</v>
      </c>
      <c r="M48" s="544">
        <f t="shared" si="26"/>
        <v>0</v>
      </c>
      <c r="N48" s="544">
        <f t="shared" si="26"/>
        <v>6319478</v>
      </c>
      <c r="O48" s="544">
        <f t="shared" si="26"/>
        <v>0</v>
      </c>
      <c r="P48" s="544">
        <f t="shared" si="26"/>
        <v>0</v>
      </c>
      <c r="Q48" s="544">
        <f t="shared" si="26"/>
        <v>0</v>
      </c>
      <c r="R48" s="544">
        <f t="shared" si="26"/>
        <v>585442043</v>
      </c>
    </row>
    <row r="49" spans="1:18" ht="25.5" x14ac:dyDescent="0.2">
      <c r="A49" s="546"/>
      <c r="B49" s="541"/>
      <c r="C49" s="166" t="s">
        <v>307</v>
      </c>
      <c r="D49" s="166" t="s">
        <v>431</v>
      </c>
      <c r="E49" s="167">
        <v>400000000</v>
      </c>
      <c r="F49" s="167">
        <v>0</v>
      </c>
      <c r="G49" s="536">
        <v>0</v>
      </c>
      <c r="H49" s="536">
        <v>0</v>
      </c>
      <c r="I49" s="167">
        <f>SUM(E49:H49)</f>
        <v>400000000</v>
      </c>
      <c r="J49" s="536">
        <v>0</v>
      </c>
      <c r="K49" s="536">
        <v>0</v>
      </c>
      <c r="L49" s="536">
        <v>0</v>
      </c>
      <c r="M49" s="536">
        <v>0</v>
      </c>
      <c r="N49" s="536">
        <f>SUM(J49:M49)</f>
        <v>0</v>
      </c>
      <c r="O49" s="536">
        <v>0</v>
      </c>
      <c r="P49" s="536">
        <v>0</v>
      </c>
      <c r="Q49" s="536">
        <f>SUM(O49:P49)</f>
        <v>0</v>
      </c>
      <c r="R49" s="167">
        <f t="shared" ref="R49:R55" si="27">I49+N49+Q49</f>
        <v>400000000</v>
      </c>
    </row>
    <row r="50" spans="1:18" x14ac:dyDescent="0.2">
      <c r="A50" s="546"/>
      <c r="B50" s="370" t="s">
        <v>308</v>
      </c>
      <c r="C50" s="370"/>
      <c r="D50" s="357" t="s">
        <v>432</v>
      </c>
      <c r="E50" s="190">
        <f t="shared" ref="E50:R50" si="28">SUM(E49)</f>
        <v>400000000</v>
      </c>
      <c r="F50" s="190">
        <f t="shared" si="28"/>
        <v>0</v>
      </c>
      <c r="G50" s="190">
        <f t="shared" si="28"/>
        <v>0</v>
      </c>
      <c r="H50" s="190">
        <f t="shared" si="28"/>
        <v>0</v>
      </c>
      <c r="I50" s="190">
        <f t="shared" si="28"/>
        <v>400000000</v>
      </c>
      <c r="J50" s="190">
        <f t="shared" si="28"/>
        <v>0</v>
      </c>
      <c r="K50" s="190">
        <f t="shared" si="28"/>
        <v>0</v>
      </c>
      <c r="L50" s="190">
        <f t="shared" si="28"/>
        <v>0</v>
      </c>
      <c r="M50" s="190">
        <f t="shared" si="28"/>
        <v>0</v>
      </c>
      <c r="N50" s="190">
        <f t="shared" si="28"/>
        <v>0</v>
      </c>
      <c r="O50" s="190">
        <f t="shared" si="28"/>
        <v>0</v>
      </c>
      <c r="P50" s="190">
        <f t="shared" si="28"/>
        <v>0</v>
      </c>
      <c r="Q50" s="190">
        <f t="shared" si="28"/>
        <v>0</v>
      </c>
      <c r="R50" s="190">
        <f t="shared" si="28"/>
        <v>400000000</v>
      </c>
    </row>
    <row r="51" spans="1:18" x14ac:dyDescent="0.2">
      <c r="A51" s="534" t="s">
        <v>56</v>
      </c>
      <c r="B51" s="541"/>
      <c r="C51" s="166" t="s">
        <v>271</v>
      </c>
      <c r="D51" s="166" t="s">
        <v>433</v>
      </c>
      <c r="E51" s="167">
        <v>131883904</v>
      </c>
      <c r="F51" s="167"/>
      <c r="G51" s="536">
        <v>0</v>
      </c>
      <c r="H51" s="536">
        <v>0</v>
      </c>
      <c r="I51" s="167">
        <f t="shared" ref="I51" si="29">SUM(E51:H51)</f>
        <v>131883904</v>
      </c>
      <c r="J51" s="536">
        <v>0</v>
      </c>
      <c r="K51" s="536">
        <v>0</v>
      </c>
      <c r="L51" s="536">
        <v>0</v>
      </c>
      <c r="M51" s="536">
        <v>0</v>
      </c>
      <c r="N51" s="167">
        <f t="shared" ref="N51:N55" si="30">SUM(J51:M51)</f>
        <v>0</v>
      </c>
      <c r="O51" s="536">
        <v>0</v>
      </c>
      <c r="P51" s="536">
        <v>0</v>
      </c>
      <c r="Q51" s="536">
        <f>SUM(O51:P51)</f>
        <v>0</v>
      </c>
      <c r="R51" s="167">
        <f t="shared" si="27"/>
        <v>131883904</v>
      </c>
    </row>
    <row r="52" spans="1:18" x14ac:dyDescent="0.2">
      <c r="A52" s="534"/>
      <c r="B52" s="370" t="s">
        <v>270</v>
      </c>
      <c r="C52" s="370"/>
      <c r="D52" s="357" t="s">
        <v>433</v>
      </c>
      <c r="E52" s="190">
        <f t="shared" ref="E52:R52" si="31">SUM(E51)</f>
        <v>131883904</v>
      </c>
      <c r="F52" s="190">
        <f t="shared" si="31"/>
        <v>0</v>
      </c>
      <c r="G52" s="190">
        <f t="shared" si="31"/>
        <v>0</v>
      </c>
      <c r="H52" s="190">
        <f t="shared" si="31"/>
        <v>0</v>
      </c>
      <c r="I52" s="190">
        <f t="shared" si="31"/>
        <v>131883904</v>
      </c>
      <c r="J52" s="190">
        <f t="shared" si="31"/>
        <v>0</v>
      </c>
      <c r="K52" s="190">
        <f t="shared" si="31"/>
        <v>0</v>
      </c>
      <c r="L52" s="190">
        <f t="shared" si="31"/>
        <v>0</v>
      </c>
      <c r="M52" s="190">
        <f t="shared" si="31"/>
        <v>0</v>
      </c>
      <c r="N52" s="190">
        <f t="shared" si="31"/>
        <v>0</v>
      </c>
      <c r="O52" s="190">
        <f t="shared" si="31"/>
        <v>0</v>
      </c>
      <c r="P52" s="190">
        <f t="shared" si="31"/>
        <v>0</v>
      </c>
      <c r="Q52" s="190">
        <f t="shared" si="31"/>
        <v>0</v>
      </c>
      <c r="R52" s="190">
        <f t="shared" si="31"/>
        <v>131883904</v>
      </c>
    </row>
    <row r="53" spans="1:18" x14ac:dyDescent="0.2">
      <c r="A53" s="534" t="s">
        <v>58</v>
      </c>
      <c r="B53" s="541"/>
      <c r="C53" s="166" t="s">
        <v>300</v>
      </c>
      <c r="D53" s="166" t="s">
        <v>434</v>
      </c>
      <c r="E53" s="167">
        <v>47915639</v>
      </c>
      <c r="F53" s="167"/>
      <c r="G53" s="167">
        <v>357716</v>
      </c>
      <c r="H53" s="167">
        <v>0</v>
      </c>
      <c r="I53" s="167">
        <f t="shared" ref="I53" si="32">SUM(E53:H53)</f>
        <v>48273355</v>
      </c>
      <c r="J53" s="536">
        <v>0</v>
      </c>
      <c r="K53" s="536">
        <v>0</v>
      </c>
      <c r="L53" s="536">
        <v>0</v>
      </c>
      <c r="M53" s="536">
        <v>0</v>
      </c>
      <c r="N53" s="167">
        <f t="shared" si="30"/>
        <v>0</v>
      </c>
      <c r="O53" s="536">
        <v>0</v>
      </c>
      <c r="P53" s="536">
        <v>0</v>
      </c>
      <c r="Q53" s="536">
        <f>SUM(O53:P53)</f>
        <v>0</v>
      </c>
      <c r="R53" s="167">
        <f t="shared" si="27"/>
        <v>48273355</v>
      </c>
    </row>
    <row r="54" spans="1:18" x14ac:dyDescent="0.2">
      <c r="A54" s="534"/>
      <c r="B54" s="370" t="s">
        <v>272</v>
      </c>
      <c r="C54" s="370"/>
      <c r="D54" s="357" t="s">
        <v>434</v>
      </c>
      <c r="E54" s="190">
        <f t="shared" ref="E54:Q54" si="33">SUM(E53)</f>
        <v>47915639</v>
      </c>
      <c r="F54" s="190">
        <f t="shared" si="33"/>
        <v>0</v>
      </c>
      <c r="G54" s="190">
        <f t="shared" si="33"/>
        <v>357716</v>
      </c>
      <c r="H54" s="190">
        <f t="shared" si="33"/>
        <v>0</v>
      </c>
      <c r="I54" s="190">
        <f t="shared" si="33"/>
        <v>48273355</v>
      </c>
      <c r="J54" s="190">
        <f t="shared" si="33"/>
        <v>0</v>
      </c>
      <c r="K54" s="190">
        <f t="shared" si="33"/>
        <v>0</v>
      </c>
      <c r="L54" s="190">
        <f t="shared" si="33"/>
        <v>0</v>
      </c>
      <c r="M54" s="190">
        <f t="shared" si="33"/>
        <v>0</v>
      </c>
      <c r="N54" s="190">
        <f t="shared" si="33"/>
        <v>0</v>
      </c>
      <c r="O54" s="190">
        <f t="shared" si="33"/>
        <v>0</v>
      </c>
      <c r="P54" s="190">
        <f t="shared" si="33"/>
        <v>0</v>
      </c>
      <c r="Q54" s="190">
        <f t="shared" si="33"/>
        <v>0</v>
      </c>
      <c r="R54" s="190">
        <f>SUM(R53)</f>
        <v>48273355</v>
      </c>
    </row>
    <row r="55" spans="1:18" x14ac:dyDescent="0.2">
      <c r="A55" s="547" t="s">
        <v>59</v>
      </c>
      <c r="B55" s="541"/>
      <c r="C55" s="166" t="s">
        <v>304</v>
      </c>
      <c r="D55" s="166" t="s">
        <v>435</v>
      </c>
      <c r="E55" s="536">
        <v>0</v>
      </c>
      <c r="F55" s="536"/>
      <c r="G55" s="167">
        <v>102023405</v>
      </c>
      <c r="H55" s="167">
        <v>997200</v>
      </c>
      <c r="I55" s="167">
        <f t="shared" ref="I55" si="34">SUM(E55:H55)</f>
        <v>103020605</v>
      </c>
      <c r="J55" s="536">
        <v>0</v>
      </c>
      <c r="K55" s="536">
        <v>0</v>
      </c>
      <c r="L55" s="536">
        <v>0</v>
      </c>
      <c r="M55" s="536">
        <v>0</v>
      </c>
      <c r="N55" s="167">
        <f t="shared" si="30"/>
        <v>0</v>
      </c>
      <c r="O55" s="536">
        <v>0</v>
      </c>
      <c r="P55" s="536">
        <v>0</v>
      </c>
      <c r="Q55" s="536">
        <f>SUM(O55:P55)</f>
        <v>0</v>
      </c>
      <c r="R55" s="167">
        <f t="shared" si="27"/>
        <v>103020605</v>
      </c>
    </row>
    <row r="56" spans="1:18" x14ac:dyDescent="0.2">
      <c r="A56" s="548"/>
      <c r="B56" s="370" t="s">
        <v>305</v>
      </c>
      <c r="C56" s="370"/>
      <c r="D56" s="357" t="s">
        <v>436</v>
      </c>
      <c r="E56" s="190">
        <f t="shared" ref="E56:Q56" si="35">SUM(E55)</f>
        <v>0</v>
      </c>
      <c r="F56" s="190">
        <f t="shared" si="35"/>
        <v>0</v>
      </c>
      <c r="G56" s="190">
        <f t="shared" si="35"/>
        <v>102023405</v>
      </c>
      <c r="H56" s="190">
        <f t="shared" si="35"/>
        <v>997200</v>
      </c>
      <c r="I56" s="190">
        <f t="shared" si="35"/>
        <v>103020605</v>
      </c>
      <c r="J56" s="190">
        <f t="shared" si="35"/>
        <v>0</v>
      </c>
      <c r="K56" s="190">
        <f t="shared" si="35"/>
        <v>0</v>
      </c>
      <c r="L56" s="190">
        <f t="shared" si="35"/>
        <v>0</v>
      </c>
      <c r="M56" s="190">
        <f t="shared" si="35"/>
        <v>0</v>
      </c>
      <c r="N56" s="190">
        <f t="shared" si="35"/>
        <v>0</v>
      </c>
      <c r="O56" s="190">
        <f t="shared" si="35"/>
        <v>0</v>
      </c>
      <c r="P56" s="190">
        <f t="shared" si="35"/>
        <v>0</v>
      </c>
      <c r="Q56" s="190">
        <f t="shared" si="35"/>
        <v>0</v>
      </c>
      <c r="R56" s="190">
        <f>SUM(R55)</f>
        <v>103020605</v>
      </c>
    </row>
    <row r="57" spans="1:18" s="539" customFormat="1" x14ac:dyDescent="0.2">
      <c r="A57" s="542" t="s">
        <v>273</v>
      </c>
      <c r="B57" s="542"/>
      <c r="C57" s="542"/>
      <c r="D57" s="543" t="s">
        <v>437</v>
      </c>
      <c r="E57" s="544">
        <f>E52+E54+E56+E50</f>
        <v>579799543</v>
      </c>
      <c r="F57" s="544">
        <f t="shared" ref="F57:P57" si="36">F52+F54+F56+F50</f>
        <v>0</v>
      </c>
      <c r="G57" s="544">
        <f t="shared" si="36"/>
        <v>102381121</v>
      </c>
      <c r="H57" s="544">
        <f t="shared" si="36"/>
        <v>997200</v>
      </c>
      <c r="I57" s="544">
        <f t="shared" si="36"/>
        <v>683177864</v>
      </c>
      <c r="J57" s="544">
        <f t="shared" si="36"/>
        <v>0</v>
      </c>
      <c r="K57" s="544">
        <f t="shared" si="36"/>
        <v>0</v>
      </c>
      <c r="L57" s="544">
        <f t="shared" si="36"/>
        <v>0</v>
      </c>
      <c r="M57" s="544">
        <f t="shared" si="36"/>
        <v>0</v>
      </c>
      <c r="N57" s="544">
        <f t="shared" si="36"/>
        <v>0</v>
      </c>
      <c r="O57" s="544">
        <f t="shared" si="36"/>
        <v>0</v>
      </c>
      <c r="P57" s="544">
        <f t="shared" si="36"/>
        <v>0</v>
      </c>
      <c r="Q57" s="544">
        <f t="shared" ref="G57:Q57" si="37">Q52+Q54+Q56+Q50</f>
        <v>0</v>
      </c>
      <c r="R57" s="544">
        <f>R52+R54+R56+R50</f>
        <v>683177864</v>
      </c>
    </row>
    <row r="58" spans="1:18" s="160" customFormat="1" x14ac:dyDescent="0.2">
      <c r="A58" s="549" t="s">
        <v>274</v>
      </c>
      <c r="B58" s="549"/>
      <c r="C58" s="549"/>
      <c r="D58" s="550"/>
      <c r="E58" s="551">
        <f t="shared" ref="E58:Q58" si="38">E48+E57</f>
        <v>1087859287</v>
      </c>
      <c r="F58" s="551">
        <f t="shared" si="38"/>
        <v>67033247</v>
      </c>
      <c r="G58" s="551">
        <f t="shared" si="38"/>
        <v>102382321</v>
      </c>
      <c r="H58" s="551">
        <f t="shared" si="38"/>
        <v>5025574</v>
      </c>
      <c r="I58" s="551">
        <f t="shared" si="38"/>
        <v>1262300429</v>
      </c>
      <c r="J58" s="551">
        <f t="shared" si="38"/>
        <v>3712778</v>
      </c>
      <c r="K58" s="551">
        <f t="shared" si="38"/>
        <v>606700</v>
      </c>
      <c r="L58" s="551">
        <f t="shared" si="38"/>
        <v>2000000</v>
      </c>
      <c r="M58" s="551">
        <f t="shared" si="38"/>
        <v>0</v>
      </c>
      <c r="N58" s="551">
        <f t="shared" si="38"/>
        <v>6319478</v>
      </c>
      <c r="O58" s="551">
        <f t="shared" si="38"/>
        <v>0</v>
      </c>
      <c r="P58" s="551">
        <f t="shared" si="38"/>
        <v>0</v>
      </c>
      <c r="Q58" s="551">
        <f t="shared" si="38"/>
        <v>0</v>
      </c>
      <c r="R58" s="551">
        <f>R48+R57</f>
        <v>1268619907</v>
      </c>
    </row>
  </sheetData>
  <mergeCells count="40">
    <mergeCell ref="A57:C57"/>
    <mergeCell ref="A58:C58"/>
    <mergeCell ref="E4:H4"/>
    <mergeCell ref="J4:M4"/>
    <mergeCell ref="B43:C43"/>
    <mergeCell ref="B21:C21"/>
    <mergeCell ref="B22:C22"/>
    <mergeCell ref="A51:A52"/>
    <mergeCell ref="B52:C52"/>
    <mergeCell ref="A53:A54"/>
    <mergeCell ref="B54:C54"/>
    <mergeCell ref="A55:A56"/>
    <mergeCell ref="B56:C56"/>
    <mergeCell ref="A39:A41"/>
    <mergeCell ref="B41:C41"/>
    <mergeCell ref="A45:A47"/>
    <mergeCell ref="B47:C47"/>
    <mergeCell ref="A48:C48"/>
    <mergeCell ref="B50:C50"/>
    <mergeCell ref="A23:A29"/>
    <mergeCell ref="B23:C23"/>
    <mergeCell ref="B27:C27"/>
    <mergeCell ref="B28:C28"/>
    <mergeCell ref="B29:C29"/>
    <mergeCell ref="A30:A38"/>
    <mergeCell ref="B38:C38"/>
    <mergeCell ref="Q4:Q5"/>
    <mergeCell ref="R4:R5"/>
    <mergeCell ref="A6:A19"/>
    <mergeCell ref="B12:C12"/>
    <mergeCell ref="B18:C18"/>
    <mergeCell ref="B19:C19"/>
    <mergeCell ref="A1:R1"/>
    <mergeCell ref="A2:R2"/>
    <mergeCell ref="A3:C5"/>
    <mergeCell ref="D3:D5"/>
    <mergeCell ref="E3:R3"/>
    <mergeCell ref="I4:I5"/>
    <mergeCell ref="N4:N5"/>
    <mergeCell ref="O4:P4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&amp;R1.1.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>
    <tabColor indexed="11"/>
  </sheetPr>
  <dimension ref="A1:R31"/>
  <sheetViews>
    <sheetView zoomScale="80" zoomScaleNormal="80" zoomScaleSheetLayoutView="100" workbookViewId="0">
      <pane xSplit="1" topLeftCell="B1" activePane="topRight" state="frozen"/>
      <selection pane="topRight" activeCell="E8" sqref="E8"/>
    </sheetView>
  </sheetViews>
  <sheetFormatPr defaultRowHeight="12.75" x14ac:dyDescent="0.2"/>
  <cols>
    <col min="1" max="1" width="4.28515625" customWidth="1"/>
    <col min="2" max="2" width="2.85546875" customWidth="1"/>
    <col min="3" max="3" width="54.5703125" customWidth="1"/>
    <col min="4" max="4" width="13.5703125" bestFit="1" customWidth="1"/>
    <col min="5" max="5" width="12.5703125" customWidth="1"/>
    <col min="6" max="6" width="13.5703125" bestFit="1" customWidth="1"/>
    <col min="7" max="7" width="17" customWidth="1"/>
    <col min="8" max="8" width="14.5703125" style="192" bestFit="1" customWidth="1"/>
    <col min="9" max="11" width="14.5703125" style="192" customWidth="1"/>
    <col min="12" max="15" width="14" customWidth="1"/>
    <col min="17" max="18" width="12.7109375" style="159" bestFit="1" customWidth="1"/>
  </cols>
  <sheetData>
    <row r="1" spans="1:18" ht="21.75" customHeight="1" x14ac:dyDescent="0.2">
      <c r="A1" s="372" t="s">
        <v>370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256"/>
      <c r="N1" s="256"/>
      <c r="O1" s="256"/>
    </row>
    <row r="2" spans="1:18" ht="28.5" customHeight="1" x14ac:dyDescent="0.25">
      <c r="A2" s="395" t="s">
        <v>122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259"/>
      <c r="N2" s="259"/>
      <c r="O2" s="259"/>
    </row>
    <row r="3" spans="1:18" ht="36.75" customHeight="1" x14ac:dyDescent="0.2">
      <c r="A3" s="377" t="s">
        <v>44</v>
      </c>
      <c r="B3" s="378"/>
      <c r="C3" s="379"/>
      <c r="D3" s="383" t="s">
        <v>239</v>
      </c>
      <c r="E3" s="384"/>
      <c r="F3" s="384"/>
      <c r="G3" s="384"/>
      <c r="H3" s="384"/>
      <c r="I3" s="384"/>
      <c r="J3" s="384"/>
      <c r="K3" s="384"/>
      <c r="L3" s="385"/>
      <c r="M3" s="173"/>
      <c r="N3" s="173"/>
      <c r="O3" s="173"/>
    </row>
    <row r="4" spans="1:18" ht="30" customHeight="1" x14ac:dyDescent="0.2">
      <c r="A4" s="380"/>
      <c r="B4" s="381"/>
      <c r="C4" s="382"/>
      <c r="D4" s="173" t="s">
        <v>222</v>
      </c>
      <c r="E4" s="173" t="s">
        <v>366</v>
      </c>
      <c r="F4" s="173" t="s">
        <v>367</v>
      </c>
      <c r="G4" s="173" t="s">
        <v>368</v>
      </c>
      <c r="H4" s="173" t="s">
        <v>303</v>
      </c>
      <c r="I4" s="173" t="s">
        <v>366</v>
      </c>
      <c r="J4" s="173" t="s">
        <v>367</v>
      </c>
      <c r="K4" s="173" t="s">
        <v>368</v>
      </c>
      <c r="L4" s="173" t="s">
        <v>382</v>
      </c>
      <c r="M4" s="173" t="s">
        <v>366</v>
      </c>
      <c r="N4" s="173" t="s">
        <v>367</v>
      </c>
      <c r="O4" s="173" t="s">
        <v>368</v>
      </c>
    </row>
    <row r="5" spans="1:18" s="161" customFormat="1" ht="16.5" customHeight="1" x14ac:dyDescent="0.2">
      <c r="A5" s="393" t="s">
        <v>45</v>
      </c>
      <c r="B5" s="165"/>
      <c r="C5" s="166" t="s">
        <v>276</v>
      </c>
      <c r="D5" s="167">
        <v>29673740</v>
      </c>
      <c r="E5" s="167">
        <f>F5-D5</f>
        <v>0</v>
      </c>
      <c r="F5" s="167">
        <v>29673740</v>
      </c>
      <c r="G5" s="167">
        <v>12854118</v>
      </c>
      <c r="H5" s="167">
        <v>78449844</v>
      </c>
      <c r="I5" s="167">
        <f>J5-H5</f>
        <v>278300</v>
      </c>
      <c r="J5" s="167">
        <v>78728144</v>
      </c>
      <c r="K5" s="167">
        <v>38683819</v>
      </c>
      <c r="L5" s="341">
        <f t="shared" ref="L5:O6" si="0">D5+H5</f>
        <v>108123584</v>
      </c>
      <c r="M5" s="167">
        <f t="shared" si="0"/>
        <v>278300</v>
      </c>
      <c r="N5" s="167">
        <f t="shared" si="0"/>
        <v>108401884</v>
      </c>
      <c r="O5" s="167">
        <f t="shared" si="0"/>
        <v>51537937</v>
      </c>
      <c r="Q5" s="201"/>
      <c r="R5" s="201"/>
    </row>
    <row r="6" spans="1:18" s="161" customFormat="1" ht="16.5" customHeight="1" x14ac:dyDescent="0.2">
      <c r="A6" s="393"/>
      <c r="B6" s="165"/>
      <c r="C6" s="166" t="s">
        <v>277</v>
      </c>
      <c r="D6" s="167">
        <v>14761386</v>
      </c>
      <c r="E6" s="167">
        <f>F6-D6</f>
        <v>-883682</v>
      </c>
      <c r="F6" s="167">
        <v>13877704</v>
      </c>
      <c r="G6" s="167">
        <v>5516761</v>
      </c>
      <c r="H6" s="167">
        <v>100000</v>
      </c>
      <c r="I6" s="167">
        <f>J6-H6</f>
        <v>1921968</v>
      </c>
      <c r="J6" s="167">
        <v>2021968</v>
      </c>
      <c r="K6" s="167">
        <v>1610522</v>
      </c>
      <c r="L6" s="341">
        <f t="shared" si="0"/>
        <v>14861386</v>
      </c>
      <c r="M6" s="167">
        <f t="shared" si="0"/>
        <v>1038286</v>
      </c>
      <c r="N6" s="167">
        <f t="shared" si="0"/>
        <v>15899672</v>
      </c>
      <c r="O6" s="167">
        <f t="shared" si="0"/>
        <v>7127283</v>
      </c>
      <c r="Q6" s="201"/>
      <c r="R6" s="201"/>
    </row>
    <row r="7" spans="1:18" s="164" customFormat="1" ht="21.75" customHeight="1" x14ac:dyDescent="0.2">
      <c r="A7" s="393"/>
      <c r="B7" s="374" t="s">
        <v>275</v>
      </c>
      <c r="C7" s="374"/>
      <c r="D7" s="189">
        <f>SUM(D5:D6)</f>
        <v>44435126</v>
      </c>
      <c r="E7" s="189">
        <f t="shared" ref="E7:G7" si="1">SUM(E5:E6)</f>
        <v>-883682</v>
      </c>
      <c r="F7" s="189">
        <f t="shared" si="1"/>
        <v>43551444</v>
      </c>
      <c r="G7" s="189">
        <f t="shared" si="1"/>
        <v>18370879</v>
      </c>
      <c r="H7" s="189">
        <f>SUM(H5:H6)</f>
        <v>78549844</v>
      </c>
      <c r="I7" s="189">
        <f t="shared" ref="I7:K7" si="2">SUM(I5:I6)</f>
        <v>2200268</v>
      </c>
      <c r="J7" s="189">
        <f t="shared" si="2"/>
        <v>80750112</v>
      </c>
      <c r="K7" s="189">
        <f t="shared" si="2"/>
        <v>40294341</v>
      </c>
      <c r="L7" s="343">
        <f t="shared" ref="L7:M9" si="3">D7+H7</f>
        <v>122984970</v>
      </c>
      <c r="M7" s="174">
        <f t="shared" si="3"/>
        <v>1316586</v>
      </c>
      <c r="N7" s="174">
        <f t="shared" ref="N7:O8" si="4">F7+J7</f>
        <v>124301556</v>
      </c>
      <c r="O7" s="174">
        <f t="shared" si="4"/>
        <v>58665220</v>
      </c>
      <c r="Q7" s="202"/>
      <c r="R7" s="202"/>
    </row>
    <row r="8" spans="1:18" s="164" customFormat="1" ht="22.5" customHeight="1" x14ac:dyDescent="0.2">
      <c r="A8" s="177" t="s">
        <v>46</v>
      </c>
      <c r="B8" s="374" t="s">
        <v>278</v>
      </c>
      <c r="C8" s="374"/>
      <c r="D8" s="189">
        <v>8215177</v>
      </c>
      <c r="E8" s="189">
        <f>F8-D8</f>
        <v>-172318</v>
      </c>
      <c r="F8" s="189">
        <v>8042859</v>
      </c>
      <c r="G8" s="189">
        <v>3146687</v>
      </c>
      <c r="H8" s="189">
        <v>15474402</v>
      </c>
      <c r="I8" s="189">
        <f t="shared" ref="I8:I13" si="5">J8-H8</f>
        <v>332976</v>
      </c>
      <c r="J8" s="189">
        <v>15807378</v>
      </c>
      <c r="K8" s="189">
        <v>7975932</v>
      </c>
      <c r="L8" s="343">
        <f t="shared" si="3"/>
        <v>23689579</v>
      </c>
      <c r="M8" s="174">
        <f t="shared" si="3"/>
        <v>160658</v>
      </c>
      <c r="N8" s="174">
        <f t="shared" si="4"/>
        <v>23850237</v>
      </c>
      <c r="O8" s="174">
        <f t="shared" si="4"/>
        <v>11122619</v>
      </c>
      <c r="Q8" s="202"/>
      <c r="R8" s="202"/>
    </row>
    <row r="9" spans="1:18" s="161" customFormat="1" ht="13.5" customHeight="1" x14ac:dyDescent="0.2">
      <c r="A9" s="375" t="s">
        <v>47</v>
      </c>
      <c r="B9" s="165"/>
      <c r="C9" s="166" t="s">
        <v>279</v>
      </c>
      <c r="D9" s="167">
        <v>7522671</v>
      </c>
      <c r="E9" s="167">
        <f>F9-D9</f>
        <v>0</v>
      </c>
      <c r="F9" s="167">
        <v>7522671</v>
      </c>
      <c r="G9" s="167">
        <v>2986025</v>
      </c>
      <c r="H9" s="167">
        <v>2040720</v>
      </c>
      <c r="I9" s="167">
        <f t="shared" si="5"/>
        <v>6932</v>
      </c>
      <c r="J9" s="167">
        <v>2047652</v>
      </c>
      <c r="K9" s="167">
        <v>282878</v>
      </c>
      <c r="L9" s="341">
        <f t="shared" si="3"/>
        <v>9563391</v>
      </c>
      <c r="M9" s="167">
        <f t="shared" si="3"/>
        <v>6932</v>
      </c>
      <c r="N9" s="167">
        <f>F9+J9</f>
        <v>9570323</v>
      </c>
      <c r="O9" s="167">
        <f>G9+K9</f>
        <v>3268903</v>
      </c>
      <c r="Q9" s="201"/>
      <c r="R9" s="201"/>
    </row>
    <row r="10" spans="1:18" s="161" customFormat="1" ht="13.5" customHeight="1" x14ac:dyDescent="0.2">
      <c r="A10" s="375"/>
      <c r="B10" s="165"/>
      <c r="C10" s="166" t="s">
        <v>280</v>
      </c>
      <c r="D10" s="167">
        <v>1650480</v>
      </c>
      <c r="E10" s="167">
        <f t="shared" ref="E10:E13" si="6">F10-D10</f>
        <v>0</v>
      </c>
      <c r="F10" s="167">
        <v>1650480</v>
      </c>
      <c r="G10" s="167">
        <v>843207</v>
      </c>
      <c r="H10" s="167">
        <v>440000</v>
      </c>
      <c r="I10" s="167">
        <f t="shared" si="5"/>
        <v>0</v>
      </c>
      <c r="J10" s="167">
        <v>440000</v>
      </c>
      <c r="K10" s="167">
        <v>144697</v>
      </c>
      <c r="L10" s="341">
        <f t="shared" ref="L10:L13" si="7">D10+H10</f>
        <v>2090480</v>
      </c>
      <c r="M10" s="167">
        <f t="shared" ref="M10:M13" si="8">E10+I10</f>
        <v>0</v>
      </c>
      <c r="N10" s="167">
        <f t="shared" ref="N10:N16" si="9">F10+J10</f>
        <v>2090480</v>
      </c>
      <c r="O10" s="167">
        <f t="shared" ref="O10:O16" si="10">G10+K10</f>
        <v>987904</v>
      </c>
      <c r="Q10" s="201"/>
      <c r="R10" s="201"/>
    </row>
    <row r="11" spans="1:18" s="161" customFormat="1" ht="13.5" customHeight="1" x14ac:dyDescent="0.2">
      <c r="A11" s="375"/>
      <c r="B11" s="165"/>
      <c r="C11" s="166" t="s">
        <v>281</v>
      </c>
      <c r="D11" s="167">
        <v>54431630</v>
      </c>
      <c r="E11" s="167">
        <f t="shared" si="6"/>
        <v>1415403</v>
      </c>
      <c r="F11" s="167">
        <v>55847033</v>
      </c>
      <c r="G11" s="167">
        <v>31940236</v>
      </c>
      <c r="H11" s="167">
        <v>4925300</v>
      </c>
      <c r="I11" s="167">
        <f t="shared" si="5"/>
        <v>62400</v>
      </c>
      <c r="J11" s="167">
        <v>4987700</v>
      </c>
      <c r="K11" s="167">
        <v>3063534</v>
      </c>
      <c r="L11" s="341">
        <f t="shared" si="7"/>
        <v>59356930</v>
      </c>
      <c r="M11" s="167">
        <f t="shared" si="8"/>
        <v>1477803</v>
      </c>
      <c r="N11" s="167">
        <f t="shared" si="9"/>
        <v>60834733</v>
      </c>
      <c r="O11" s="167">
        <f t="shared" si="10"/>
        <v>35003770</v>
      </c>
      <c r="Q11" s="201"/>
      <c r="R11" s="201"/>
    </row>
    <row r="12" spans="1:18" s="161" customFormat="1" ht="13.5" customHeight="1" x14ac:dyDescent="0.2">
      <c r="A12" s="375"/>
      <c r="B12" s="165"/>
      <c r="C12" s="166" t="s">
        <v>282</v>
      </c>
      <c r="D12" s="167">
        <v>598000</v>
      </c>
      <c r="E12" s="167">
        <f t="shared" si="6"/>
        <v>0</v>
      </c>
      <c r="F12" s="167">
        <v>598000</v>
      </c>
      <c r="G12" s="167">
        <v>50580</v>
      </c>
      <c r="H12" s="167">
        <v>1330000</v>
      </c>
      <c r="I12" s="167">
        <f t="shared" si="5"/>
        <v>61000</v>
      </c>
      <c r="J12" s="167">
        <v>1391000</v>
      </c>
      <c r="K12" s="167">
        <v>554787</v>
      </c>
      <c r="L12" s="341">
        <f t="shared" si="7"/>
        <v>1928000</v>
      </c>
      <c r="M12" s="167">
        <f t="shared" si="8"/>
        <v>61000</v>
      </c>
      <c r="N12" s="167">
        <f t="shared" si="9"/>
        <v>1989000</v>
      </c>
      <c r="O12" s="167">
        <f t="shared" si="10"/>
        <v>605367</v>
      </c>
      <c r="Q12" s="201"/>
      <c r="R12" s="201"/>
    </row>
    <row r="13" spans="1:18" s="161" customFormat="1" ht="13.5" customHeight="1" x14ac:dyDescent="0.2">
      <c r="A13" s="375"/>
      <c r="B13" s="165"/>
      <c r="C13" s="166" t="s">
        <v>283</v>
      </c>
      <c r="D13" s="167">
        <v>30830205</v>
      </c>
      <c r="E13" s="167">
        <f t="shared" si="6"/>
        <v>17749709</v>
      </c>
      <c r="F13" s="167">
        <f>48248914+331000</f>
        <v>48579914</v>
      </c>
      <c r="G13" s="167">
        <v>34735731</v>
      </c>
      <c r="H13" s="167">
        <v>1133850</v>
      </c>
      <c r="I13" s="167">
        <f t="shared" si="5"/>
        <v>35363</v>
      </c>
      <c r="J13" s="167">
        <v>1169213</v>
      </c>
      <c r="K13" s="167">
        <v>553011</v>
      </c>
      <c r="L13" s="341">
        <f t="shared" si="7"/>
        <v>31964055</v>
      </c>
      <c r="M13" s="167">
        <f t="shared" si="8"/>
        <v>17785072</v>
      </c>
      <c r="N13" s="167">
        <f t="shared" si="9"/>
        <v>49749127</v>
      </c>
      <c r="O13" s="167">
        <f t="shared" si="10"/>
        <v>35288742</v>
      </c>
      <c r="Q13" s="201"/>
      <c r="R13" s="201"/>
    </row>
    <row r="14" spans="1:18" s="164" customFormat="1" ht="19.5" customHeight="1" x14ac:dyDescent="0.2">
      <c r="A14" s="375"/>
      <c r="B14" s="374" t="s">
        <v>284</v>
      </c>
      <c r="C14" s="374"/>
      <c r="D14" s="189">
        <f>SUM(D9:D13)</f>
        <v>95032986</v>
      </c>
      <c r="E14" s="189">
        <f t="shared" ref="E14:G14" si="11">SUM(E9:E13)</f>
        <v>19165112</v>
      </c>
      <c r="F14" s="189">
        <f t="shared" si="11"/>
        <v>114198098</v>
      </c>
      <c r="G14" s="189">
        <f t="shared" si="11"/>
        <v>70555779</v>
      </c>
      <c r="H14" s="189">
        <f>SUM(H9:H13)</f>
        <v>9869870</v>
      </c>
      <c r="I14" s="189">
        <f t="shared" ref="I14:K14" si="12">SUM(I9:I13)</f>
        <v>165695</v>
      </c>
      <c r="J14" s="189">
        <f t="shared" si="12"/>
        <v>10035565</v>
      </c>
      <c r="K14" s="189">
        <f t="shared" si="12"/>
        <v>4598907</v>
      </c>
      <c r="L14" s="343">
        <f>D14+H14</f>
        <v>104902856</v>
      </c>
      <c r="M14" s="174">
        <f>E14+I14</f>
        <v>19330807</v>
      </c>
      <c r="N14" s="174">
        <f t="shared" si="9"/>
        <v>124233663</v>
      </c>
      <c r="O14" s="174">
        <f t="shared" si="10"/>
        <v>75154686</v>
      </c>
      <c r="Q14" s="202"/>
      <c r="R14" s="202"/>
    </row>
    <row r="15" spans="1:18" s="164" customFormat="1" ht="25.5" customHeight="1" x14ac:dyDescent="0.2">
      <c r="A15" s="168" t="s">
        <v>48</v>
      </c>
      <c r="B15" s="374" t="s">
        <v>125</v>
      </c>
      <c r="C15" s="374"/>
      <c r="D15" s="189">
        <v>1400000</v>
      </c>
      <c r="E15" s="189">
        <f>F15-D15</f>
        <v>0</v>
      </c>
      <c r="F15" s="189">
        <v>1400000</v>
      </c>
      <c r="G15" s="189">
        <v>322710</v>
      </c>
      <c r="H15" s="189">
        <v>0</v>
      </c>
      <c r="I15" s="189">
        <f>J15-H15</f>
        <v>564300</v>
      </c>
      <c r="J15" s="189">
        <v>564300</v>
      </c>
      <c r="K15" s="189">
        <v>225720</v>
      </c>
      <c r="L15" s="343">
        <f>D15+H15</f>
        <v>1400000</v>
      </c>
      <c r="M15" s="174">
        <f t="shared" ref="M15:M16" si="13">E15+I15</f>
        <v>564300</v>
      </c>
      <c r="N15" s="174">
        <f t="shared" si="9"/>
        <v>1964300</v>
      </c>
      <c r="O15" s="174">
        <f t="shared" si="10"/>
        <v>548430</v>
      </c>
      <c r="Q15" s="202"/>
      <c r="R15" s="202"/>
    </row>
    <row r="16" spans="1:18" s="164" customFormat="1" ht="25.5" customHeight="1" x14ac:dyDescent="0.2">
      <c r="A16" s="168" t="s">
        <v>49</v>
      </c>
      <c r="B16" s="374" t="s">
        <v>285</v>
      </c>
      <c r="C16" s="374"/>
      <c r="D16" s="189">
        <v>0</v>
      </c>
      <c r="E16" s="189"/>
      <c r="F16" s="189"/>
      <c r="G16" s="189"/>
      <c r="H16" s="189">
        <v>0</v>
      </c>
      <c r="I16" s="189"/>
      <c r="J16" s="189"/>
      <c r="K16" s="189"/>
      <c r="L16" s="343">
        <f>D16+H16</f>
        <v>0</v>
      </c>
      <c r="M16" s="174">
        <f t="shared" si="13"/>
        <v>0</v>
      </c>
      <c r="N16" s="174">
        <f t="shared" si="9"/>
        <v>0</v>
      </c>
      <c r="O16" s="174">
        <f t="shared" si="10"/>
        <v>0</v>
      </c>
      <c r="Q16" s="202"/>
      <c r="R16" s="202"/>
    </row>
    <row r="17" spans="1:18" x14ac:dyDescent="0.2">
      <c r="A17" s="368" t="s">
        <v>56</v>
      </c>
      <c r="B17" s="165"/>
      <c r="C17" s="166" t="s">
        <v>286</v>
      </c>
      <c r="D17" s="167">
        <v>243693052</v>
      </c>
      <c r="E17" s="167">
        <f t="shared" ref="E17:E19" si="14">F17-D17</f>
        <v>0</v>
      </c>
      <c r="F17" s="167">
        <v>243693052</v>
      </c>
      <c r="G17" s="167">
        <v>115833389</v>
      </c>
      <c r="H17" s="167">
        <v>488205</v>
      </c>
      <c r="I17" s="167">
        <f>J17-H17</f>
        <v>11923</v>
      </c>
      <c r="J17" s="167">
        <v>500128</v>
      </c>
      <c r="K17" s="167">
        <v>500128</v>
      </c>
      <c r="L17" s="341">
        <f t="shared" ref="L17:O22" si="15">D17+H17</f>
        <v>244181257</v>
      </c>
      <c r="M17" s="167">
        <f t="shared" si="15"/>
        <v>11923</v>
      </c>
      <c r="N17" s="167">
        <f t="shared" si="15"/>
        <v>244193180</v>
      </c>
      <c r="O17" s="167">
        <f t="shared" si="15"/>
        <v>116333517</v>
      </c>
    </row>
    <row r="18" spans="1:18" x14ac:dyDescent="0.2">
      <c r="A18" s="394"/>
      <c r="B18" s="165"/>
      <c r="C18" s="166" t="s">
        <v>287</v>
      </c>
      <c r="D18" s="167">
        <v>25570215</v>
      </c>
      <c r="E18" s="167">
        <f t="shared" si="14"/>
        <v>1056000</v>
      </c>
      <c r="F18" s="167">
        <v>26626215</v>
      </c>
      <c r="G18" s="167">
        <v>14094015</v>
      </c>
      <c r="H18" s="167">
        <v>0</v>
      </c>
      <c r="I18" s="167">
        <f t="shared" ref="I18:I19" si="16">J18-H18</f>
        <v>0</v>
      </c>
      <c r="J18" s="167"/>
      <c r="K18" s="167"/>
      <c r="L18" s="341">
        <f t="shared" si="15"/>
        <v>25570215</v>
      </c>
      <c r="M18" s="167">
        <f t="shared" si="15"/>
        <v>1056000</v>
      </c>
      <c r="N18" s="167">
        <f t="shared" si="15"/>
        <v>26626215</v>
      </c>
      <c r="O18" s="167">
        <f t="shared" si="15"/>
        <v>14094015</v>
      </c>
    </row>
    <row r="19" spans="1:18" s="332" customFormat="1" ht="12.75" customHeight="1" x14ac:dyDescent="0.2">
      <c r="A19" s="394"/>
      <c r="C19" s="166" t="s">
        <v>128</v>
      </c>
      <c r="D19" s="334">
        <v>50254587</v>
      </c>
      <c r="E19" s="167">
        <f t="shared" si="14"/>
        <v>57928422</v>
      </c>
      <c r="F19" s="330">
        <f>108514009-331000</f>
        <v>108183009</v>
      </c>
      <c r="G19" s="330">
        <v>0</v>
      </c>
      <c r="H19" s="331">
        <v>0</v>
      </c>
      <c r="I19" s="167">
        <f t="shared" si="16"/>
        <v>0</v>
      </c>
      <c r="J19" s="330"/>
      <c r="K19" s="330"/>
      <c r="L19" s="341">
        <f t="shared" si="15"/>
        <v>50254587</v>
      </c>
      <c r="M19" s="167">
        <f t="shared" si="15"/>
        <v>57928422</v>
      </c>
      <c r="N19" s="167">
        <f t="shared" si="15"/>
        <v>108183009</v>
      </c>
      <c r="O19" s="167">
        <f t="shared" si="15"/>
        <v>0</v>
      </c>
      <c r="Q19" s="333"/>
      <c r="R19" s="333"/>
    </row>
    <row r="20" spans="1:18" ht="25.5" customHeight="1" x14ac:dyDescent="0.2">
      <c r="A20" s="369"/>
      <c r="B20" s="374" t="s">
        <v>288</v>
      </c>
      <c r="C20" s="374"/>
      <c r="D20" s="189">
        <f>SUM(D17:D19)</f>
        <v>319517854</v>
      </c>
      <c r="E20" s="189">
        <f t="shared" ref="E20:G20" si="17">SUM(E17:E19)</f>
        <v>58984422</v>
      </c>
      <c r="F20" s="189">
        <f t="shared" si="17"/>
        <v>378502276</v>
      </c>
      <c r="G20" s="189">
        <f t="shared" si="17"/>
        <v>129927404</v>
      </c>
      <c r="H20" s="189">
        <f t="shared" ref="H20:K20" si="18">SUM(H17:H18)</f>
        <v>488205</v>
      </c>
      <c r="I20" s="189">
        <f t="shared" si="18"/>
        <v>11923</v>
      </c>
      <c r="J20" s="189">
        <f t="shared" si="18"/>
        <v>500128</v>
      </c>
      <c r="K20" s="189">
        <f t="shared" si="18"/>
        <v>500128</v>
      </c>
      <c r="L20" s="343">
        <f>D20+H20</f>
        <v>320006059</v>
      </c>
      <c r="M20" s="174">
        <f t="shared" si="15"/>
        <v>58996345</v>
      </c>
      <c r="N20" s="174">
        <f t="shared" ref="N20:N22" si="19">F20+J20</f>
        <v>379002404</v>
      </c>
      <c r="O20" s="174">
        <f t="shared" ref="O20:O22" si="20">G20+K20</f>
        <v>130427532</v>
      </c>
    </row>
    <row r="21" spans="1:18" s="178" customFormat="1" ht="19.5" customHeight="1" x14ac:dyDescent="0.2">
      <c r="A21" s="205" t="s">
        <v>58</v>
      </c>
      <c r="B21" s="374" t="s">
        <v>289</v>
      </c>
      <c r="C21" s="374"/>
      <c r="D21" s="189">
        <v>466274973</v>
      </c>
      <c r="E21" s="189">
        <f>F21-D21</f>
        <v>-10450787</v>
      </c>
      <c r="F21" s="189">
        <v>455824186</v>
      </c>
      <c r="G21" s="189">
        <v>84083704</v>
      </c>
      <c r="H21" s="189">
        <v>0</v>
      </c>
      <c r="I21" s="189">
        <f>J21-H21</f>
        <v>1750412</v>
      </c>
      <c r="J21" s="189">
        <v>1750412</v>
      </c>
      <c r="K21" s="189">
        <v>1750412</v>
      </c>
      <c r="L21" s="343">
        <f>D21+H21</f>
        <v>466274973</v>
      </c>
      <c r="M21" s="174">
        <f t="shared" si="15"/>
        <v>-8700375</v>
      </c>
      <c r="N21" s="174">
        <f t="shared" si="19"/>
        <v>457574598</v>
      </c>
      <c r="O21" s="174">
        <f t="shared" si="20"/>
        <v>85834116</v>
      </c>
      <c r="Q21" s="203"/>
      <c r="R21" s="203"/>
    </row>
    <row r="22" spans="1:18" s="178" customFormat="1" ht="18.75" customHeight="1" x14ac:dyDescent="0.2">
      <c r="A22" s="205" t="s">
        <v>59</v>
      </c>
      <c r="B22" s="374" t="s">
        <v>172</v>
      </c>
      <c r="C22" s="374"/>
      <c r="D22" s="189">
        <v>43561791</v>
      </c>
      <c r="E22" s="189">
        <f>F22-D22</f>
        <v>0</v>
      </c>
      <c r="F22" s="189">
        <v>43561791</v>
      </c>
      <c r="G22" s="189">
        <v>18583628</v>
      </c>
      <c r="H22" s="189">
        <v>0</v>
      </c>
      <c r="I22" s="189"/>
      <c r="J22" s="189"/>
      <c r="K22" s="189"/>
      <c r="L22" s="343">
        <f>D22+H22</f>
        <v>43561791</v>
      </c>
      <c r="M22" s="174">
        <f t="shared" si="15"/>
        <v>0</v>
      </c>
      <c r="N22" s="174">
        <f t="shared" si="19"/>
        <v>43561791</v>
      </c>
      <c r="O22" s="174">
        <f t="shared" si="20"/>
        <v>18583628</v>
      </c>
      <c r="Q22" s="203"/>
      <c r="R22" s="203"/>
    </row>
    <row r="23" spans="1:18" ht="25.5" x14ac:dyDescent="0.2">
      <c r="A23" s="368" t="s">
        <v>60</v>
      </c>
      <c r="B23" s="165"/>
      <c r="C23" s="166" t="s">
        <v>290</v>
      </c>
      <c r="D23" s="167">
        <v>0</v>
      </c>
      <c r="E23" s="167"/>
      <c r="F23" s="167"/>
      <c r="G23" s="167"/>
      <c r="H23" s="167">
        <v>0</v>
      </c>
      <c r="I23" s="167"/>
      <c r="J23" s="167"/>
      <c r="K23" s="167"/>
      <c r="L23" s="341">
        <f t="shared" ref="L23:O26" si="21">D23+H23</f>
        <v>0</v>
      </c>
      <c r="M23" s="167">
        <f t="shared" si="21"/>
        <v>0</v>
      </c>
      <c r="N23" s="167">
        <f t="shared" si="21"/>
        <v>0</v>
      </c>
      <c r="O23" s="167">
        <f t="shared" si="21"/>
        <v>0</v>
      </c>
    </row>
    <row r="24" spans="1:18" ht="25.5" x14ac:dyDescent="0.2">
      <c r="A24" s="397"/>
      <c r="B24" s="165"/>
      <c r="C24" s="166" t="s">
        <v>291</v>
      </c>
      <c r="D24" s="167">
        <v>2000000</v>
      </c>
      <c r="E24" s="167">
        <f>F24-D24</f>
        <v>0</v>
      </c>
      <c r="F24" s="167">
        <v>2000000</v>
      </c>
      <c r="G24" s="167">
        <v>0</v>
      </c>
      <c r="H24" s="167">
        <v>0</v>
      </c>
      <c r="I24" s="167"/>
      <c r="J24" s="167"/>
      <c r="K24" s="167"/>
      <c r="L24" s="341">
        <f t="shared" si="21"/>
        <v>2000000</v>
      </c>
      <c r="M24" s="167">
        <f t="shared" si="21"/>
        <v>0</v>
      </c>
      <c r="N24" s="167">
        <f t="shared" si="21"/>
        <v>2000000</v>
      </c>
      <c r="O24" s="167">
        <f t="shared" si="21"/>
        <v>0</v>
      </c>
    </row>
    <row r="25" spans="1:18" ht="25.5" x14ac:dyDescent="0.2">
      <c r="A25" s="397"/>
      <c r="B25" s="165"/>
      <c r="C25" s="166" t="s">
        <v>292</v>
      </c>
      <c r="D25" s="167">
        <v>0</v>
      </c>
      <c r="E25" s="167"/>
      <c r="F25" s="167"/>
      <c r="G25" s="167"/>
      <c r="H25" s="167">
        <v>0</v>
      </c>
      <c r="I25" s="167"/>
      <c r="J25" s="167"/>
      <c r="K25" s="167"/>
      <c r="L25" s="341">
        <f t="shared" si="21"/>
        <v>0</v>
      </c>
      <c r="M25" s="167">
        <f t="shared" si="21"/>
        <v>0</v>
      </c>
      <c r="N25" s="167">
        <f t="shared" si="21"/>
        <v>0</v>
      </c>
      <c r="O25" s="167">
        <f t="shared" si="21"/>
        <v>0</v>
      </c>
    </row>
    <row r="26" spans="1:18" s="164" customFormat="1" ht="25.5" customHeight="1" x14ac:dyDescent="0.2">
      <c r="A26" s="398"/>
      <c r="B26" s="374" t="s">
        <v>293</v>
      </c>
      <c r="C26" s="374"/>
      <c r="D26" s="189">
        <f>SUM(D23:D25)</f>
        <v>2000000</v>
      </c>
      <c r="E26" s="189">
        <f t="shared" ref="E26:G26" si="22">SUM(E23:E25)</f>
        <v>0</v>
      </c>
      <c r="F26" s="189">
        <f t="shared" si="22"/>
        <v>2000000</v>
      </c>
      <c r="G26" s="189">
        <f t="shared" si="22"/>
        <v>0</v>
      </c>
      <c r="H26" s="189">
        <f>SUM(H23:H25)</f>
        <v>0</v>
      </c>
      <c r="I26" s="189"/>
      <c r="J26" s="189"/>
      <c r="K26" s="189"/>
      <c r="L26" s="343">
        <f>D26+H26</f>
        <v>2000000</v>
      </c>
      <c r="M26" s="174">
        <f t="shared" si="21"/>
        <v>0</v>
      </c>
      <c r="N26" s="174">
        <f t="shared" ref="N26" si="23">F26+J26</f>
        <v>2000000</v>
      </c>
      <c r="O26" s="174">
        <f t="shared" ref="O26" si="24">G26+K26</f>
        <v>0</v>
      </c>
      <c r="Q26" s="202"/>
      <c r="R26" s="202"/>
    </row>
    <row r="27" spans="1:18" s="164" customFormat="1" ht="25.5" customHeight="1" x14ac:dyDescent="0.2">
      <c r="A27" s="402" t="s">
        <v>294</v>
      </c>
      <c r="B27" s="402"/>
      <c r="C27" s="402"/>
      <c r="D27" s="346">
        <f>D7+D8+D14+D15+D16+D20+D21+D22+D26</f>
        <v>980437907</v>
      </c>
      <c r="E27" s="346">
        <f t="shared" ref="E27:G27" si="25">E7+E8+E14+E15+E16+E20+E21+E22+E26</f>
        <v>66642747</v>
      </c>
      <c r="F27" s="346">
        <f t="shared" si="25"/>
        <v>1047080654</v>
      </c>
      <c r="G27" s="346">
        <f t="shared" si="25"/>
        <v>324990791</v>
      </c>
      <c r="H27" s="346">
        <f>H7+H8+H14+H15+H16+H20+H21+H22+H26+H19</f>
        <v>104382321</v>
      </c>
      <c r="I27" s="346">
        <f t="shared" ref="I27:K27" si="26">I7+I8+I14+I15+I16+I20+I21+I22+I26+I19</f>
        <v>5025574</v>
      </c>
      <c r="J27" s="346">
        <f t="shared" si="26"/>
        <v>109407895</v>
      </c>
      <c r="K27" s="346">
        <f t="shared" si="26"/>
        <v>55345440</v>
      </c>
      <c r="L27" s="345">
        <f>L7+L8+L14+L15+L16+L20+L21+L22+L26</f>
        <v>1084820228</v>
      </c>
      <c r="M27" s="345">
        <f t="shared" ref="M27:O27" si="27">M7+M8+M14+M15+M16+M20+M21+M22+M26</f>
        <v>71668321</v>
      </c>
      <c r="N27" s="345">
        <f t="shared" si="27"/>
        <v>1156488549</v>
      </c>
      <c r="O27" s="345">
        <f t="shared" si="27"/>
        <v>380336231</v>
      </c>
      <c r="Q27" s="202"/>
      <c r="R27" s="202"/>
    </row>
    <row r="28" spans="1:18" x14ac:dyDescent="0.2">
      <c r="A28" s="368" t="s">
        <v>61</v>
      </c>
      <c r="B28" s="165"/>
      <c r="C28" s="166" t="s">
        <v>297</v>
      </c>
      <c r="D28" s="167">
        <v>9110753</v>
      </c>
      <c r="E28" s="167">
        <f>F28-D28</f>
        <v>0</v>
      </c>
      <c r="F28" s="167">
        <v>9110753</v>
      </c>
      <c r="G28" s="167">
        <v>9110753</v>
      </c>
      <c r="H28" s="167">
        <v>0</v>
      </c>
      <c r="I28" s="167"/>
      <c r="J28" s="167"/>
      <c r="K28" s="167"/>
      <c r="L28" s="341">
        <f t="shared" ref="L28:O29" si="28">D28+H28</f>
        <v>9110753</v>
      </c>
      <c r="M28" s="167">
        <f t="shared" si="28"/>
        <v>0</v>
      </c>
      <c r="N28" s="167">
        <f t="shared" si="28"/>
        <v>9110753</v>
      </c>
      <c r="O28" s="167">
        <f t="shared" si="28"/>
        <v>9110753</v>
      </c>
    </row>
    <row r="29" spans="1:18" x14ac:dyDescent="0.2">
      <c r="A29" s="369"/>
      <c r="B29" s="165"/>
      <c r="C29" s="166" t="s">
        <v>298</v>
      </c>
      <c r="D29" s="167">
        <v>102023405</v>
      </c>
      <c r="E29" s="167">
        <f>F29-D29</f>
        <v>997200</v>
      </c>
      <c r="F29" s="167">
        <v>103020605</v>
      </c>
      <c r="G29" s="167">
        <v>56747969</v>
      </c>
      <c r="H29" s="167">
        <v>0</v>
      </c>
      <c r="I29" s="167"/>
      <c r="J29" s="167"/>
      <c r="K29" s="167"/>
      <c r="L29" s="341">
        <f t="shared" si="28"/>
        <v>102023405</v>
      </c>
      <c r="M29" s="167">
        <f t="shared" si="28"/>
        <v>997200</v>
      </c>
      <c r="N29" s="167">
        <f t="shared" si="28"/>
        <v>103020605</v>
      </c>
      <c r="O29" s="167">
        <f t="shared" si="28"/>
        <v>56747969</v>
      </c>
    </row>
    <row r="30" spans="1:18" s="164" customFormat="1" ht="22.5" customHeight="1" x14ac:dyDescent="0.2">
      <c r="A30" s="399" t="s">
        <v>295</v>
      </c>
      <c r="B30" s="400"/>
      <c r="C30" s="401"/>
      <c r="D30" s="346">
        <f>SUM(D28:D29)</f>
        <v>111134158</v>
      </c>
      <c r="E30" s="346">
        <f t="shared" ref="E30:G30" si="29">SUM(E28:E29)</f>
        <v>997200</v>
      </c>
      <c r="F30" s="346">
        <f t="shared" si="29"/>
        <v>112131358</v>
      </c>
      <c r="G30" s="346">
        <f t="shared" si="29"/>
        <v>65858722</v>
      </c>
      <c r="H30" s="346">
        <f>SUM(H28:H29)</f>
        <v>0</v>
      </c>
      <c r="I30" s="346"/>
      <c r="J30" s="346"/>
      <c r="K30" s="346"/>
      <c r="L30" s="345">
        <f>SUM(L28:L29)</f>
        <v>111134158</v>
      </c>
      <c r="M30" s="345">
        <f t="shared" ref="M30:O30" si="30">SUM(M28:M29)</f>
        <v>997200</v>
      </c>
      <c r="N30" s="345">
        <f t="shared" si="30"/>
        <v>112131358</v>
      </c>
      <c r="O30" s="345">
        <f t="shared" si="30"/>
        <v>65858722</v>
      </c>
      <c r="Q30" s="202"/>
      <c r="R30" s="202"/>
    </row>
    <row r="31" spans="1:18" s="160" customFormat="1" ht="22.5" customHeight="1" x14ac:dyDescent="0.2">
      <c r="A31" s="396" t="s">
        <v>296</v>
      </c>
      <c r="B31" s="396"/>
      <c r="C31" s="396"/>
      <c r="D31" s="353">
        <f>D27+D30</f>
        <v>1091572065</v>
      </c>
      <c r="E31" s="353">
        <f t="shared" ref="E31:G31" si="31">E27+E30</f>
        <v>67639947</v>
      </c>
      <c r="F31" s="353">
        <f t="shared" si="31"/>
        <v>1159212012</v>
      </c>
      <c r="G31" s="353">
        <f t="shared" si="31"/>
        <v>390849513</v>
      </c>
      <c r="H31" s="353">
        <f>H27+H30</f>
        <v>104382321</v>
      </c>
      <c r="I31" s="353">
        <f t="shared" ref="I31:K31" si="32">I27+I30</f>
        <v>5025574</v>
      </c>
      <c r="J31" s="353">
        <f t="shared" si="32"/>
        <v>109407895</v>
      </c>
      <c r="K31" s="353">
        <f t="shared" si="32"/>
        <v>55345440</v>
      </c>
      <c r="L31" s="354">
        <f>L27+L30</f>
        <v>1195954386</v>
      </c>
      <c r="M31" s="354">
        <f t="shared" ref="M31:O31" si="33">M27+M30</f>
        <v>72665521</v>
      </c>
      <c r="N31" s="354">
        <f t="shared" si="33"/>
        <v>1268619907</v>
      </c>
      <c r="O31" s="354">
        <f t="shared" si="33"/>
        <v>446194953</v>
      </c>
      <c r="Q31" s="204"/>
      <c r="R31" s="204"/>
    </row>
  </sheetData>
  <mergeCells count="21">
    <mergeCell ref="A31:C31"/>
    <mergeCell ref="B26:C26"/>
    <mergeCell ref="B21:C21"/>
    <mergeCell ref="B22:C22"/>
    <mergeCell ref="A23:A26"/>
    <mergeCell ref="A28:A29"/>
    <mergeCell ref="A30:C30"/>
    <mergeCell ref="A27:C27"/>
    <mergeCell ref="A3:C4"/>
    <mergeCell ref="D3:L3"/>
    <mergeCell ref="A1:L1"/>
    <mergeCell ref="A2:L2"/>
    <mergeCell ref="B7:C7"/>
    <mergeCell ref="B8:C8"/>
    <mergeCell ref="A5:A7"/>
    <mergeCell ref="B20:C20"/>
    <mergeCell ref="A17:A20"/>
    <mergeCell ref="B14:C14"/>
    <mergeCell ref="A9:A14"/>
    <mergeCell ref="B15:C15"/>
    <mergeCell ref="B16:C16"/>
  </mergeCells>
  <phoneticPr fontId="0" type="noConversion"/>
  <printOptions horizontalCentered="1"/>
  <pageMargins left="0.39370078740157483" right="0.15748031496062992" top="0.62992125984251968" bottom="0.43307086614173229" header="0.19685039370078741" footer="0.19685039370078741"/>
  <pageSetup paperSize="9" scale="75" firstPageNumber="41" orientation="landscape" r:id="rId1"/>
  <headerFooter alignWithMargins="0">
    <oddHeader>&amp;R&amp;"Times New Roman,Normál"2. számú melléklet</oddHeader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E22BF-292D-42EE-B9D4-D58828C24B1E}">
  <dimension ref="A1:T33"/>
  <sheetViews>
    <sheetView workbookViewId="0">
      <selection activeCell="F9" sqref="F9"/>
    </sheetView>
  </sheetViews>
  <sheetFormatPr defaultRowHeight="12.75" x14ac:dyDescent="0.2"/>
  <cols>
    <col min="1" max="1" width="3.5703125" style="512" bestFit="1" customWidth="1"/>
    <col min="2" max="2" width="2.85546875" style="512" customWidth="1"/>
    <col min="3" max="3" width="51.42578125" style="512" customWidth="1"/>
    <col min="4" max="4" width="6.28515625" style="512" bestFit="1" customWidth="1"/>
    <col min="5" max="5" width="12.7109375" style="512" bestFit="1" customWidth="1"/>
    <col min="6" max="6" width="10.7109375" style="512" bestFit="1" customWidth="1"/>
    <col min="7" max="7" width="11.140625" style="512" bestFit="1" customWidth="1"/>
    <col min="8" max="8" width="9.140625" style="512" bestFit="1" customWidth="1"/>
    <col min="9" max="9" width="12.7109375" style="512" bestFit="1" customWidth="1"/>
    <col min="10" max="10" width="10.140625" style="512" bestFit="1" customWidth="1"/>
    <col min="11" max="11" width="9.140625" style="553" bestFit="1" customWidth="1"/>
    <col min="12" max="12" width="9.140625" style="512" bestFit="1" customWidth="1"/>
    <col min="13" max="13" width="7.140625" style="512" bestFit="1" customWidth="1"/>
    <col min="14" max="14" width="10.140625" style="512" bestFit="1" customWidth="1"/>
    <col min="15" max="15" width="7" style="512" customWidth="1"/>
    <col min="16" max="16" width="9.42578125" style="512" customWidth="1"/>
    <col min="17" max="17" width="9.42578125" style="512" bestFit="1" customWidth="1"/>
    <col min="18" max="18" width="13.140625" style="512" bestFit="1" customWidth="1"/>
    <col min="19" max="20" width="12.7109375" style="553" bestFit="1" customWidth="1"/>
    <col min="21" max="16384" width="9.140625" style="512"/>
  </cols>
  <sheetData>
    <row r="1" spans="1:20" x14ac:dyDescent="0.2">
      <c r="A1" s="372" t="s">
        <v>463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</row>
    <row r="2" spans="1:20" ht="15.75" x14ac:dyDescent="0.25">
      <c r="A2" s="395" t="s">
        <v>122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</row>
    <row r="3" spans="1:20" x14ac:dyDescent="0.2">
      <c r="A3" s="513" t="s">
        <v>44</v>
      </c>
      <c r="B3" s="514"/>
      <c r="C3" s="515"/>
      <c r="D3" s="516" t="s">
        <v>398</v>
      </c>
      <c r="E3" s="517" t="s">
        <v>462</v>
      </c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9"/>
      <c r="S3" s="512"/>
      <c r="T3" s="512"/>
    </row>
    <row r="4" spans="1:20" ht="12.75" customHeight="1" x14ac:dyDescent="0.2">
      <c r="A4" s="520"/>
      <c r="B4" s="521"/>
      <c r="C4" s="522"/>
      <c r="D4" s="523"/>
      <c r="E4" s="524" t="s">
        <v>399</v>
      </c>
      <c r="F4" s="569"/>
      <c r="G4" s="569"/>
      <c r="H4" s="525"/>
      <c r="I4" s="516" t="s">
        <v>400</v>
      </c>
      <c r="J4" s="524" t="s">
        <v>401</v>
      </c>
      <c r="K4" s="569"/>
      <c r="L4" s="569"/>
      <c r="M4" s="525"/>
      <c r="N4" s="516" t="s">
        <v>400</v>
      </c>
      <c r="O4" s="524" t="s">
        <v>402</v>
      </c>
      <c r="P4" s="525"/>
      <c r="Q4" s="516" t="s">
        <v>400</v>
      </c>
      <c r="R4" s="526" t="s">
        <v>118</v>
      </c>
      <c r="S4" s="512"/>
      <c r="T4" s="512"/>
    </row>
    <row r="5" spans="1:20" s="533" customFormat="1" ht="38.25" x14ac:dyDescent="0.2">
      <c r="A5" s="527"/>
      <c r="B5" s="528"/>
      <c r="C5" s="529"/>
      <c r="D5" s="530"/>
      <c r="E5" s="531" t="s">
        <v>464</v>
      </c>
      <c r="F5" s="531" t="s">
        <v>367</v>
      </c>
      <c r="G5" s="531" t="s">
        <v>465</v>
      </c>
      <c r="H5" s="531" t="s">
        <v>367</v>
      </c>
      <c r="I5" s="530"/>
      <c r="J5" s="531" t="s">
        <v>464</v>
      </c>
      <c r="K5" s="531" t="s">
        <v>367</v>
      </c>
      <c r="L5" s="531" t="s">
        <v>465</v>
      </c>
      <c r="M5" s="531" t="s">
        <v>367</v>
      </c>
      <c r="N5" s="530"/>
      <c r="O5" s="531" t="s">
        <v>464</v>
      </c>
      <c r="P5" s="531" t="s">
        <v>465</v>
      </c>
      <c r="Q5" s="530"/>
      <c r="R5" s="532"/>
    </row>
    <row r="6" spans="1:20" x14ac:dyDescent="0.2">
      <c r="A6" s="534" t="s">
        <v>45</v>
      </c>
      <c r="B6" s="165"/>
      <c r="C6" s="166" t="s">
        <v>276</v>
      </c>
      <c r="D6" s="166" t="s">
        <v>438</v>
      </c>
      <c r="E6" s="167">
        <v>29673740</v>
      </c>
      <c r="F6" s="167">
        <v>0</v>
      </c>
      <c r="G6" s="167">
        <v>78449844</v>
      </c>
      <c r="H6" s="167">
        <v>278300</v>
      </c>
      <c r="I6" s="167">
        <f>SUM(E6:H6)</f>
        <v>108401884</v>
      </c>
      <c r="J6" s="536">
        <v>0</v>
      </c>
      <c r="K6" s="167">
        <v>0</v>
      </c>
      <c r="L6" s="536">
        <v>0</v>
      </c>
      <c r="M6" s="536">
        <v>0</v>
      </c>
      <c r="N6" s="167">
        <f>SUM(J6:M6)</f>
        <v>0</v>
      </c>
      <c r="O6" s="536">
        <v>0</v>
      </c>
      <c r="P6" s="536">
        <v>0</v>
      </c>
      <c r="Q6" s="167">
        <f>SUM(O6:P6)</f>
        <v>0</v>
      </c>
      <c r="R6" s="167">
        <f>I6+N6+Q6</f>
        <v>108401884</v>
      </c>
    </row>
    <row r="7" spans="1:20" x14ac:dyDescent="0.2">
      <c r="A7" s="534"/>
      <c r="B7" s="165"/>
      <c r="C7" s="166" t="s">
        <v>277</v>
      </c>
      <c r="D7" s="166" t="s">
        <v>439</v>
      </c>
      <c r="E7" s="167">
        <v>14761386</v>
      </c>
      <c r="F7" s="167">
        <v>-883682</v>
      </c>
      <c r="G7" s="167">
        <v>100000</v>
      </c>
      <c r="H7" s="167">
        <v>1921968</v>
      </c>
      <c r="I7" s="167">
        <f>SUM(E7:H7)</f>
        <v>15899672</v>
      </c>
      <c r="J7" s="536">
        <v>0</v>
      </c>
      <c r="K7" s="167">
        <v>0</v>
      </c>
      <c r="L7" s="536">
        <v>0</v>
      </c>
      <c r="M7" s="536">
        <v>0</v>
      </c>
      <c r="N7" s="167">
        <f>SUM(J7:M7)</f>
        <v>0</v>
      </c>
      <c r="O7" s="536">
        <v>0</v>
      </c>
      <c r="P7" s="536">
        <v>0</v>
      </c>
      <c r="Q7" s="167">
        <f>SUM(O7:P7)</f>
        <v>0</v>
      </c>
      <c r="R7" s="167">
        <f>I7+N7+Q7</f>
        <v>15899672</v>
      </c>
    </row>
    <row r="8" spans="1:20" s="539" customFormat="1" ht="21.75" customHeight="1" x14ac:dyDescent="0.2">
      <c r="A8" s="534"/>
      <c r="B8" s="387" t="s">
        <v>275</v>
      </c>
      <c r="C8" s="387"/>
      <c r="D8" s="356" t="s">
        <v>440</v>
      </c>
      <c r="E8" s="189">
        <f>SUM(E6:E7)</f>
        <v>44435126</v>
      </c>
      <c r="F8" s="189">
        <f>SUM(F6:F7)</f>
        <v>-883682</v>
      </c>
      <c r="G8" s="189">
        <f>SUM(G6:G7)</f>
        <v>78549844</v>
      </c>
      <c r="H8" s="189">
        <f>SUM(H6:H7)</f>
        <v>2200268</v>
      </c>
      <c r="I8" s="189">
        <f>SUM(I6:I7)</f>
        <v>124301556</v>
      </c>
      <c r="J8" s="189">
        <f t="shared" ref="J8:R8" si="0">SUM(J6:J7)</f>
        <v>0</v>
      </c>
      <c r="K8" s="189">
        <f t="shared" si="0"/>
        <v>0</v>
      </c>
      <c r="L8" s="189">
        <f t="shared" si="0"/>
        <v>0</v>
      </c>
      <c r="M8" s="189">
        <f t="shared" si="0"/>
        <v>0</v>
      </c>
      <c r="N8" s="189">
        <f>SUM(N6:N7)</f>
        <v>0</v>
      </c>
      <c r="O8" s="189">
        <f t="shared" si="0"/>
        <v>0</v>
      </c>
      <c r="P8" s="189">
        <f t="shared" si="0"/>
        <v>0</v>
      </c>
      <c r="Q8" s="189">
        <f>SUM(Q6:Q7)</f>
        <v>0</v>
      </c>
      <c r="R8" s="189">
        <f t="shared" si="0"/>
        <v>124301556</v>
      </c>
      <c r="S8" s="554"/>
      <c r="T8" s="554"/>
    </row>
    <row r="9" spans="1:20" s="539" customFormat="1" ht="22.5" customHeight="1" x14ac:dyDescent="0.2">
      <c r="A9" s="555" t="s">
        <v>46</v>
      </c>
      <c r="B9" s="387" t="s">
        <v>278</v>
      </c>
      <c r="C9" s="387"/>
      <c r="D9" s="356" t="s">
        <v>441</v>
      </c>
      <c r="E9" s="189">
        <v>8215177</v>
      </c>
      <c r="F9" s="189">
        <v>-172318</v>
      </c>
      <c r="G9" s="189">
        <v>15474402</v>
      </c>
      <c r="H9" s="189">
        <v>332976</v>
      </c>
      <c r="I9" s="189">
        <f>SUM(E9:H9)</f>
        <v>23850237</v>
      </c>
      <c r="J9" s="189">
        <v>0</v>
      </c>
      <c r="K9" s="189">
        <v>0</v>
      </c>
      <c r="L9" s="189">
        <v>0</v>
      </c>
      <c r="M9" s="189">
        <v>0</v>
      </c>
      <c r="N9" s="189">
        <f>SUM(J9:M9)</f>
        <v>0</v>
      </c>
      <c r="O9" s="189">
        <v>0</v>
      </c>
      <c r="P9" s="189">
        <v>0</v>
      </c>
      <c r="Q9" s="189">
        <f t="shared" ref="Q9:Q15" si="1">SUM(O9:P9)</f>
        <v>0</v>
      </c>
      <c r="R9" s="189">
        <f>I9+N9+Q9</f>
        <v>23850237</v>
      </c>
      <c r="S9" s="554"/>
      <c r="T9" s="554"/>
    </row>
    <row r="10" spans="1:20" x14ac:dyDescent="0.2">
      <c r="A10" s="534" t="s">
        <v>47</v>
      </c>
      <c r="B10" s="165"/>
      <c r="C10" s="166" t="s">
        <v>279</v>
      </c>
      <c r="D10" s="166" t="s">
        <v>442</v>
      </c>
      <c r="E10" s="167">
        <v>7522671</v>
      </c>
      <c r="F10" s="167">
        <v>0</v>
      </c>
      <c r="G10" s="167">
        <v>2040720</v>
      </c>
      <c r="H10" s="167">
        <v>6932</v>
      </c>
      <c r="I10" s="167">
        <f>SUM(E10:H10)</f>
        <v>9570323</v>
      </c>
      <c r="J10" s="536">
        <v>0</v>
      </c>
      <c r="K10" s="167">
        <v>0</v>
      </c>
      <c r="L10" s="536">
        <v>0</v>
      </c>
      <c r="M10" s="536">
        <v>0</v>
      </c>
      <c r="N10" s="167">
        <f>SUM(J10:M10)</f>
        <v>0</v>
      </c>
      <c r="O10" s="536">
        <v>0</v>
      </c>
      <c r="P10" s="536">
        <v>0</v>
      </c>
      <c r="Q10" s="167">
        <f t="shared" si="1"/>
        <v>0</v>
      </c>
      <c r="R10" s="167">
        <f t="shared" ref="R10:R16" si="2">I10+N10+Q10</f>
        <v>9570323</v>
      </c>
    </row>
    <row r="11" spans="1:20" x14ac:dyDescent="0.2">
      <c r="A11" s="534"/>
      <c r="B11" s="165"/>
      <c r="C11" s="166" t="s">
        <v>280</v>
      </c>
      <c r="D11" s="166" t="s">
        <v>443</v>
      </c>
      <c r="E11" s="167">
        <v>1650480</v>
      </c>
      <c r="F11" s="167">
        <v>0</v>
      </c>
      <c r="G11" s="167">
        <v>440000</v>
      </c>
      <c r="H11" s="167">
        <v>0</v>
      </c>
      <c r="I11" s="167">
        <f>SUM(E11:H11)</f>
        <v>2090480</v>
      </c>
      <c r="J11" s="536">
        <v>0</v>
      </c>
      <c r="K11" s="167">
        <v>0</v>
      </c>
      <c r="L11" s="536">
        <v>0</v>
      </c>
      <c r="M11" s="536">
        <v>0</v>
      </c>
      <c r="N11" s="167">
        <f>SUM(J11:M11)</f>
        <v>0</v>
      </c>
      <c r="O11" s="536">
        <v>0</v>
      </c>
      <c r="P11" s="536">
        <v>0</v>
      </c>
      <c r="Q11" s="167">
        <f t="shared" si="1"/>
        <v>0</v>
      </c>
      <c r="R11" s="167">
        <f t="shared" si="2"/>
        <v>2090480</v>
      </c>
    </row>
    <row r="12" spans="1:20" x14ac:dyDescent="0.2">
      <c r="A12" s="534"/>
      <c r="B12" s="165"/>
      <c r="C12" s="166" t="s">
        <v>281</v>
      </c>
      <c r="D12" s="166" t="s">
        <v>444</v>
      </c>
      <c r="E12" s="167">
        <v>54318852</v>
      </c>
      <c r="F12" s="167">
        <v>0</v>
      </c>
      <c r="G12" s="167">
        <v>3325300</v>
      </c>
      <c r="H12" s="167">
        <v>62400</v>
      </c>
      <c r="I12" s="167">
        <f>SUM(E12:H12)</f>
        <v>57706552</v>
      </c>
      <c r="J12" s="536">
        <v>0</v>
      </c>
      <c r="K12" s="167">
        <v>0</v>
      </c>
      <c r="L12" s="167">
        <v>1600000</v>
      </c>
      <c r="M12" s="536">
        <v>0</v>
      </c>
      <c r="N12" s="167">
        <f>SUM(J12:M12)</f>
        <v>1600000</v>
      </c>
      <c r="O12" s="536">
        <v>0</v>
      </c>
      <c r="P12" s="536">
        <v>0</v>
      </c>
      <c r="Q12" s="167">
        <f t="shared" si="1"/>
        <v>0</v>
      </c>
      <c r="R12" s="167">
        <f t="shared" si="2"/>
        <v>59306552</v>
      </c>
    </row>
    <row r="13" spans="1:20" x14ac:dyDescent="0.2">
      <c r="A13" s="534"/>
      <c r="B13" s="165"/>
      <c r="C13" s="166" t="s">
        <v>445</v>
      </c>
      <c r="D13" s="166" t="s">
        <v>446</v>
      </c>
      <c r="E13" s="167">
        <v>0</v>
      </c>
      <c r="F13" s="167">
        <v>190000</v>
      </c>
      <c r="G13" s="167">
        <v>0</v>
      </c>
      <c r="H13" s="167">
        <v>0</v>
      </c>
      <c r="I13" s="167">
        <f>SUM(E13:H13)</f>
        <v>190000</v>
      </c>
      <c r="J13" s="167">
        <v>112778</v>
      </c>
      <c r="K13" s="167">
        <v>1225403</v>
      </c>
      <c r="L13" s="536">
        <v>0</v>
      </c>
      <c r="M13" s="536">
        <v>0</v>
      </c>
      <c r="N13" s="167">
        <f>SUM(J13:M13)</f>
        <v>1338181</v>
      </c>
      <c r="O13" s="536">
        <v>0</v>
      </c>
      <c r="P13" s="536">
        <v>0</v>
      </c>
      <c r="Q13" s="167">
        <f t="shared" si="1"/>
        <v>0</v>
      </c>
      <c r="R13" s="167">
        <f t="shared" si="2"/>
        <v>1528181</v>
      </c>
    </row>
    <row r="14" spans="1:20" x14ac:dyDescent="0.2">
      <c r="A14" s="534"/>
      <c r="B14" s="165"/>
      <c r="C14" s="166" t="s">
        <v>282</v>
      </c>
      <c r="D14" s="166" t="s">
        <v>447</v>
      </c>
      <c r="E14" s="167">
        <v>598000</v>
      </c>
      <c r="F14" s="167">
        <v>0</v>
      </c>
      <c r="G14" s="167">
        <v>1330000</v>
      </c>
      <c r="H14" s="167">
        <v>61000</v>
      </c>
      <c r="I14" s="167">
        <f>SUM(E14:H14)</f>
        <v>1989000</v>
      </c>
      <c r="J14" s="536">
        <v>0</v>
      </c>
      <c r="K14" s="167">
        <v>0</v>
      </c>
      <c r="L14" s="536">
        <v>0</v>
      </c>
      <c r="M14" s="536">
        <v>0</v>
      </c>
      <c r="N14" s="167">
        <f>SUM(J14:M14)</f>
        <v>0</v>
      </c>
      <c r="O14" s="536">
        <v>0</v>
      </c>
      <c r="P14" s="536">
        <v>0</v>
      </c>
      <c r="Q14" s="167">
        <f t="shared" si="1"/>
        <v>0</v>
      </c>
      <c r="R14" s="167">
        <f t="shared" si="2"/>
        <v>1989000</v>
      </c>
    </row>
    <row r="15" spans="1:20" x14ac:dyDescent="0.2">
      <c r="A15" s="534"/>
      <c r="B15" s="165"/>
      <c r="C15" s="166" t="s">
        <v>283</v>
      </c>
      <c r="D15" s="166" t="s">
        <v>448</v>
      </c>
      <c r="E15" s="167">
        <v>30830205</v>
      </c>
      <c r="F15" s="167">
        <v>17749709</v>
      </c>
      <c r="G15" s="167">
        <v>1133850</v>
      </c>
      <c r="H15" s="167">
        <v>35363</v>
      </c>
      <c r="I15" s="167">
        <f>SUM(E15:H15)</f>
        <v>49749127</v>
      </c>
      <c r="J15" s="536">
        <v>0</v>
      </c>
      <c r="K15" s="167">
        <v>0</v>
      </c>
      <c r="L15" s="536">
        <v>0</v>
      </c>
      <c r="M15" s="536">
        <v>0</v>
      </c>
      <c r="N15" s="167">
        <f>SUM(J15:M15)</f>
        <v>0</v>
      </c>
      <c r="O15" s="536">
        <v>0</v>
      </c>
      <c r="P15" s="536">
        <v>0</v>
      </c>
      <c r="Q15" s="167">
        <f t="shared" si="1"/>
        <v>0</v>
      </c>
      <c r="R15" s="167">
        <f t="shared" si="2"/>
        <v>49749127</v>
      </c>
    </row>
    <row r="16" spans="1:20" s="539" customFormat="1" ht="19.5" customHeight="1" x14ac:dyDescent="0.2">
      <c r="A16" s="534"/>
      <c r="B16" s="387" t="s">
        <v>284</v>
      </c>
      <c r="C16" s="387"/>
      <c r="D16" s="356" t="s">
        <v>449</v>
      </c>
      <c r="E16" s="189">
        <f>SUM(E10:E15)</f>
        <v>94920208</v>
      </c>
      <c r="F16" s="189">
        <f t="shared" ref="F16:R16" si="3">SUM(F10:F15)</f>
        <v>17939709</v>
      </c>
      <c r="G16" s="189">
        <f t="shared" si="3"/>
        <v>8269870</v>
      </c>
      <c r="H16" s="189">
        <f t="shared" si="3"/>
        <v>165695</v>
      </c>
      <c r="I16" s="189">
        <f t="shared" si="3"/>
        <v>121295482</v>
      </c>
      <c r="J16" s="189">
        <f t="shared" si="3"/>
        <v>112778</v>
      </c>
      <c r="K16" s="189">
        <f t="shared" si="3"/>
        <v>1225403</v>
      </c>
      <c r="L16" s="189">
        <f t="shared" si="3"/>
        <v>1600000</v>
      </c>
      <c r="M16" s="189">
        <f t="shared" si="3"/>
        <v>0</v>
      </c>
      <c r="N16" s="189">
        <f t="shared" si="3"/>
        <v>2938181</v>
      </c>
      <c r="O16" s="189">
        <f t="shared" si="3"/>
        <v>0</v>
      </c>
      <c r="P16" s="189">
        <f t="shared" si="3"/>
        <v>0</v>
      </c>
      <c r="Q16" s="189">
        <f t="shared" si="3"/>
        <v>0</v>
      </c>
      <c r="R16" s="189">
        <f t="shared" si="3"/>
        <v>124233663</v>
      </c>
      <c r="S16" s="554"/>
      <c r="T16" s="554"/>
    </row>
    <row r="17" spans="1:20" s="539" customFormat="1" ht="25.5" customHeight="1" x14ac:dyDescent="0.2">
      <c r="A17" s="555" t="s">
        <v>48</v>
      </c>
      <c r="B17" s="387" t="s">
        <v>125</v>
      </c>
      <c r="C17" s="387"/>
      <c r="D17" s="356" t="s">
        <v>450</v>
      </c>
      <c r="E17" s="189">
        <v>1400000</v>
      </c>
      <c r="F17" s="189">
        <v>0</v>
      </c>
      <c r="G17" s="189">
        <v>0</v>
      </c>
      <c r="H17" s="189">
        <v>564300</v>
      </c>
      <c r="I17" s="189">
        <f>SUM(E17:H17)</f>
        <v>1964300</v>
      </c>
      <c r="J17" s="556">
        <v>0</v>
      </c>
      <c r="K17" s="189">
        <v>0</v>
      </c>
      <c r="L17" s="556">
        <v>0</v>
      </c>
      <c r="M17" s="556">
        <v>0</v>
      </c>
      <c r="N17" s="189">
        <f>SUM(J17:M17)</f>
        <v>0</v>
      </c>
      <c r="O17" s="556">
        <v>0</v>
      </c>
      <c r="P17" s="556">
        <v>0</v>
      </c>
      <c r="Q17" s="189">
        <f t="shared" ref="Q17:Q19" si="4">SUM(O17:P17)</f>
        <v>0</v>
      </c>
      <c r="R17" s="189">
        <f>I17+N17+Q17</f>
        <v>1964300</v>
      </c>
      <c r="S17" s="554"/>
      <c r="T17" s="554"/>
    </row>
    <row r="18" spans="1:20" s="539" customFormat="1" ht="25.5" customHeight="1" x14ac:dyDescent="0.2">
      <c r="A18" s="555" t="s">
        <v>49</v>
      </c>
      <c r="B18" s="387" t="s">
        <v>285</v>
      </c>
      <c r="C18" s="387"/>
      <c r="D18" s="356" t="s">
        <v>451</v>
      </c>
      <c r="E18" s="189">
        <v>0</v>
      </c>
      <c r="F18" s="189">
        <v>0</v>
      </c>
      <c r="G18" s="189">
        <v>0</v>
      </c>
      <c r="H18" s="189">
        <v>0</v>
      </c>
      <c r="I18" s="189">
        <f>SUM(E18:H18)</f>
        <v>0</v>
      </c>
      <c r="J18" s="556">
        <v>0</v>
      </c>
      <c r="K18" s="189">
        <v>0</v>
      </c>
      <c r="L18" s="556">
        <v>0</v>
      </c>
      <c r="M18" s="556">
        <v>0</v>
      </c>
      <c r="N18" s="189">
        <f>SUM(J18:M18)</f>
        <v>0</v>
      </c>
      <c r="O18" s="556">
        <v>0</v>
      </c>
      <c r="P18" s="556">
        <v>0</v>
      </c>
      <c r="Q18" s="189">
        <f t="shared" si="4"/>
        <v>0</v>
      </c>
      <c r="R18" s="189">
        <f>I18+N18+Q18</f>
        <v>0</v>
      </c>
      <c r="S18" s="554"/>
      <c r="T18" s="554"/>
    </row>
    <row r="19" spans="1:20" x14ac:dyDescent="0.2">
      <c r="A19" s="547" t="s">
        <v>56</v>
      </c>
      <c r="B19" s="165"/>
      <c r="C19" s="166" t="s">
        <v>286</v>
      </c>
      <c r="D19" s="166" t="s">
        <v>452</v>
      </c>
      <c r="E19" s="167">
        <v>243693052</v>
      </c>
      <c r="F19" s="167">
        <v>0</v>
      </c>
      <c r="G19" s="167">
        <v>488205</v>
      </c>
      <c r="H19" s="167">
        <v>11923</v>
      </c>
      <c r="I19" s="167">
        <f>SUM(E19:H19)</f>
        <v>244193180</v>
      </c>
      <c r="J19" s="536">
        <v>0</v>
      </c>
      <c r="K19" s="167">
        <v>0</v>
      </c>
      <c r="L19" s="536">
        <v>0</v>
      </c>
      <c r="M19" s="536">
        <v>0</v>
      </c>
      <c r="N19" s="167">
        <f>SUM(J19:M19)</f>
        <v>0</v>
      </c>
      <c r="O19" s="536">
        <v>0</v>
      </c>
      <c r="P19" s="536">
        <v>0</v>
      </c>
      <c r="Q19" s="167">
        <f t="shared" si="4"/>
        <v>0</v>
      </c>
      <c r="R19" s="167">
        <f t="shared" ref="R19:R20" si="5">I19+N19+Q19</f>
        <v>244193180</v>
      </c>
    </row>
    <row r="20" spans="1:20" x14ac:dyDescent="0.2">
      <c r="A20" s="557"/>
      <c r="B20" s="165"/>
      <c r="C20" s="166" t="s">
        <v>287</v>
      </c>
      <c r="D20" s="166" t="s">
        <v>453</v>
      </c>
      <c r="E20" s="536">
        <v>0</v>
      </c>
      <c r="F20" s="536">
        <v>0</v>
      </c>
      <c r="G20" s="536">
        <v>0</v>
      </c>
      <c r="H20" s="536">
        <v>0</v>
      </c>
      <c r="I20" s="536">
        <f>SUM(E20:H20)</f>
        <v>0</v>
      </c>
      <c r="J20" s="167">
        <v>25570215</v>
      </c>
      <c r="K20" s="167">
        <v>1056000</v>
      </c>
      <c r="L20" s="167">
        <v>0</v>
      </c>
      <c r="M20" s="167">
        <v>0</v>
      </c>
      <c r="N20" s="167">
        <f>SUM(J20:M20)</f>
        <v>26626215</v>
      </c>
      <c r="O20" s="536">
        <v>0</v>
      </c>
      <c r="P20" s="536">
        <v>0</v>
      </c>
      <c r="Q20" s="536">
        <v>0</v>
      </c>
      <c r="R20" s="167">
        <f t="shared" si="5"/>
        <v>26626215</v>
      </c>
    </row>
    <row r="21" spans="1:20" ht="25.5" customHeight="1" x14ac:dyDescent="0.2">
      <c r="A21" s="548"/>
      <c r="B21" s="387" t="s">
        <v>288</v>
      </c>
      <c r="C21" s="387"/>
      <c r="D21" s="356"/>
      <c r="E21" s="189">
        <f>SUM(E19:E20)</f>
        <v>243693052</v>
      </c>
      <c r="F21" s="189">
        <f>SUM(F19:F20)</f>
        <v>0</v>
      </c>
      <c r="G21" s="189">
        <f t="shared" ref="G21:H21" si="6">SUM(G19:G20)</f>
        <v>488205</v>
      </c>
      <c r="H21" s="189">
        <f t="shared" si="6"/>
        <v>11923</v>
      </c>
      <c r="I21" s="189">
        <f t="shared" ref="I17:I25" si="7">SUM(E21:G21)</f>
        <v>244181257</v>
      </c>
      <c r="J21" s="189">
        <f t="shared" ref="J21:R21" si="8">SUM(J19:J20)</f>
        <v>25570215</v>
      </c>
      <c r="K21" s="189">
        <f t="shared" si="8"/>
        <v>1056000</v>
      </c>
      <c r="L21" s="189">
        <f t="shared" si="8"/>
        <v>0</v>
      </c>
      <c r="M21" s="189">
        <f t="shared" si="8"/>
        <v>0</v>
      </c>
      <c r="N21" s="189">
        <f t="shared" ref="N17:N27" si="9">SUM(J21:L21)</f>
        <v>26626215</v>
      </c>
      <c r="O21" s="189">
        <f t="shared" si="8"/>
        <v>0</v>
      </c>
      <c r="P21" s="189">
        <f t="shared" si="8"/>
        <v>0</v>
      </c>
      <c r="Q21" s="189">
        <f t="shared" ref="Q21:Q25" si="10">SUM(O21:P21)</f>
        <v>0</v>
      </c>
      <c r="R21" s="189">
        <f t="shared" si="8"/>
        <v>270819395</v>
      </c>
    </row>
    <row r="22" spans="1:20" s="545" customFormat="1" ht="25.5" customHeight="1" x14ac:dyDescent="0.2">
      <c r="A22" s="555" t="s">
        <v>58</v>
      </c>
      <c r="B22" s="558" t="s">
        <v>128</v>
      </c>
      <c r="C22" s="559"/>
      <c r="D22" s="560" t="s">
        <v>454</v>
      </c>
      <c r="E22" s="561">
        <v>50254587</v>
      </c>
      <c r="F22" s="561">
        <v>57928422</v>
      </c>
      <c r="G22" s="562">
        <v>0</v>
      </c>
      <c r="H22" s="562">
        <v>0</v>
      </c>
      <c r="I22" s="562">
        <f t="shared" si="7"/>
        <v>108183009</v>
      </c>
      <c r="J22" s="563">
        <v>0</v>
      </c>
      <c r="K22" s="570">
        <v>0</v>
      </c>
      <c r="L22" s="563">
        <v>0</v>
      </c>
      <c r="M22" s="563">
        <v>0</v>
      </c>
      <c r="N22" s="562">
        <f>SUM(J22:M22)</f>
        <v>0</v>
      </c>
      <c r="O22" s="563">
        <v>0</v>
      </c>
      <c r="P22" s="563">
        <v>0</v>
      </c>
      <c r="Q22" s="562">
        <f t="shared" si="10"/>
        <v>0</v>
      </c>
      <c r="R22" s="189">
        <f>I22+N22+Q22</f>
        <v>108183009</v>
      </c>
      <c r="S22" s="564"/>
      <c r="T22" s="564"/>
    </row>
    <row r="23" spans="1:20" s="178" customFormat="1" ht="19.5" customHeight="1" x14ac:dyDescent="0.2">
      <c r="A23" s="552" t="s">
        <v>59</v>
      </c>
      <c r="B23" s="387" t="s">
        <v>289</v>
      </c>
      <c r="C23" s="387"/>
      <c r="D23" s="356" t="s">
        <v>455</v>
      </c>
      <c r="E23" s="189">
        <v>466274973</v>
      </c>
      <c r="F23" s="189">
        <v>-10450787</v>
      </c>
      <c r="G23" s="189">
        <v>0</v>
      </c>
      <c r="H23" s="189">
        <v>1750412</v>
      </c>
      <c r="I23" s="189">
        <f>SUM(E23:H23)</f>
        <v>457574598</v>
      </c>
      <c r="J23" s="556">
        <v>0</v>
      </c>
      <c r="K23" s="189">
        <v>0</v>
      </c>
      <c r="L23" s="556">
        <v>0</v>
      </c>
      <c r="M23" s="556">
        <v>0</v>
      </c>
      <c r="N23" s="189">
        <f>SUM(J23:M23)</f>
        <v>0</v>
      </c>
      <c r="O23" s="556">
        <v>0</v>
      </c>
      <c r="P23" s="556">
        <v>0</v>
      </c>
      <c r="Q23" s="189">
        <f t="shared" si="10"/>
        <v>0</v>
      </c>
      <c r="R23" s="189">
        <f>I23+N23+Q23</f>
        <v>457574598</v>
      </c>
      <c r="S23" s="203"/>
      <c r="T23" s="203"/>
    </row>
    <row r="24" spans="1:20" s="178" customFormat="1" ht="18.75" customHeight="1" x14ac:dyDescent="0.2">
      <c r="A24" s="552" t="s">
        <v>60</v>
      </c>
      <c r="B24" s="387" t="s">
        <v>172</v>
      </c>
      <c r="C24" s="387"/>
      <c r="D24" s="356" t="s">
        <v>456</v>
      </c>
      <c r="E24" s="189">
        <v>43561791</v>
      </c>
      <c r="F24" s="189">
        <v>0</v>
      </c>
      <c r="G24" s="189">
        <v>0</v>
      </c>
      <c r="H24" s="189">
        <v>0</v>
      </c>
      <c r="I24" s="189">
        <f>SUM(E24:H24)</f>
        <v>43561791</v>
      </c>
      <c r="J24" s="556">
        <v>0</v>
      </c>
      <c r="K24" s="189">
        <v>0</v>
      </c>
      <c r="L24" s="556">
        <v>0</v>
      </c>
      <c r="M24" s="556">
        <v>0</v>
      </c>
      <c r="N24" s="189">
        <f>SUM(J24:M24)</f>
        <v>0</v>
      </c>
      <c r="O24" s="556">
        <v>0</v>
      </c>
      <c r="P24" s="556">
        <v>0</v>
      </c>
      <c r="Q24" s="189">
        <f t="shared" si="10"/>
        <v>0</v>
      </c>
      <c r="R24" s="189">
        <f>I24+N24+Q24</f>
        <v>43561791</v>
      </c>
      <c r="S24" s="203"/>
      <c r="T24" s="203"/>
    </row>
    <row r="25" spans="1:20" ht="25.5" x14ac:dyDescent="0.2">
      <c r="A25" s="547" t="s">
        <v>61</v>
      </c>
      <c r="B25" s="165"/>
      <c r="C25" s="166" t="s">
        <v>290</v>
      </c>
      <c r="D25" s="166" t="s">
        <v>457</v>
      </c>
      <c r="E25" s="167">
        <v>0</v>
      </c>
      <c r="F25" s="167">
        <v>0</v>
      </c>
      <c r="G25" s="167">
        <v>0</v>
      </c>
      <c r="H25" s="167">
        <v>0</v>
      </c>
      <c r="I25" s="167">
        <f>SUM(E25:H25)</f>
        <v>0</v>
      </c>
      <c r="J25" s="536">
        <v>0</v>
      </c>
      <c r="K25" s="167">
        <v>0</v>
      </c>
      <c r="L25" s="536">
        <v>0</v>
      </c>
      <c r="M25" s="536">
        <v>0</v>
      </c>
      <c r="N25" s="167">
        <f>SUM(J25:M25)</f>
        <v>0</v>
      </c>
      <c r="O25" s="536">
        <v>0</v>
      </c>
      <c r="P25" s="536">
        <v>0</v>
      </c>
      <c r="Q25" s="167">
        <f t="shared" si="10"/>
        <v>0</v>
      </c>
      <c r="R25" s="167">
        <f t="shared" ref="R25:R27" si="11">I25+N25+Q25</f>
        <v>0</v>
      </c>
    </row>
    <row r="26" spans="1:20" ht="25.5" x14ac:dyDescent="0.2">
      <c r="A26" s="557"/>
      <c r="B26" s="165"/>
      <c r="C26" s="166" t="s">
        <v>291</v>
      </c>
      <c r="D26" s="166" t="s">
        <v>88</v>
      </c>
      <c r="E26" s="536">
        <v>0</v>
      </c>
      <c r="F26" s="536">
        <v>0</v>
      </c>
      <c r="G26" s="536">
        <v>0</v>
      </c>
      <c r="H26" s="536">
        <v>0</v>
      </c>
      <c r="I26" s="536">
        <v>0</v>
      </c>
      <c r="J26" s="167">
        <v>2000000</v>
      </c>
      <c r="K26" s="167">
        <v>0</v>
      </c>
      <c r="L26" s="167">
        <v>0</v>
      </c>
      <c r="M26" s="167">
        <v>0</v>
      </c>
      <c r="N26" s="167">
        <f t="shared" si="9"/>
        <v>2000000</v>
      </c>
      <c r="O26" s="536">
        <v>0</v>
      </c>
      <c r="P26" s="536">
        <v>0</v>
      </c>
      <c r="Q26" s="536">
        <v>0</v>
      </c>
      <c r="R26" s="167">
        <f t="shared" si="11"/>
        <v>2000000</v>
      </c>
    </row>
    <row r="27" spans="1:20" x14ac:dyDescent="0.2">
      <c r="A27" s="557"/>
      <c r="B27" s="165"/>
      <c r="C27" s="166" t="s">
        <v>292</v>
      </c>
      <c r="D27" s="166" t="s">
        <v>87</v>
      </c>
      <c r="E27" s="167">
        <v>0</v>
      </c>
      <c r="F27" s="167">
        <v>0</v>
      </c>
      <c r="G27" s="167">
        <v>0</v>
      </c>
      <c r="H27" s="167">
        <v>0</v>
      </c>
      <c r="I27" s="167">
        <f>SUM(E27:H27)</f>
        <v>0</v>
      </c>
      <c r="J27" s="536">
        <v>0</v>
      </c>
      <c r="K27" s="167">
        <v>0</v>
      </c>
      <c r="L27" s="536">
        <v>0</v>
      </c>
      <c r="M27" s="536">
        <v>0</v>
      </c>
      <c r="N27" s="167">
        <f>SUM(J27:M27)</f>
        <v>0</v>
      </c>
      <c r="O27" s="536">
        <v>0</v>
      </c>
      <c r="P27" s="536">
        <v>0</v>
      </c>
      <c r="Q27" s="167">
        <f t="shared" ref="Q27" si="12">SUM(O27:P27)</f>
        <v>0</v>
      </c>
      <c r="R27" s="167">
        <f t="shared" si="11"/>
        <v>0</v>
      </c>
    </row>
    <row r="28" spans="1:20" s="539" customFormat="1" ht="25.5" customHeight="1" x14ac:dyDescent="0.2">
      <c r="A28" s="548"/>
      <c r="B28" s="387" t="s">
        <v>293</v>
      </c>
      <c r="C28" s="387"/>
      <c r="D28" s="356" t="s">
        <v>458</v>
      </c>
      <c r="E28" s="189">
        <f>SUM(E25:E27)</f>
        <v>0</v>
      </c>
      <c r="F28" s="189">
        <f>SUM(F25:F27)</f>
        <v>0</v>
      </c>
      <c r="G28" s="189">
        <f>SUM(G25:G27)</f>
        <v>0</v>
      </c>
      <c r="H28" s="189">
        <f>SUM(H25:H27)</f>
        <v>0</v>
      </c>
      <c r="I28" s="189">
        <f>SUM(I25:I27)</f>
        <v>0</v>
      </c>
      <c r="J28" s="189">
        <f t="shared" ref="J28:P28" si="13">SUM(J25:J27)</f>
        <v>2000000</v>
      </c>
      <c r="K28" s="189">
        <f t="shared" si="13"/>
        <v>0</v>
      </c>
      <c r="L28" s="189">
        <f t="shared" si="13"/>
        <v>0</v>
      </c>
      <c r="M28" s="189">
        <f t="shared" si="13"/>
        <v>0</v>
      </c>
      <c r="N28" s="189">
        <f>SUM(N25:N27)</f>
        <v>2000000</v>
      </c>
      <c r="O28" s="189">
        <f t="shared" si="13"/>
        <v>0</v>
      </c>
      <c r="P28" s="189">
        <f t="shared" si="13"/>
        <v>0</v>
      </c>
      <c r="Q28" s="189">
        <f>SUM(Q25:Q27)</f>
        <v>0</v>
      </c>
      <c r="R28" s="189">
        <f>I28+N28+Q28</f>
        <v>2000000</v>
      </c>
      <c r="S28" s="554"/>
      <c r="T28" s="554"/>
    </row>
    <row r="29" spans="1:20" s="539" customFormat="1" ht="25.5" customHeight="1" x14ac:dyDescent="0.2">
      <c r="A29" s="542" t="s">
        <v>294</v>
      </c>
      <c r="B29" s="542"/>
      <c r="C29" s="542"/>
      <c r="D29" s="543" t="s">
        <v>459</v>
      </c>
      <c r="E29" s="544">
        <f>E8+E9+E16+E17+E18+E21+E23+E24+E28+E22</f>
        <v>952754914</v>
      </c>
      <c r="F29" s="544">
        <f>F8+F9+F16+F17+F18+F21+F23+F24+F28+F22</f>
        <v>64361344</v>
      </c>
      <c r="G29" s="544">
        <f>G8+G9+G16+G17+G18+G21+G23+G24+G28+G22</f>
        <v>102782321</v>
      </c>
      <c r="H29" s="544">
        <f>H8+H9+H16+H17+H18+H21+H23+H24+H28+H22</f>
        <v>5025574</v>
      </c>
      <c r="I29" s="544">
        <f t="shared" ref="I29:R29" si="14">I8+I9+I16+I17+I18+I21+I23+I24+I28+I22</f>
        <v>1124912230</v>
      </c>
      <c r="J29" s="544">
        <f t="shared" si="14"/>
        <v>27682993</v>
      </c>
      <c r="K29" s="544">
        <f t="shared" si="14"/>
        <v>2281403</v>
      </c>
      <c r="L29" s="544">
        <f t="shared" si="14"/>
        <v>1600000</v>
      </c>
      <c r="M29" s="544">
        <f t="shared" si="14"/>
        <v>0</v>
      </c>
      <c r="N29" s="544">
        <f t="shared" si="14"/>
        <v>31564396</v>
      </c>
      <c r="O29" s="544">
        <f t="shared" si="14"/>
        <v>0</v>
      </c>
      <c r="P29" s="544">
        <f t="shared" si="14"/>
        <v>0</v>
      </c>
      <c r="Q29" s="544">
        <f t="shared" si="14"/>
        <v>0</v>
      </c>
      <c r="R29" s="544">
        <f t="shared" si="14"/>
        <v>1156488549</v>
      </c>
      <c r="S29" s="554"/>
      <c r="T29" s="554"/>
    </row>
    <row r="30" spans="1:20" x14ac:dyDescent="0.2">
      <c r="A30" s="547" t="s">
        <v>29</v>
      </c>
      <c r="B30" s="165"/>
      <c r="C30" s="166" t="s">
        <v>297</v>
      </c>
      <c r="D30" s="166" t="s">
        <v>460</v>
      </c>
      <c r="E30" s="167">
        <v>9110753</v>
      </c>
      <c r="F30" s="167">
        <v>0</v>
      </c>
      <c r="G30" s="167">
        <v>0</v>
      </c>
      <c r="H30" s="167">
        <v>0</v>
      </c>
      <c r="I30" s="167">
        <f>SUM(E30:H30)</f>
        <v>9110753</v>
      </c>
      <c r="J30" s="536">
        <v>0</v>
      </c>
      <c r="K30" s="167">
        <v>0</v>
      </c>
      <c r="L30" s="536">
        <v>0</v>
      </c>
      <c r="M30" s="536">
        <v>0</v>
      </c>
      <c r="N30" s="167">
        <f>SUM(J30:M30)</f>
        <v>0</v>
      </c>
      <c r="O30" s="536">
        <v>0</v>
      </c>
      <c r="P30" s="536">
        <v>0</v>
      </c>
      <c r="Q30" s="167">
        <f>SUM(O30:P30)</f>
        <v>0</v>
      </c>
      <c r="R30" s="167">
        <f t="shared" ref="R30:R31" si="15">I30+N30+Q30</f>
        <v>9110753</v>
      </c>
    </row>
    <row r="31" spans="1:20" x14ac:dyDescent="0.2">
      <c r="A31" s="548"/>
      <c r="B31" s="165"/>
      <c r="C31" s="166" t="s">
        <v>298</v>
      </c>
      <c r="D31" s="166" t="s">
        <v>89</v>
      </c>
      <c r="E31" s="167">
        <v>102023405</v>
      </c>
      <c r="F31" s="167">
        <v>997200</v>
      </c>
      <c r="G31" s="167">
        <v>0</v>
      </c>
      <c r="H31" s="167">
        <v>0</v>
      </c>
      <c r="I31" s="167">
        <f>SUM(E31:H31)</f>
        <v>103020605</v>
      </c>
      <c r="J31" s="536">
        <v>0</v>
      </c>
      <c r="K31" s="167">
        <v>0</v>
      </c>
      <c r="L31" s="536">
        <v>0</v>
      </c>
      <c r="M31" s="536">
        <v>0</v>
      </c>
      <c r="N31" s="167">
        <f>SUM(J31:M31)</f>
        <v>0</v>
      </c>
      <c r="O31" s="536">
        <v>0</v>
      </c>
      <c r="P31" s="536">
        <v>0</v>
      </c>
      <c r="Q31" s="167">
        <f>SUM(O31:P31)</f>
        <v>0</v>
      </c>
      <c r="R31" s="167">
        <f t="shared" si="15"/>
        <v>103020605</v>
      </c>
    </row>
    <row r="32" spans="1:20" s="539" customFormat="1" ht="22.5" customHeight="1" x14ac:dyDescent="0.2">
      <c r="A32" s="565" t="s">
        <v>295</v>
      </c>
      <c r="B32" s="566"/>
      <c r="C32" s="567"/>
      <c r="D32" s="568" t="s">
        <v>461</v>
      </c>
      <c r="E32" s="544">
        <f>SUM(E30:E31)</f>
        <v>111134158</v>
      </c>
      <c r="F32" s="544">
        <f>SUM(F30:F31)</f>
        <v>997200</v>
      </c>
      <c r="G32" s="544">
        <f>SUM(G30:G31)</f>
        <v>0</v>
      </c>
      <c r="H32" s="544">
        <f>SUM(H30:H31)</f>
        <v>0</v>
      </c>
      <c r="I32" s="544">
        <f>SUM(I30:I31)</f>
        <v>112131358</v>
      </c>
      <c r="J32" s="544">
        <f t="shared" ref="J32:R32" si="16">SUM(J30:J31)</f>
        <v>0</v>
      </c>
      <c r="K32" s="544">
        <f t="shared" si="16"/>
        <v>0</v>
      </c>
      <c r="L32" s="544">
        <f t="shared" si="16"/>
        <v>0</v>
      </c>
      <c r="M32" s="544">
        <f t="shared" si="16"/>
        <v>0</v>
      </c>
      <c r="N32" s="544">
        <f>SUM(N30:N31)</f>
        <v>0</v>
      </c>
      <c r="O32" s="544">
        <f t="shared" si="16"/>
        <v>0</v>
      </c>
      <c r="P32" s="544">
        <f t="shared" si="16"/>
        <v>0</v>
      </c>
      <c r="Q32" s="544">
        <f>SUM(Q30:Q31)</f>
        <v>0</v>
      </c>
      <c r="R32" s="544">
        <f t="shared" si="16"/>
        <v>112131358</v>
      </c>
      <c r="S32" s="554"/>
      <c r="T32" s="554"/>
    </row>
    <row r="33" spans="1:20" s="160" customFormat="1" ht="22.5" customHeight="1" x14ac:dyDescent="0.2">
      <c r="A33" s="549" t="s">
        <v>296</v>
      </c>
      <c r="B33" s="549"/>
      <c r="C33" s="549"/>
      <c r="D33" s="550"/>
      <c r="E33" s="551">
        <f>E29+E32</f>
        <v>1063889072</v>
      </c>
      <c r="F33" s="551">
        <f>F29+F32</f>
        <v>65358544</v>
      </c>
      <c r="G33" s="551">
        <f>G29+G32</f>
        <v>102782321</v>
      </c>
      <c r="H33" s="551">
        <f>H29+H32</f>
        <v>5025574</v>
      </c>
      <c r="I33" s="551">
        <f>I29+I32</f>
        <v>1237043588</v>
      </c>
      <c r="J33" s="551">
        <f t="shared" ref="J33:R33" si="17">J29+J32</f>
        <v>27682993</v>
      </c>
      <c r="K33" s="551">
        <f t="shared" si="17"/>
        <v>2281403</v>
      </c>
      <c r="L33" s="551">
        <f t="shared" si="17"/>
        <v>1600000</v>
      </c>
      <c r="M33" s="551">
        <f t="shared" si="17"/>
        <v>0</v>
      </c>
      <c r="N33" s="551">
        <f>N29+N32</f>
        <v>31564396</v>
      </c>
      <c r="O33" s="551">
        <f t="shared" si="17"/>
        <v>0</v>
      </c>
      <c r="P33" s="551">
        <f t="shared" si="17"/>
        <v>0</v>
      </c>
      <c r="Q33" s="551">
        <f>Q29+Q32</f>
        <v>0</v>
      </c>
      <c r="R33" s="551">
        <f t="shared" si="17"/>
        <v>1268619907</v>
      </c>
      <c r="S33" s="204"/>
      <c r="T33" s="204"/>
    </row>
  </sheetData>
  <mergeCells count="30">
    <mergeCell ref="A33:C33"/>
    <mergeCell ref="E4:H4"/>
    <mergeCell ref="J4:M4"/>
    <mergeCell ref="B24:C24"/>
    <mergeCell ref="A25:A28"/>
    <mergeCell ref="B28:C28"/>
    <mergeCell ref="A29:C29"/>
    <mergeCell ref="A30:A31"/>
    <mergeCell ref="A32:C32"/>
    <mergeCell ref="B17:C17"/>
    <mergeCell ref="B18:C18"/>
    <mergeCell ref="A19:A21"/>
    <mergeCell ref="B21:C21"/>
    <mergeCell ref="B22:C22"/>
    <mergeCell ref="B23:C23"/>
    <mergeCell ref="Q4:Q5"/>
    <mergeCell ref="R4:R5"/>
    <mergeCell ref="A6:A8"/>
    <mergeCell ref="B8:C8"/>
    <mergeCell ref="B9:C9"/>
    <mergeCell ref="A10:A16"/>
    <mergeCell ref="B16:C16"/>
    <mergeCell ref="A1:R1"/>
    <mergeCell ref="A2:R2"/>
    <mergeCell ref="A3:C5"/>
    <mergeCell ref="D3:D5"/>
    <mergeCell ref="E3:R3"/>
    <mergeCell ref="I4:I5"/>
    <mergeCell ref="N4:N5"/>
    <mergeCell ref="O4:P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&amp;R2.1.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2"/>
  <sheetViews>
    <sheetView zoomScale="106" zoomScaleNormal="106" workbookViewId="0">
      <selection activeCell="F35" sqref="F35"/>
    </sheetView>
  </sheetViews>
  <sheetFormatPr defaultRowHeight="12.75" x14ac:dyDescent="0.2"/>
  <cols>
    <col min="1" max="1" width="5.42578125" style="183" bestFit="1" customWidth="1"/>
    <col min="2" max="2" width="47.28515625" style="184" customWidth="1"/>
    <col min="3" max="3" width="12.5703125" style="194" bestFit="1" customWidth="1"/>
    <col min="4" max="4" width="11.85546875" style="194" bestFit="1" customWidth="1"/>
    <col min="5" max="6" width="12.5703125" style="194" bestFit="1" customWidth="1"/>
    <col min="7" max="7" width="47.28515625" style="183" customWidth="1"/>
    <col min="8" max="8" width="14" style="194" customWidth="1"/>
    <col min="9" max="9" width="11.85546875" style="194" bestFit="1" customWidth="1"/>
    <col min="10" max="11" width="12.5703125" style="194" bestFit="1" customWidth="1"/>
    <col min="12" max="12" width="4.140625" style="183" customWidth="1"/>
    <col min="13" max="16384" width="9.140625" style="183"/>
  </cols>
  <sheetData>
    <row r="1" spans="1:12" ht="39.75" customHeight="1" x14ac:dyDescent="0.2">
      <c r="A1" s="181"/>
      <c r="B1" s="93" t="s">
        <v>119</v>
      </c>
      <c r="C1" s="193"/>
      <c r="D1" s="193"/>
      <c r="E1" s="193"/>
      <c r="F1" s="193"/>
      <c r="G1" s="182"/>
      <c r="H1" s="193"/>
      <c r="I1" s="193"/>
      <c r="J1" s="193"/>
      <c r="K1" s="193"/>
      <c r="L1" s="403"/>
    </row>
    <row r="2" spans="1:12" ht="14.25" thickBot="1" x14ac:dyDescent="0.25">
      <c r="H2" s="94" t="s">
        <v>238</v>
      </c>
      <c r="I2" s="94"/>
      <c r="J2" s="94"/>
      <c r="K2" s="94"/>
      <c r="L2" s="403"/>
    </row>
    <row r="3" spans="1:12" ht="18" customHeight="1" thickBot="1" x14ac:dyDescent="0.25">
      <c r="A3" s="404" t="s">
        <v>120</v>
      </c>
      <c r="B3" s="95" t="s">
        <v>121</v>
      </c>
      <c r="C3" s="96"/>
      <c r="D3" s="260"/>
      <c r="E3" s="260"/>
      <c r="F3" s="260"/>
      <c r="G3" s="95" t="s">
        <v>122</v>
      </c>
      <c r="H3" s="97"/>
      <c r="I3" s="271"/>
      <c r="J3" s="271"/>
      <c r="K3" s="271"/>
      <c r="L3" s="403"/>
    </row>
    <row r="4" spans="1:12" s="100" customFormat="1" ht="35.25" customHeight="1" thickBot="1" x14ac:dyDescent="0.25">
      <c r="A4" s="405"/>
      <c r="B4" s="98" t="s">
        <v>44</v>
      </c>
      <c r="C4" s="99" t="s">
        <v>369</v>
      </c>
      <c r="D4" s="173" t="s">
        <v>366</v>
      </c>
      <c r="E4" s="173" t="s">
        <v>367</v>
      </c>
      <c r="F4" s="173" t="s">
        <v>368</v>
      </c>
      <c r="G4" s="98" t="s">
        <v>44</v>
      </c>
      <c r="H4" s="273" t="s">
        <v>369</v>
      </c>
      <c r="I4" s="173" t="s">
        <v>366</v>
      </c>
      <c r="J4" s="173" t="s">
        <v>367</v>
      </c>
      <c r="K4" s="173" t="s">
        <v>368</v>
      </c>
      <c r="L4" s="403"/>
    </row>
    <row r="5" spans="1:12" s="104" customFormat="1" ht="12" customHeight="1" thickBot="1" x14ac:dyDescent="0.25">
      <c r="A5" s="101">
        <v>1</v>
      </c>
      <c r="B5" s="102">
        <v>2</v>
      </c>
      <c r="C5" s="103" t="s">
        <v>47</v>
      </c>
      <c r="D5" s="261"/>
      <c r="E5" s="261"/>
      <c r="F5" s="261"/>
      <c r="G5" s="102" t="s">
        <v>48</v>
      </c>
      <c r="H5" s="274" t="s">
        <v>49</v>
      </c>
      <c r="I5" s="281"/>
      <c r="J5" s="281"/>
      <c r="K5" s="281"/>
      <c r="L5" s="403"/>
    </row>
    <row r="6" spans="1:12" ht="12.95" customHeight="1" x14ac:dyDescent="0.2">
      <c r="A6" s="185" t="s">
        <v>45</v>
      </c>
      <c r="B6" s="105" t="s">
        <v>13</v>
      </c>
      <c r="C6" s="179">
        <f>'1. Bevételek'!L28</f>
        <v>170900000</v>
      </c>
      <c r="D6" s="262">
        <f>E6-C6</f>
        <v>0</v>
      </c>
      <c r="E6" s="262">
        <v>170900000</v>
      </c>
      <c r="F6" s="262">
        <v>75209481</v>
      </c>
      <c r="G6" s="105" t="s">
        <v>1</v>
      </c>
      <c r="H6" s="275">
        <f>'2. Kiadások'!L7</f>
        <v>122984970</v>
      </c>
      <c r="I6" s="107">
        <f>J6-H6</f>
        <v>1316586</v>
      </c>
      <c r="J6" s="107">
        <v>124301556</v>
      </c>
      <c r="K6" s="107">
        <v>58665220</v>
      </c>
      <c r="L6" s="403"/>
    </row>
    <row r="7" spans="1:12" ht="12.95" customHeight="1" x14ac:dyDescent="0.2">
      <c r="A7" s="186" t="s">
        <v>46</v>
      </c>
      <c r="B7" s="106" t="s">
        <v>225</v>
      </c>
      <c r="C7" s="107">
        <f>'1. Bevételek'!L37</f>
        <v>17487054</v>
      </c>
      <c r="D7" s="262">
        <f t="shared" ref="D7:D17" si="0">E7-C7</f>
        <v>3737005</v>
      </c>
      <c r="E7" s="263">
        <v>21224059</v>
      </c>
      <c r="F7" s="263">
        <v>15719855</v>
      </c>
      <c r="G7" s="106" t="s">
        <v>123</v>
      </c>
      <c r="H7" s="110">
        <f>'2. Kiadások'!L8</f>
        <v>23689579</v>
      </c>
      <c r="I7" s="107">
        <f t="shared" ref="I7:I11" si="1">J7-H7</f>
        <v>160658</v>
      </c>
      <c r="J7" s="107">
        <v>23850237</v>
      </c>
      <c r="K7" s="107">
        <v>11122619</v>
      </c>
      <c r="L7" s="403"/>
    </row>
    <row r="8" spans="1:12" ht="12.95" customHeight="1" x14ac:dyDescent="0.2">
      <c r="A8" s="186" t="s">
        <v>47</v>
      </c>
      <c r="B8" s="106" t="s">
        <v>124</v>
      </c>
      <c r="C8" s="107"/>
      <c r="D8" s="262">
        <f t="shared" si="0"/>
        <v>0</v>
      </c>
      <c r="E8" s="263"/>
      <c r="F8" s="263"/>
      <c r="G8" s="106" t="s">
        <v>41</v>
      </c>
      <c r="H8" s="110">
        <f>'2. Kiadások'!L14</f>
        <v>104902856</v>
      </c>
      <c r="I8" s="107">
        <f t="shared" si="1"/>
        <v>19330807</v>
      </c>
      <c r="J8" s="107">
        <v>124233663</v>
      </c>
      <c r="K8" s="107">
        <v>75154686</v>
      </c>
      <c r="L8" s="403"/>
    </row>
    <row r="9" spans="1:12" ht="12.95" customHeight="1" x14ac:dyDescent="0.2">
      <c r="A9" s="186" t="s">
        <v>48</v>
      </c>
      <c r="B9" s="109" t="s">
        <v>226</v>
      </c>
      <c r="C9" s="107">
        <f>'1. Bevételek'!L11</f>
        <v>276381087</v>
      </c>
      <c r="D9" s="262">
        <f t="shared" si="0"/>
        <v>12784266</v>
      </c>
      <c r="E9" s="263">
        <v>289165353</v>
      </c>
      <c r="F9" s="263">
        <v>155692497</v>
      </c>
      <c r="G9" s="106" t="s">
        <v>125</v>
      </c>
      <c r="H9" s="110">
        <f>'2. Kiadások'!L15</f>
        <v>1400000</v>
      </c>
      <c r="I9" s="107">
        <f t="shared" si="1"/>
        <v>564300</v>
      </c>
      <c r="J9" s="107">
        <v>1964300</v>
      </c>
      <c r="K9" s="107">
        <v>548430</v>
      </c>
      <c r="L9" s="403"/>
    </row>
    <row r="10" spans="1:12" ht="12.95" customHeight="1" x14ac:dyDescent="0.2">
      <c r="A10" s="186" t="s">
        <v>49</v>
      </c>
      <c r="B10" s="106" t="s">
        <v>126</v>
      </c>
      <c r="C10" s="107">
        <f>'1. Bevételek'!L17</f>
        <v>38651021</v>
      </c>
      <c r="D10" s="262">
        <f t="shared" si="0"/>
        <v>2286878</v>
      </c>
      <c r="E10" s="263">
        <v>40937899</v>
      </c>
      <c r="F10" s="263">
        <v>22694406</v>
      </c>
      <c r="G10" s="106" t="s">
        <v>383</v>
      </c>
      <c r="H10" s="110">
        <f>244181257+25570215</f>
        <v>269751472</v>
      </c>
      <c r="I10" s="107">
        <f t="shared" si="1"/>
        <v>1067923</v>
      </c>
      <c r="J10" s="107">
        <f>244193180+26626215</f>
        <v>270819395</v>
      </c>
      <c r="K10" s="107">
        <f>116333517+14094015</f>
        <v>130427532</v>
      </c>
      <c r="L10" s="403"/>
    </row>
    <row r="11" spans="1:12" ht="12.95" customHeight="1" x14ac:dyDescent="0.2">
      <c r="A11" s="186" t="s">
        <v>56</v>
      </c>
      <c r="B11" s="106" t="s">
        <v>127</v>
      </c>
      <c r="C11" s="110"/>
      <c r="D11" s="262">
        <f t="shared" si="0"/>
        <v>0</v>
      </c>
      <c r="E11" s="264"/>
      <c r="F11" s="264"/>
      <c r="G11" s="106" t="s">
        <v>128</v>
      </c>
      <c r="H11" s="110">
        <f>'2. Kiadások'!L19</f>
        <v>50254587</v>
      </c>
      <c r="I11" s="107">
        <f t="shared" si="1"/>
        <v>57928422</v>
      </c>
      <c r="J11" s="107">
        <v>108183009</v>
      </c>
      <c r="K11" s="107">
        <v>0</v>
      </c>
      <c r="L11" s="403"/>
    </row>
    <row r="12" spans="1:12" ht="12.95" customHeight="1" x14ac:dyDescent="0.2">
      <c r="A12" s="186" t="s">
        <v>58</v>
      </c>
      <c r="B12" s="106" t="s">
        <v>129</v>
      </c>
      <c r="C12" s="107"/>
      <c r="D12" s="262">
        <f t="shared" si="0"/>
        <v>16654</v>
      </c>
      <c r="E12" s="263">
        <v>16654</v>
      </c>
      <c r="F12" s="263">
        <v>16654</v>
      </c>
      <c r="G12" s="106" t="s">
        <v>14</v>
      </c>
      <c r="H12" s="110"/>
      <c r="I12" s="107"/>
      <c r="J12" s="107"/>
      <c r="K12" s="107"/>
      <c r="L12" s="403"/>
    </row>
    <row r="13" spans="1:12" ht="12.95" customHeight="1" x14ac:dyDescent="0.2">
      <c r="A13" s="186" t="s">
        <v>59</v>
      </c>
      <c r="B13" s="106" t="s">
        <v>130</v>
      </c>
      <c r="C13" s="107"/>
      <c r="D13" s="262">
        <f t="shared" si="0"/>
        <v>0</v>
      </c>
      <c r="E13" s="263"/>
      <c r="F13" s="263"/>
      <c r="G13" s="111" t="s">
        <v>342</v>
      </c>
      <c r="H13" s="110"/>
      <c r="I13" s="107"/>
      <c r="J13" s="107"/>
      <c r="K13" s="107"/>
      <c r="L13" s="403"/>
    </row>
    <row r="14" spans="1:12" ht="12.95" customHeight="1" x14ac:dyDescent="0.2">
      <c r="A14" s="186" t="s">
        <v>60</v>
      </c>
      <c r="B14" s="112" t="s">
        <v>131</v>
      </c>
      <c r="C14" s="110"/>
      <c r="D14" s="262">
        <f t="shared" si="0"/>
        <v>0</v>
      </c>
      <c r="E14" s="264"/>
      <c r="F14" s="264"/>
      <c r="G14" s="111" t="s">
        <v>302</v>
      </c>
      <c r="H14" s="110">
        <v>0</v>
      </c>
      <c r="I14" s="107"/>
      <c r="J14" s="107"/>
      <c r="K14" s="107"/>
      <c r="L14" s="403"/>
    </row>
    <row r="15" spans="1:12" ht="12.95" customHeight="1" x14ac:dyDescent="0.2">
      <c r="A15" s="186" t="s">
        <v>61</v>
      </c>
      <c r="B15" s="111" t="s">
        <v>342</v>
      </c>
      <c r="C15" s="107"/>
      <c r="D15" s="262">
        <f t="shared" si="0"/>
        <v>0</v>
      </c>
      <c r="E15" s="263"/>
      <c r="F15" s="263"/>
      <c r="G15" s="111"/>
      <c r="H15" s="110"/>
      <c r="I15" s="107"/>
      <c r="J15" s="107"/>
      <c r="K15" s="107"/>
      <c r="L15" s="403"/>
    </row>
    <row r="16" spans="1:12" ht="12.95" customHeight="1" x14ac:dyDescent="0.2">
      <c r="A16" s="186" t="s">
        <v>29</v>
      </c>
      <c r="B16" s="111"/>
      <c r="C16" s="107"/>
      <c r="D16" s="262">
        <f t="shared" si="0"/>
        <v>0</v>
      </c>
      <c r="E16" s="263"/>
      <c r="F16" s="263"/>
      <c r="G16" s="111"/>
      <c r="H16" s="110"/>
      <c r="I16" s="107"/>
      <c r="J16" s="107"/>
      <c r="K16" s="107"/>
      <c r="L16" s="403"/>
    </row>
    <row r="17" spans="1:12" ht="12.95" customHeight="1" thickBot="1" x14ac:dyDescent="0.25">
      <c r="A17" s="186" t="s">
        <v>30</v>
      </c>
      <c r="B17" s="113"/>
      <c r="C17" s="114"/>
      <c r="D17" s="262">
        <f t="shared" si="0"/>
        <v>0</v>
      </c>
      <c r="E17" s="265"/>
      <c r="F17" s="265"/>
      <c r="G17" s="111"/>
      <c r="H17" s="276"/>
      <c r="I17" s="114"/>
      <c r="J17" s="114"/>
      <c r="K17" s="114"/>
      <c r="L17" s="403"/>
    </row>
    <row r="18" spans="1:12" ht="15.95" customHeight="1" thickBot="1" x14ac:dyDescent="0.25">
      <c r="A18" s="115" t="s">
        <v>36</v>
      </c>
      <c r="B18" s="116" t="s">
        <v>132</v>
      </c>
      <c r="C18" s="117">
        <f>+C6+C7+C8+C9+C10+C12+C13+C14+C15+C16+C17</f>
        <v>503419162</v>
      </c>
      <c r="D18" s="117">
        <f t="shared" ref="D18:F18" si="2">+D6+D7+D8+D9+D10+D12+D13+D14+D15+D16+D17</f>
        <v>18824803</v>
      </c>
      <c r="E18" s="117">
        <f t="shared" si="2"/>
        <v>522243965</v>
      </c>
      <c r="F18" s="117">
        <f t="shared" si="2"/>
        <v>269332893</v>
      </c>
      <c r="G18" s="116" t="s">
        <v>133</v>
      </c>
      <c r="H18" s="277">
        <f>SUM(H6:H17)</f>
        <v>572983464</v>
      </c>
      <c r="I18" s="277">
        <f t="shared" ref="I18:K18" si="3">SUM(I6:I17)</f>
        <v>80368696</v>
      </c>
      <c r="J18" s="277">
        <f t="shared" si="3"/>
        <v>653352160</v>
      </c>
      <c r="K18" s="277">
        <f t="shared" si="3"/>
        <v>275918487</v>
      </c>
      <c r="L18" s="403"/>
    </row>
    <row r="19" spans="1:12" ht="12.95" customHeight="1" x14ac:dyDescent="0.2">
      <c r="A19" s="118" t="s">
        <v>31</v>
      </c>
      <c r="B19" s="119" t="s">
        <v>134</v>
      </c>
      <c r="C19" s="180">
        <f>+C20+C21+C22+C23</f>
        <v>180698460</v>
      </c>
      <c r="D19" s="180">
        <f t="shared" ref="D19:F19" si="4">+D20+D21+D22+D23</f>
        <v>997200</v>
      </c>
      <c r="E19" s="180">
        <f t="shared" si="4"/>
        <v>181695660</v>
      </c>
      <c r="F19" s="180">
        <f t="shared" si="4"/>
        <v>110965844</v>
      </c>
      <c r="G19" s="120" t="s">
        <v>135</v>
      </c>
      <c r="H19" s="278"/>
      <c r="I19" s="283"/>
      <c r="J19" s="283"/>
      <c r="K19" s="283"/>
      <c r="L19" s="403"/>
    </row>
    <row r="20" spans="1:12" ht="12.95" customHeight="1" x14ac:dyDescent="0.2">
      <c r="A20" s="121" t="s">
        <v>64</v>
      </c>
      <c r="B20" s="120" t="s">
        <v>136</v>
      </c>
      <c r="C20" s="122">
        <v>36175056</v>
      </c>
      <c r="D20" s="262">
        <f t="shared" ref="D20:D23" si="5">E20-C20</f>
        <v>0</v>
      </c>
      <c r="E20" s="266">
        <v>36175056</v>
      </c>
      <c r="F20" s="266">
        <v>36175056</v>
      </c>
      <c r="G20" s="120" t="s">
        <v>137</v>
      </c>
      <c r="H20" s="279"/>
      <c r="I20" s="122"/>
      <c r="J20" s="122"/>
      <c r="K20" s="122"/>
      <c r="L20" s="403"/>
    </row>
    <row r="21" spans="1:12" ht="12.95" customHeight="1" x14ac:dyDescent="0.2">
      <c r="A21" s="121" t="s">
        <v>76</v>
      </c>
      <c r="B21" s="120" t="s">
        <v>138</v>
      </c>
      <c r="C21" s="122"/>
      <c r="D21" s="262">
        <f t="shared" si="5"/>
        <v>0</v>
      </c>
      <c r="E21" s="266"/>
      <c r="F21" s="266"/>
      <c r="G21" s="120" t="s">
        <v>139</v>
      </c>
      <c r="H21" s="279"/>
      <c r="I21" s="122"/>
      <c r="J21" s="122"/>
      <c r="K21" s="122"/>
      <c r="L21" s="403"/>
    </row>
    <row r="22" spans="1:12" ht="12.95" customHeight="1" x14ac:dyDescent="0.2">
      <c r="A22" s="121" t="s">
        <v>32</v>
      </c>
      <c r="B22" s="120" t="s">
        <v>235</v>
      </c>
      <c r="C22" s="122">
        <v>42499999</v>
      </c>
      <c r="D22" s="262">
        <f t="shared" si="5"/>
        <v>0</v>
      </c>
      <c r="E22" s="266">
        <v>42499999</v>
      </c>
      <c r="F22" s="266">
        <v>18042819</v>
      </c>
      <c r="G22" s="120" t="s">
        <v>140</v>
      </c>
      <c r="H22" s="279"/>
      <c r="I22" s="122"/>
      <c r="J22" s="122"/>
      <c r="K22" s="122"/>
      <c r="L22" s="403"/>
    </row>
    <row r="23" spans="1:12" ht="12.95" customHeight="1" x14ac:dyDescent="0.2">
      <c r="A23" s="121" t="s">
        <v>77</v>
      </c>
      <c r="B23" s="120" t="s">
        <v>141</v>
      </c>
      <c r="C23" s="122">
        <f>'1. Bevételek'!H54</f>
        <v>102023405</v>
      </c>
      <c r="D23" s="262">
        <f t="shared" si="5"/>
        <v>997200</v>
      </c>
      <c r="E23" s="267">
        <v>103020605</v>
      </c>
      <c r="F23" s="267">
        <v>56747969</v>
      </c>
      <c r="G23" s="119" t="s">
        <v>142</v>
      </c>
      <c r="H23" s="279"/>
      <c r="I23" s="122"/>
      <c r="J23" s="122"/>
      <c r="K23" s="122"/>
      <c r="L23" s="403"/>
    </row>
    <row r="24" spans="1:12" ht="12.95" customHeight="1" x14ac:dyDescent="0.2">
      <c r="A24" s="121" t="s">
        <v>62</v>
      </c>
      <c r="B24" s="120" t="s">
        <v>143</v>
      </c>
      <c r="C24" s="123">
        <f>+C25+C26</f>
        <v>0</v>
      </c>
      <c r="D24" s="268"/>
      <c r="E24" s="268"/>
      <c r="F24" s="268"/>
      <c r="G24" s="120" t="s">
        <v>144</v>
      </c>
      <c r="H24" s="279"/>
      <c r="I24" s="122"/>
      <c r="J24" s="122"/>
      <c r="K24" s="122"/>
      <c r="L24" s="403"/>
    </row>
    <row r="25" spans="1:12" ht="12.95" customHeight="1" x14ac:dyDescent="0.2">
      <c r="A25" s="118" t="s">
        <v>95</v>
      </c>
      <c r="B25" s="119" t="s">
        <v>145</v>
      </c>
      <c r="C25" s="124"/>
      <c r="D25" s="267"/>
      <c r="E25" s="267"/>
      <c r="F25" s="267"/>
      <c r="G25" s="105" t="s">
        <v>146</v>
      </c>
      <c r="H25" s="278">
        <f>'2. Kiadások'!L29</f>
        <v>102023405</v>
      </c>
      <c r="I25" s="122">
        <f>J25-H25</f>
        <v>997200</v>
      </c>
      <c r="J25" s="122">
        <v>103020605</v>
      </c>
      <c r="K25" s="122">
        <v>56747969</v>
      </c>
      <c r="L25" s="403"/>
    </row>
    <row r="26" spans="1:12" ht="12.95" customHeight="1" thickBot="1" x14ac:dyDescent="0.25">
      <c r="A26" s="121" t="s">
        <v>147</v>
      </c>
      <c r="B26" s="120" t="s">
        <v>148</v>
      </c>
      <c r="C26" s="122"/>
      <c r="D26" s="266"/>
      <c r="E26" s="266"/>
      <c r="F26" s="266"/>
      <c r="G26" s="111" t="s">
        <v>227</v>
      </c>
      <c r="H26" s="279">
        <f>'2. Kiadások'!L28</f>
        <v>9110753</v>
      </c>
      <c r="I26" s="122">
        <f>J26-H26</f>
        <v>0</v>
      </c>
      <c r="J26" s="284">
        <v>9110753</v>
      </c>
      <c r="K26" s="284">
        <v>9110753</v>
      </c>
      <c r="L26" s="403"/>
    </row>
    <row r="27" spans="1:12" ht="15.95" customHeight="1" thickBot="1" x14ac:dyDescent="0.25">
      <c r="A27" s="115" t="s">
        <v>149</v>
      </c>
      <c r="B27" s="116" t="s">
        <v>150</v>
      </c>
      <c r="C27" s="117">
        <f>+C19+C24</f>
        <v>180698460</v>
      </c>
      <c r="D27" s="117">
        <f t="shared" ref="D27:F27" si="6">+D19+D24</f>
        <v>997200</v>
      </c>
      <c r="E27" s="117">
        <f t="shared" si="6"/>
        <v>181695660</v>
      </c>
      <c r="F27" s="117">
        <f t="shared" si="6"/>
        <v>110965844</v>
      </c>
      <c r="G27" s="116" t="s">
        <v>151</v>
      </c>
      <c r="H27" s="277">
        <f>SUM(H19:H26)</f>
        <v>111134158</v>
      </c>
      <c r="I27" s="277">
        <f t="shared" ref="I27:K27" si="7">SUM(I19:I26)</f>
        <v>997200</v>
      </c>
      <c r="J27" s="277">
        <f t="shared" si="7"/>
        <v>112131358</v>
      </c>
      <c r="K27" s="277">
        <f t="shared" si="7"/>
        <v>65858722</v>
      </c>
      <c r="L27" s="403"/>
    </row>
    <row r="28" spans="1:12" ht="18" customHeight="1" thickBot="1" x14ac:dyDescent="0.25">
      <c r="A28" s="115" t="s">
        <v>152</v>
      </c>
      <c r="B28" s="125" t="s">
        <v>153</v>
      </c>
      <c r="C28" s="117">
        <f>+C18+C27</f>
        <v>684117622</v>
      </c>
      <c r="D28" s="117">
        <f t="shared" ref="D28:F28" si="8">+D18+D27</f>
        <v>19822003</v>
      </c>
      <c r="E28" s="117">
        <f t="shared" si="8"/>
        <v>703939625</v>
      </c>
      <c r="F28" s="117">
        <f t="shared" si="8"/>
        <v>380298737</v>
      </c>
      <c r="G28" s="125" t="s">
        <v>154</v>
      </c>
      <c r="H28" s="277">
        <f>+H18+H27</f>
        <v>684117622</v>
      </c>
      <c r="I28" s="277">
        <f t="shared" ref="I28:K28" si="9">+I18+I27</f>
        <v>81365896</v>
      </c>
      <c r="J28" s="277">
        <f t="shared" si="9"/>
        <v>765483518</v>
      </c>
      <c r="K28" s="277">
        <f t="shared" si="9"/>
        <v>341777209</v>
      </c>
      <c r="L28" s="403"/>
    </row>
    <row r="29" spans="1:12" ht="18" customHeight="1" thickBot="1" x14ac:dyDescent="0.25">
      <c r="A29" s="115" t="s">
        <v>155</v>
      </c>
      <c r="B29" s="116" t="s">
        <v>156</v>
      </c>
      <c r="C29" s="126"/>
      <c r="D29" s="269"/>
      <c r="E29" s="269"/>
      <c r="F29" s="269"/>
      <c r="G29" s="116" t="s">
        <v>157</v>
      </c>
      <c r="H29" s="280"/>
      <c r="I29" s="282"/>
      <c r="J29" s="282"/>
      <c r="K29" s="282"/>
      <c r="L29" s="403"/>
    </row>
    <row r="30" spans="1:12" ht="13.5" thickBot="1" x14ac:dyDescent="0.25">
      <c r="A30" s="115" t="s">
        <v>158</v>
      </c>
      <c r="B30" s="127" t="s">
        <v>159</v>
      </c>
      <c r="C30" s="128">
        <f>+C28+C29</f>
        <v>684117622</v>
      </c>
      <c r="D30" s="128">
        <f t="shared" ref="D30:F30" si="10">+D28+D29</f>
        <v>19822003</v>
      </c>
      <c r="E30" s="128">
        <f t="shared" si="10"/>
        <v>703939625</v>
      </c>
      <c r="F30" s="128">
        <f t="shared" si="10"/>
        <v>380298737</v>
      </c>
      <c r="G30" s="127" t="s">
        <v>160</v>
      </c>
      <c r="H30" s="270">
        <f>+H28+H29</f>
        <v>684117622</v>
      </c>
      <c r="I30" s="270">
        <f t="shared" ref="I30:K30" si="11">+I28+I29</f>
        <v>81365896</v>
      </c>
      <c r="J30" s="270">
        <f t="shared" si="11"/>
        <v>765483518</v>
      </c>
      <c r="K30" s="270">
        <f t="shared" si="11"/>
        <v>341777209</v>
      </c>
      <c r="L30" s="403"/>
    </row>
    <row r="31" spans="1:12" ht="13.5" thickBot="1" x14ac:dyDescent="0.25">
      <c r="A31" s="115" t="s">
        <v>161</v>
      </c>
      <c r="B31" s="127" t="s">
        <v>162</v>
      </c>
      <c r="C31" s="128">
        <f>IF(C18-H18&lt;0,H18-C18,"-")</f>
        <v>69564302</v>
      </c>
      <c r="D31" s="128">
        <f t="shared" ref="D31:F31" si="12">IF(D18-I18&lt;0,I18-D18,"-")</f>
        <v>61543893</v>
      </c>
      <c r="E31" s="128">
        <f t="shared" si="12"/>
        <v>131108195</v>
      </c>
      <c r="F31" s="128">
        <f t="shared" si="12"/>
        <v>6585594</v>
      </c>
      <c r="G31" s="127" t="s">
        <v>163</v>
      </c>
      <c r="H31" s="270" t="str">
        <f>IF(C18-H18&gt;0,C18-H18,"-")</f>
        <v>-</v>
      </c>
      <c r="I31" s="117"/>
      <c r="J31" s="117"/>
      <c r="K31" s="117"/>
      <c r="L31" s="403"/>
    </row>
    <row r="32" spans="1:12" ht="13.5" thickBot="1" x14ac:dyDescent="0.25">
      <c r="A32" s="115" t="s">
        <v>164</v>
      </c>
      <c r="B32" s="127" t="s">
        <v>165</v>
      </c>
      <c r="C32" s="128" t="str">
        <f>IF(C18+C19-H28&lt;0,H28-(C18+C19),"-")</f>
        <v>-</v>
      </c>
      <c r="D32" s="128">
        <f t="shared" ref="D32:F32" si="13">IF(D18+D19-I28&lt;0,I28-(D18+D19),"-")</f>
        <v>61543893</v>
      </c>
      <c r="E32" s="128">
        <f t="shared" si="13"/>
        <v>61543893</v>
      </c>
      <c r="F32" s="128" t="str">
        <f t="shared" si="13"/>
        <v>-</v>
      </c>
      <c r="G32" s="127" t="s">
        <v>166</v>
      </c>
      <c r="H32" s="270" t="str">
        <f>IF(C18+C19-H28&gt;0,C18+C19-H28,"-")</f>
        <v>-</v>
      </c>
      <c r="I32" s="117"/>
      <c r="J32" s="117"/>
      <c r="K32" s="117"/>
      <c r="L32" s="403"/>
    </row>
  </sheetData>
  <mergeCells count="2">
    <mergeCell ref="L1:L32"/>
    <mergeCell ref="A3:A4"/>
  </mergeCells>
  <phoneticPr fontId="7" type="noConversion"/>
  <pageMargins left="0.75" right="0.75" top="0.73" bottom="1" header="0.5" footer="0.5"/>
  <pageSetup paperSize="9" scale="65" orientation="landscape" r:id="rId1"/>
  <headerFooter alignWithMargins="0">
    <oddHeader>&amp;R3.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7"/>
  <sheetViews>
    <sheetView workbookViewId="0">
      <selection activeCell="I27" sqref="I27"/>
    </sheetView>
  </sheetViews>
  <sheetFormatPr defaultRowHeight="12.75" x14ac:dyDescent="0.2"/>
  <cols>
    <col min="1" max="1" width="5.28515625" style="183" bestFit="1" customWidth="1"/>
    <col min="2" max="2" width="47.28515625" style="184" customWidth="1"/>
    <col min="3" max="3" width="14" style="194" customWidth="1"/>
    <col min="4" max="4" width="11.85546875" style="194" bestFit="1" customWidth="1"/>
    <col min="5" max="6" width="12.5703125" style="194" bestFit="1" customWidth="1"/>
    <col min="7" max="7" width="47.28515625" style="183" customWidth="1"/>
    <col min="8" max="8" width="12.5703125" style="194" bestFit="1" customWidth="1"/>
    <col min="9" max="9" width="11.85546875" style="194" bestFit="1" customWidth="1"/>
    <col min="10" max="10" width="12.5703125" style="194" bestFit="1" customWidth="1"/>
    <col min="11" max="11" width="14" style="194" customWidth="1"/>
    <col min="12" max="12" width="4.140625" style="183" customWidth="1"/>
    <col min="13" max="13" width="11.7109375" style="183" bestFit="1" customWidth="1"/>
    <col min="14" max="16384" width="9.140625" style="183"/>
  </cols>
  <sheetData>
    <row r="1" spans="1:12" ht="31.5" x14ac:dyDescent="0.2">
      <c r="A1" s="181"/>
      <c r="B1" s="93" t="s">
        <v>167</v>
      </c>
      <c r="C1" s="193"/>
      <c r="D1" s="193"/>
      <c r="E1" s="193"/>
      <c r="F1" s="193"/>
      <c r="G1" s="182"/>
      <c r="H1" s="193"/>
      <c r="I1" s="193"/>
      <c r="J1" s="193"/>
      <c r="K1" s="193"/>
      <c r="L1" s="403"/>
    </row>
    <row r="2" spans="1:12" ht="14.25" thickBot="1" x14ac:dyDescent="0.25">
      <c r="H2" s="289"/>
      <c r="I2" s="290"/>
      <c r="J2" s="290"/>
      <c r="K2" s="290" t="s">
        <v>238</v>
      </c>
      <c r="L2" s="403"/>
    </row>
    <row r="3" spans="1:12" ht="13.5" thickBot="1" x14ac:dyDescent="0.25">
      <c r="A3" s="406" t="s">
        <v>120</v>
      </c>
      <c r="B3" s="95" t="s">
        <v>121</v>
      </c>
      <c r="C3" s="96"/>
      <c r="D3" s="260"/>
      <c r="E3" s="260"/>
      <c r="F3" s="260"/>
      <c r="G3" s="95" t="s">
        <v>122</v>
      </c>
      <c r="H3" s="288"/>
      <c r="I3" s="96"/>
      <c r="J3" s="96"/>
      <c r="K3" s="96"/>
      <c r="L3" s="403"/>
    </row>
    <row r="4" spans="1:12" s="100" customFormat="1" ht="24.75" thickBot="1" x14ac:dyDescent="0.25">
      <c r="A4" s="407"/>
      <c r="B4" s="98" t="s">
        <v>44</v>
      </c>
      <c r="C4" s="99" t="s">
        <v>369</v>
      </c>
      <c r="D4" s="173" t="s">
        <v>366</v>
      </c>
      <c r="E4" s="173" t="s">
        <v>367</v>
      </c>
      <c r="F4" s="173" t="s">
        <v>368</v>
      </c>
      <c r="G4" s="98" t="s">
        <v>44</v>
      </c>
      <c r="H4" s="273" t="s">
        <v>369</v>
      </c>
      <c r="I4" s="291" t="s">
        <v>366</v>
      </c>
      <c r="J4" s="291" t="s">
        <v>367</v>
      </c>
      <c r="K4" s="291" t="s">
        <v>368</v>
      </c>
      <c r="L4" s="403"/>
    </row>
    <row r="5" spans="1:12" s="100" customFormat="1" ht="13.5" thickBot="1" x14ac:dyDescent="0.25">
      <c r="A5" s="101">
        <v>1</v>
      </c>
      <c r="B5" s="102">
        <v>2</v>
      </c>
      <c r="C5" s="103">
        <v>3</v>
      </c>
      <c r="D5" s="261"/>
      <c r="E5" s="261"/>
      <c r="F5" s="261"/>
      <c r="G5" s="102">
        <v>4</v>
      </c>
      <c r="H5" s="274">
        <v>5</v>
      </c>
      <c r="I5" s="103"/>
      <c r="J5" s="103"/>
      <c r="K5" s="103"/>
      <c r="L5" s="403"/>
    </row>
    <row r="6" spans="1:12" ht="12.95" customHeight="1" x14ac:dyDescent="0.2">
      <c r="A6" s="185" t="s">
        <v>45</v>
      </c>
      <c r="B6" s="105" t="s">
        <v>168</v>
      </c>
      <c r="C6" s="179">
        <f>'1. Bevételek'!L38</f>
        <v>2372880</v>
      </c>
      <c r="D6" s="262">
        <f>E6-C6</f>
        <v>1797839</v>
      </c>
      <c r="E6" s="262">
        <v>4170719</v>
      </c>
      <c r="F6" s="262">
        <v>1186440</v>
      </c>
      <c r="G6" s="105" t="s">
        <v>169</v>
      </c>
      <c r="H6" s="275">
        <f>'2. Kiadások'!L21</f>
        <v>466274973</v>
      </c>
      <c r="I6" s="179">
        <f>J6-H6</f>
        <v>-8700375</v>
      </c>
      <c r="J6" s="179">
        <v>457574598</v>
      </c>
      <c r="K6" s="179">
        <v>85834116</v>
      </c>
      <c r="L6" s="403"/>
    </row>
    <row r="7" spans="1:12" ht="12.95" customHeight="1" x14ac:dyDescent="0.2">
      <c r="A7" s="185" t="s">
        <v>46</v>
      </c>
      <c r="B7" s="84" t="s">
        <v>170</v>
      </c>
      <c r="C7" s="179"/>
      <c r="D7" s="262">
        <f t="shared" ref="D7:D18" si="0">E7-C7</f>
        <v>0</v>
      </c>
      <c r="E7" s="262"/>
      <c r="F7" s="262"/>
      <c r="G7" s="105"/>
      <c r="H7" s="275"/>
      <c r="I7" s="179">
        <f t="shared" ref="I7:I8" si="1">J7-H7</f>
        <v>0</v>
      </c>
      <c r="J7" s="107"/>
      <c r="K7" s="107"/>
      <c r="L7" s="403"/>
    </row>
    <row r="8" spans="1:12" ht="22.5" customHeight="1" x14ac:dyDescent="0.2">
      <c r="A8" s="185" t="s">
        <v>47</v>
      </c>
      <c r="B8" s="106" t="s">
        <v>171</v>
      </c>
      <c r="C8" s="107">
        <v>0</v>
      </c>
      <c r="D8" s="262">
        <f t="shared" si="0"/>
        <v>0</v>
      </c>
      <c r="E8" s="263"/>
      <c r="F8" s="263"/>
      <c r="G8" s="106" t="s">
        <v>172</v>
      </c>
      <c r="H8" s="110">
        <f>'2. Kiadások'!L22</f>
        <v>43561791</v>
      </c>
      <c r="I8" s="179">
        <f t="shared" si="1"/>
        <v>0</v>
      </c>
      <c r="J8" s="107">
        <v>43561791</v>
      </c>
      <c r="K8" s="107">
        <v>18583628</v>
      </c>
      <c r="L8" s="403"/>
    </row>
    <row r="9" spans="1:12" ht="12.95" customHeight="1" x14ac:dyDescent="0.2">
      <c r="A9" s="185" t="s">
        <v>48</v>
      </c>
      <c r="B9" s="106" t="s">
        <v>173</v>
      </c>
      <c r="C9" s="107"/>
      <c r="D9" s="262">
        <f t="shared" si="0"/>
        <v>0</v>
      </c>
      <c r="E9" s="263"/>
      <c r="F9" s="263"/>
      <c r="G9" s="106" t="s">
        <v>174</v>
      </c>
      <c r="H9" s="110">
        <f>SUM(H10:H16)</f>
        <v>0</v>
      </c>
      <c r="I9" s="107"/>
      <c r="J9" s="107"/>
      <c r="K9" s="107"/>
      <c r="L9" s="403"/>
    </row>
    <row r="10" spans="1:12" ht="12.95" customHeight="1" x14ac:dyDescent="0.2">
      <c r="A10" s="185" t="s">
        <v>49</v>
      </c>
      <c r="B10" s="106" t="s">
        <v>175</v>
      </c>
      <c r="C10" s="107"/>
      <c r="D10" s="262">
        <f t="shared" si="0"/>
        <v>0</v>
      </c>
      <c r="E10" s="263"/>
      <c r="F10" s="263"/>
      <c r="G10" s="106" t="s">
        <v>176</v>
      </c>
      <c r="H10" s="110">
        <v>0</v>
      </c>
      <c r="I10" s="107"/>
      <c r="J10" s="107"/>
      <c r="K10" s="107"/>
      <c r="L10" s="403"/>
    </row>
    <row r="11" spans="1:12" ht="12.75" customHeight="1" x14ac:dyDescent="0.2">
      <c r="A11" s="185" t="s">
        <v>56</v>
      </c>
      <c r="B11" s="106" t="s">
        <v>177</v>
      </c>
      <c r="C11" s="107"/>
      <c r="D11" s="262">
        <f t="shared" si="0"/>
        <v>0</v>
      </c>
      <c r="E11" s="263"/>
      <c r="F11" s="263"/>
      <c r="G11" s="106" t="s">
        <v>178</v>
      </c>
      <c r="H11" s="110">
        <v>0</v>
      </c>
      <c r="I11" s="107"/>
      <c r="J11" s="107"/>
      <c r="K11" s="107"/>
      <c r="L11" s="403"/>
    </row>
    <row r="12" spans="1:12" ht="12.95" customHeight="1" x14ac:dyDescent="0.2">
      <c r="A12" s="185" t="s">
        <v>58</v>
      </c>
      <c r="B12" s="106" t="s">
        <v>179</v>
      </c>
      <c r="C12" s="110"/>
      <c r="D12" s="262">
        <f t="shared" si="0"/>
        <v>0</v>
      </c>
      <c r="E12" s="264"/>
      <c r="F12" s="264"/>
      <c r="G12" s="129" t="s">
        <v>180</v>
      </c>
      <c r="H12" s="110"/>
      <c r="I12" s="107"/>
      <c r="J12" s="107"/>
      <c r="K12" s="107"/>
      <c r="L12" s="403"/>
    </row>
    <row r="13" spans="1:12" ht="12.95" customHeight="1" x14ac:dyDescent="0.2">
      <c r="A13" s="185" t="s">
        <v>59</v>
      </c>
      <c r="B13" s="106" t="s">
        <v>181</v>
      </c>
      <c r="C13" s="107"/>
      <c r="D13" s="262">
        <f t="shared" si="0"/>
        <v>0</v>
      </c>
      <c r="E13" s="263"/>
      <c r="F13" s="263"/>
      <c r="G13" s="129" t="s">
        <v>182</v>
      </c>
      <c r="H13" s="110"/>
      <c r="I13" s="107"/>
      <c r="J13" s="107"/>
      <c r="K13" s="107"/>
      <c r="L13" s="403"/>
    </row>
    <row r="14" spans="1:12" ht="12.95" customHeight="1" x14ac:dyDescent="0.2">
      <c r="A14" s="185" t="s">
        <v>60</v>
      </c>
      <c r="B14" s="106" t="s">
        <v>183</v>
      </c>
      <c r="C14" s="107">
        <f>SUM(C15)</f>
        <v>0</v>
      </c>
      <c r="D14" s="107">
        <f t="shared" ref="D14:F14" si="2">SUM(D15)</f>
        <v>49996154</v>
      </c>
      <c r="E14" s="107">
        <f t="shared" si="2"/>
        <v>49996154</v>
      </c>
      <c r="F14" s="107">
        <f t="shared" si="2"/>
        <v>49996154</v>
      </c>
      <c r="G14" s="130" t="s">
        <v>184</v>
      </c>
      <c r="H14" s="110"/>
      <c r="I14" s="107"/>
      <c r="J14" s="107"/>
      <c r="K14" s="107"/>
      <c r="L14" s="403"/>
    </row>
    <row r="15" spans="1:12" ht="12.95" customHeight="1" x14ac:dyDescent="0.2">
      <c r="A15" s="185" t="s">
        <v>61</v>
      </c>
      <c r="B15" s="131" t="s">
        <v>185</v>
      </c>
      <c r="C15" s="110">
        <v>0</v>
      </c>
      <c r="D15" s="262">
        <f t="shared" si="0"/>
        <v>49996154</v>
      </c>
      <c r="E15" s="264">
        <v>49996154</v>
      </c>
      <c r="F15" s="264">
        <v>49996154</v>
      </c>
      <c r="G15" s="129" t="s">
        <v>186</v>
      </c>
      <c r="H15" s="110"/>
      <c r="I15" s="107"/>
      <c r="J15" s="107"/>
      <c r="K15" s="107"/>
      <c r="L15" s="403"/>
    </row>
    <row r="16" spans="1:12" ht="22.5" customHeight="1" x14ac:dyDescent="0.2">
      <c r="A16" s="185" t="s">
        <v>29</v>
      </c>
      <c r="B16" s="106" t="s">
        <v>187</v>
      </c>
      <c r="C16" s="110">
        <f>'1. Bevételek'!L45</f>
        <v>7280000</v>
      </c>
      <c r="D16" s="262">
        <f t="shared" si="0"/>
        <v>1049525</v>
      </c>
      <c r="E16" s="264">
        <f>1049525+7280000</f>
        <v>8329525</v>
      </c>
      <c r="F16" s="264">
        <f>1049525+272190</f>
        <v>1321715</v>
      </c>
      <c r="G16" s="129" t="s">
        <v>188</v>
      </c>
      <c r="H16" s="110"/>
      <c r="I16" s="107"/>
      <c r="J16" s="107"/>
      <c r="K16" s="107"/>
      <c r="L16" s="403"/>
    </row>
    <row r="17" spans="1:12" ht="12.95" customHeight="1" x14ac:dyDescent="0.2">
      <c r="A17" s="185" t="s">
        <v>30</v>
      </c>
      <c r="B17" s="106" t="s">
        <v>189</v>
      </c>
      <c r="C17" s="108">
        <f>'1. Bevételek'!L44</f>
        <v>701680</v>
      </c>
      <c r="D17" s="262">
        <f t="shared" si="0"/>
        <v>0</v>
      </c>
      <c r="E17" s="264">
        <v>701680</v>
      </c>
      <c r="F17" s="264">
        <v>934892</v>
      </c>
      <c r="G17" s="106" t="s">
        <v>128</v>
      </c>
      <c r="H17" s="110">
        <v>0</v>
      </c>
      <c r="I17" s="107"/>
      <c r="J17" s="107"/>
      <c r="K17" s="107"/>
      <c r="L17" s="403"/>
    </row>
    <row r="18" spans="1:12" ht="12.95" customHeight="1" thickBot="1" x14ac:dyDescent="0.25">
      <c r="A18" s="185" t="s">
        <v>36</v>
      </c>
      <c r="B18" s="132" t="s">
        <v>190</v>
      </c>
      <c r="C18" s="133">
        <v>0</v>
      </c>
      <c r="D18" s="262">
        <f t="shared" si="0"/>
        <v>0</v>
      </c>
      <c r="E18" s="272"/>
      <c r="F18" s="272"/>
      <c r="G18" s="132" t="s">
        <v>14</v>
      </c>
      <c r="H18" s="133">
        <f>'2. Kiadások'!L26</f>
        <v>2000000</v>
      </c>
      <c r="I18" s="179">
        <f>J18-H18</f>
        <v>0</v>
      </c>
      <c r="J18" s="114">
        <v>2000000</v>
      </c>
      <c r="K18" s="114">
        <v>0</v>
      </c>
      <c r="L18" s="403"/>
    </row>
    <row r="19" spans="1:12" ht="15.95" customHeight="1" thickBot="1" x14ac:dyDescent="0.25">
      <c r="A19" s="115" t="s">
        <v>36</v>
      </c>
      <c r="B19" s="116" t="s">
        <v>191</v>
      </c>
      <c r="C19" s="117">
        <f>C6+C7+C8+C9+C10+C11+C12+C13+C14+C16+C17+C18</f>
        <v>10354560</v>
      </c>
      <c r="D19" s="117">
        <f t="shared" ref="D19:F19" si="3">D6+D7+D8+D9+D10+D11+D12+D13+D14+D16+D17+D18</f>
        <v>52843518</v>
      </c>
      <c r="E19" s="117">
        <f t="shared" si="3"/>
        <v>63198078</v>
      </c>
      <c r="F19" s="117">
        <f t="shared" si="3"/>
        <v>53439201</v>
      </c>
      <c r="G19" s="116" t="s">
        <v>12</v>
      </c>
      <c r="H19" s="277">
        <f>+H6+H8+H9+H17+H18</f>
        <v>511836764</v>
      </c>
      <c r="I19" s="277">
        <f t="shared" ref="I19:K19" si="4">+I6+I8+I9+I17+I18</f>
        <v>-8700375</v>
      </c>
      <c r="J19" s="277">
        <f t="shared" si="4"/>
        <v>503136389</v>
      </c>
      <c r="K19" s="277">
        <f t="shared" si="4"/>
        <v>104417744</v>
      </c>
      <c r="L19" s="403"/>
    </row>
    <row r="20" spans="1:12" ht="12.95" customHeight="1" x14ac:dyDescent="0.2">
      <c r="A20" s="134" t="s">
        <v>31</v>
      </c>
      <c r="B20" s="135" t="s">
        <v>192</v>
      </c>
      <c r="C20" s="136">
        <f>+C21+C22+C23+C24+C25</f>
        <v>101482204</v>
      </c>
      <c r="D20" s="136">
        <f t="shared" ref="D20:F20" si="5">+D21+D22+D23+D24+D25</f>
        <v>0</v>
      </c>
      <c r="E20" s="136">
        <f t="shared" si="5"/>
        <v>101482204</v>
      </c>
      <c r="F20" s="136">
        <f t="shared" si="5"/>
        <v>50089079</v>
      </c>
      <c r="G20" s="120" t="s">
        <v>135</v>
      </c>
      <c r="H20" s="286"/>
      <c r="I20" s="283"/>
      <c r="J20" s="283"/>
      <c r="K20" s="283"/>
      <c r="L20" s="403"/>
    </row>
    <row r="21" spans="1:12" ht="12.95" customHeight="1" x14ac:dyDescent="0.2">
      <c r="A21" s="186" t="s">
        <v>64</v>
      </c>
      <c r="B21" s="137" t="s">
        <v>193</v>
      </c>
      <c r="C21" s="122">
        <v>12098299</v>
      </c>
      <c r="D21" s="266"/>
      <c r="E21" s="266">
        <v>12098299</v>
      </c>
      <c r="F21" s="266">
        <v>12098299</v>
      </c>
      <c r="G21" s="120" t="s">
        <v>194</v>
      </c>
      <c r="H21" s="279"/>
      <c r="I21" s="122"/>
      <c r="J21" s="122"/>
      <c r="K21" s="122"/>
      <c r="L21" s="403"/>
    </row>
    <row r="22" spans="1:12" ht="12.95" customHeight="1" x14ac:dyDescent="0.2">
      <c r="A22" s="134" t="s">
        <v>76</v>
      </c>
      <c r="B22" s="137" t="s">
        <v>195</v>
      </c>
      <c r="C22" s="122"/>
      <c r="D22" s="266"/>
      <c r="E22" s="266"/>
      <c r="F22" s="266"/>
      <c r="G22" s="120" t="s">
        <v>139</v>
      </c>
      <c r="H22" s="279"/>
      <c r="I22" s="122"/>
      <c r="J22" s="122"/>
      <c r="K22" s="122"/>
      <c r="L22" s="403"/>
    </row>
    <row r="23" spans="1:12" ht="12.95" customHeight="1" x14ac:dyDescent="0.2">
      <c r="A23" s="186" t="s">
        <v>32</v>
      </c>
      <c r="B23" s="137" t="s">
        <v>196</v>
      </c>
      <c r="C23" s="122"/>
      <c r="D23" s="266"/>
      <c r="E23" s="266"/>
      <c r="F23" s="266"/>
      <c r="G23" s="120" t="s">
        <v>140</v>
      </c>
      <c r="H23" s="279"/>
      <c r="I23" s="122"/>
      <c r="J23" s="122"/>
      <c r="K23" s="122"/>
      <c r="L23" s="403"/>
    </row>
    <row r="24" spans="1:12" ht="12.95" customHeight="1" x14ac:dyDescent="0.2">
      <c r="A24" s="134" t="s">
        <v>77</v>
      </c>
      <c r="B24" s="137" t="s">
        <v>197</v>
      </c>
      <c r="C24" s="122">
        <v>89383905</v>
      </c>
      <c r="D24" s="267">
        <f>E24-C24</f>
        <v>0</v>
      </c>
      <c r="E24" s="267">
        <v>89383905</v>
      </c>
      <c r="F24" s="267">
        <v>37990780</v>
      </c>
      <c r="G24" s="119" t="s">
        <v>15</v>
      </c>
      <c r="H24" s="279"/>
      <c r="I24" s="122"/>
      <c r="J24" s="122"/>
      <c r="K24" s="122"/>
      <c r="L24" s="403"/>
    </row>
    <row r="25" spans="1:12" ht="12.95" customHeight="1" x14ac:dyDescent="0.2">
      <c r="A25" s="186" t="s">
        <v>62</v>
      </c>
      <c r="B25" s="138" t="s">
        <v>198</v>
      </c>
      <c r="C25" s="122"/>
      <c r="D25" s="266"/>
      <c r="E25" s="266"/>
      <c r="F25" s="266"/>
      <c r="G25" s="120" t="s">
        <v>199</v>
      </c>
      <c r="H25" s="279"/>
      <c r="I25" s="122"/>
      <c r="J25" s="122"/>
      <c r="K25" s="122"/>
      <c r="L25" s="403"/>
    </row>
    <row r="26" spans="1:12" ht="12.95" customHeight="1" x14ac:dyDescent="0.2">
      <c r="A26" s="134" t="s">
        <v>95</v>
      </c>
      <c r="B26" s="139" t="s">
        <v>200</v>
      </c>
      <c r="C26" s="123">
        <f>+C27+C28+C29+C30+C31</f>
        <v>400000000</v>
      </c>
      <c r="D26" s="123">
        <f t="shared" ref="D26:F26" si="6">+D27+D28+D29+D30+D31</f>
        <v>0</v>
      </c>
      <c r="E26" s="123">
        <f t="shared" si="6"/>
        <v>400000000</v>
      </c>
      <c r="F26" s="123">
        <f t="shared" si="6"/>
        <v>0</v>
      </c>
      <c r="G26" s="140" t="s">
        <v>201</v>
      </c>
      <c r="H26" s="279"/>
      <c r="I26" s="122"/>
      <c r="J26" s="122"/>
      <c r="K26" s="122"/>
      <c r="L26" s="403"/>
    </row>
    <row r="27" spans="1:12" ht="12.95" customHeight="1" x14ac:dyDescent="0.2">
      <c r="A27" s="186" t="s">
        <v>147</v>
      </c>
      <c r="B27" s="138" t="s">
        <v>202</v>
      </c>
      <c r="C27" s="122">
        <v>400000000</v>
      </c>
      <c r="D27" s="285">
        <f>E27-C27</f>
        <v>0</v>
      </c>
      <c r="E27" s="285">
        <v>400000000</v>
      </c>
      <c r="F27" s="285">
        <v>0</v>
      </c>
      <c r="G27" s="140" t="s">
        <v>203</v>
      </c>
      <c r="H27" s="279"/>
      <c r="I27" s="122"/>
      <c r="J27" s="122"/>
      <c r="K27" s="122"/>
      <c r="L27" s="403"/>
    </row>
    <row r="28" spans="1:12" ht="12.95" customHeight="1" x14ac:dyDescent="0.2">
      <c r="A28" s="134" t="s">
        <v>149</v>
      </c>
      <c r="B28" s="138" t="s">
        <v>204</v>
      </c>
      <c r="C28" s="122"/>
      <c r="D28" s="285"/>
      <c r="E28" s="285"/>
      <c r="F28" s="285"/>
      <c r="G28" s="141"/>
      <c r="H28" s="279"/>
      <c r="I28" s="122"/>
      <c r="J28" s="122"/>
      <c r="K28" s="122"/>
      <c r="L28" s="403"/>
    </row>
    <row r="29" spans="1:12" ht="12.95" customHeight="1" x14ac:dyDescent="0.2">
      <c r="A29" s="186" t="s">
        <v>152</v>
      </c>
      <c r="B29" s="137" t="s">
        <v>205</v>
      </c>
      <c r="C29" s="122"/>
      <c r="D29" s="285"/>
      <c r="E29" s="285"/>
      <c r="F29" s="285"/>
      <c r="G29" s="142"/>
      <c r="H29" s="279"/>
      <c r="I29" s="122"/>
      <c r="J29" s="122"/>
      <c r="K29" s="122"/>
      <c r="L29" s="403"/>
    </row>
    <row r="30" spans="1:12" ht="12.95" customHeight="1" x14ac:dyDescent="0.2">
      <c r="A30" s="134" t="s">
        <v>155</v>
      </c>
      <c r="B30" s="143" t="s">
        <v>206</v>
      </c>
      <c r="C30" s="122"/>
      <c r="D30" s="266"/>
      <c r="E30" s="266"/>
      <c r="F30" s="266"/>
      <c r="G30" s="111"/>
      <c r="H30" s="279"/>
      <c r="I30" s="122"/>
      <c r="J30" s="122"/>
      <c r="K30" s="122"/>
      <c r="L30" s="403"/>
    </row>
    <row r="31" spans="1:12" ht="12.95" customHeight="1" thickBot="1" x14ac:dyDescent="0.25">
      <c r="A31" s="186" t="s">
        <v>158</v>
      </c>
      <c r="B31" s="144" t="s">
        <v>207</v>
      </c>
      <c r="C31" s="122"/>
      <c r="D31" s="285"/>
      <c r="E31" s="285"/>
      <c r="F31" s="285"/>
      <c r="G31" s="142"/>
      <c r="H31" s="279"/>
      <c r="I31" s="284"/>
      <c r="J31" s="284"/>
      <c r="K31" s="284"/>
      <c r="L31" s="403"/>
    </row>
    <row r="32" spans="1:12" ht="21.75" customHeight="1" thickBot="1" x14ac:dyDescent="0.25">
      <c r="A32" s="115" t="s">
        <v>161</v>
      </c>
      <c r="B32" s="116" t="s">
        <v>208</v>
      </c>
      <c r="C32" s="117">
        <f>+C20+C26</f>
        <v>501482204</v>
      </c>
      <c r="D32" s="117">
        <f>+D20+D26</f>
        <v>0</v>
      </c>
      <c r="E32" s="117">
        <f t="shared" ref="E32:F32" si="7">+E20+E26</f>
        <v>501482204</v>
      </c>
      <c r="F32" s="117">
        <f t="shared" si="7"/>
        <v>50089079</v>
      </c>
      <c r="G32" s="116" t="s">
        <v>209</v>
      </c>
      <c r="H32" s="277">
        <f>SUM(H20:H31)</f>
        <v>0</v>
      </c>
      <c r="I32" s="117"/>
      <c r="J32" s="117"/>
      <c r="K32" s="117"/>
      <c r="L32" s="403"/>
    </row>
    <row r="33" spans="1:12" ht="18" customHeight="1" thickBot="1" x14ac:dyDescent="0.25">
      <c r="A33" s="115" t="s">
        <v>164</v>
      </c>
      <c r="B33" s="125" t="s">
        <v>210</v>
      </c>
      <c r="C33" s="117">
        <f>+C19+C32</f>
        <v>511836764</v>
      </c>
      <c r="D33" s="117">
        <f t="shared" ref="D33:F33" si="8">+D19+D32</f>
        <v>52843518</v>
      </c>
      <c r="E33" s="117">
        <f t="shared" si="8"/>
        <v>564680282</v>
      </c>
      <c r="F33" s="117">
        <f t="shared" si="8"/>
        <v>103528280</v>
      </c>
      <c r="G33" s="125" t="s">
        <v>211</v>
      </c>
      <c r="H33" s="277">
        <f>+H19+H32</f>
        <v>511836764</v>
      </c>
      <c r="I33" s="277">
        <f t="shared" ref="I33:K33" si="9">+I19+I32</f>
        <v>-8700375</v>
      </c>
      <c r="J33" s="277">
        <f t="shared" si="9"/>
        <v>503136389</v>
      </c>
      <c r="K33" s="277">
        <f t="shared" si="9"/>
        <v>104417744</v>
      </c>
      <c r="L33" s="403"/>
    </row>
    <row r="34" spans="1:12" ht="18" customHeight="1" thickBot="1" x14ac:dyDescent="0.25">
      <c r="A34" s="115" t="s">
        <v>212</v>
      </c>
      <c r="B34" s="116" t="s">
        <v>156</v>
      </c>
      <c r="C34" s="126" t="s">
        <v>213</v>
      </c>
      <c r="D34" s="269"/>
      <c r="E34" s="269"/>
      <c r="F34" s="269"/>
      <c r="G34" s="116" t="s">
        <v>157</v>
      </c>
      <c r="H34" s="280"/>
      <c r="I34" s="287"/>
      <c r="J34" s="287"/>
      <c r="K34" s="287"/>
      <c r="L34" s="403"/>
    </row>
    <row r="35" spans="1:12" ht="13.5" thickBot="1" x14ac:dyDescent="0.25">
      <c r="A35" s="115" t="s">
        <v>214</v>
      </c>
      <c r="B35" s="127" t="s">
        <v>215</v>
      </c>
      <c r="C35" s="128">
        <f>SUM(C33:C34)</f>
        <v>511836764</v>
      </c>
      <c r="D35" s="128">
        <f t="shared" ref="D35:F35" si="10">SUM(D33:D34)</f>
        <v>52843518</v>
      </c>
      <c r="E35" s="128">
        <f t="shared" si="10"/>
        <v>564680282</v>
      </c>
      <c r="F35" s="128">
        <f t="shared" si="10"/>
        <v>103528280</v>
      </c>
      <c r="G35" s="127" t="s">
        <v>216</v>
      </c>
      <c r="H35" s="270">
        <f>+H33+H34</f>
        <v>511836764</v>
      </c>
      <c r="I35" s="270">
        <f t="shared" ref="I35:K35" si="11">+I33+I34</f>
        <v>-8700375</v>
      </c>
      <c r="J35" s="270">
        <f t="shared" si="11"/>
        <v>503136389</v>
      </c>
      <c r="K35" s="270">
        <f t="shared" si="11"/>
        <v>104417744</v>
      </c>
      <c r="L35" s="403"/>
    </row>
    <row r="36" spans="1:12" ht="13.5" thickBot="1" x14ac:dyDescent="0.25">
      <c r="A36" s="115" t="s">
        <v>217</v>
      </c>
      <c r="B36" s="127" t="s">
        <v>162</v>
      </c>
      <c r="C36" s="128">
        <f>IF(C19-H19&lt;0,H19-C19,"-")</f>
        <v>501482204</v>
      </c>
      <c r="D36" s="128" t="str">
        <f t="shared" ref="D36:F36" si="12">IF(D19-I19&lt;0,I19-D19,"-")</f>
        <v>-</v>
      </c>
      <c r="E36" s="128">
        <f t="shared" si="12"/>
        <v>439938311</v>
      </c>
      <c r="F36" s="128">
        <f t="shared" si="12"/>
        <v>50978543</v>
      </c>
      <c r="G36" s="127" t="s">
        <v>163</v>
      </c>
      <c r="H36" s="270" t="str">
        <f>IF(C19-H19&gt;0,C19-H19,"-")</f>
        <v>-</v>
      </c>
      <c r="I36" s="270">
        <f t="shared" ref="I36:K36" si="13">IF(D19-I19&gt;0,D19-I19,"-")</f>
        <v>61543893</v>
      </c>
      <c r="J36" s="270" t="str">
        <f t="shared" si="13"/>
        <v>-</v>
      </c>
      <c r="K36" s="270" t="str">
        <f t="shared" si="13"/>
        <v>-</v>
      </c>
      <c r="L36" s="403"/>
    </row>
    <row r="37" spans="1:12" ht="13.5" thickBot="1" x14ac:dyDescent="0.25">
      <c r="A37" s="115" t="s">
        <v>218</v>
      </c>
      <c r="B37" s="127" t="s">
        <v>165</v>
      </c>
      <c r="C37" s="128">
        <f>IF(C19+C20-H33&lt;0,H33-(C19+C20),"-")</f>
        <v>400000000</v>
      </c>
      <c r="D37" s="128" t="str">
        <f t="shared" ref="D37:F37" si="14">IF(D19+D20-I33&lt;0,I33-(D19+D20),"-")</f>
        <v>-</v>
      </c>
      <c r="E37" s="128">
        <f t="shared" si="14"/>
        <v>338456107</v>
      </c>
      <c r="F37" s="128">
        <f t="shared" si="14"/>
        <v>889464</v>
      </c>
      <c r="G37" s="127" t="s">
        <v>166</v>
      </c>
      <c r="H37" s="270" t="str">
        <f>IF(C19+C20-H33&gt;0,C19+C20-H33,"-")</f>
        <v>-</v>
      </c>
      <c r="I37" s="270">
        <f t="shared" ref="I37:K37" si="15">IF(D19+D20-I33&gt;0,D19+D20-I33,"-")</f>
        <v>61543893</v>
      </c>
      <c r="J37" s="270" t="str">
        <f t="shared" si="15"/>
        <v>-</v>
      </c>
      <c r="K37" s="270" t="str">
        <f t="shared" si="15"/>
        <v>-</v>
      </c>
      <c r="L37" s="403"/>
    </row>
  </sheetData>
  <mergeCells count="2">
    <mergeCell ref="L1:L37"/>
    <mergeCell ref="A3:A4"/>
  </mergeCells>
  <phoneticPr fontId="7" type="noConversion"/>
  <pageMargins left="0.75" right="0.75" top="0.42" bottom="0.22" header="0.17" footer="0.17"/>
  <pageSetup paperSize="9" scale="65" orientation="landscape" r:id="rId1"/>
  <headerFooter alignWithMargins="0">
    <oddHeader>&amp;R4.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R62"/>
  <sheetViews>
    <sheetView zoomScale="80" zoomScaleNormal="80" workbookViewId="0">
      <selection activeCell="A2" sqref="A2:O2"/>
    </sheetView>
  </sheetViews>
  <sheetFormatPr defaultRowHeight="15" customHeight="1" x14ac:dyDescent="0.2"/>
  <cols>
    <col min="1" max="1" width="3" style="2" customWidth="1"/>
    <col min="2" max="2" width="44.7109375" style="2" bestFit="1" customWidth="1"/>
    <col min="3" max="3" width="8.28515625" style="18" bestFit="1" customWidth="1"/>
    <col min="4" max="4" width="12" style="195" bestFit="1" customWidth="1"/>
    <col min="5" max="5" width="12.28515625" style="195" bestFit="1" customWidth="1"/>
    <col min="6" max="7" width="12" style="195" bestFit="1" customWidth="1"/>
    <col min="8" max="8" width="11.5703125" style="11" bestFit="1" customWidth="1"/>
    <col min="9" max="11" width="11.5703125" style="11" customWidth="1"/>
    <col min="12" max="12" width="12" style="11" bestFit="1" customWidth="1"/>
    <col min="13" max="13" width="11.85546875" style="11" bestFit="1" customWidth="1"/>
    <col min="14" max="15" width="12" style="11" bestFit="1" customWidth="1"/>
    <col min="16" max="16" width="9.140625" style="2"/>
    <col min="17" max="17" width="10.140625" style="11" bestFit="1" customWidth="1"/>
    <col min="18" max="18" width="9.5703125" style="11" bestFit="1" customWidth="1"/>
    <col min="19" max="16384" width="9.140625" style="2"/>
  </cols>
  <sheetData>
    <row r="1" spans="1:18" ht="21" customHeight="1" x14ac:dyDescent="0.2">
      <c r="A1" s="372" t="s">
        <v>370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8" ht="18.75" customHeight="1" x14ac:dyDescent="0.2">
      <c r="A2" s="372" t="s">
        <v>52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</row>
    <row r="3" spans="1:18" ht="15" customHeight="1" thickBot="1" x14ac:dyDescent="0.25">
      <c r="M3" s="17"/>
      <c r="N3" s="17"/>
      <c r="O3" s="17" t="s">
        <v>236</v>
      </c>
    </row>
    <row r="4" spans="1:18" ht="15" customHeight="1" thickBot="1" x14ac:dyDescent="0.25">
      <c r="A4" s="416" t="s">
        <v>44</v>
      </c>
      <c r="B4" s="417"/>
      <c r="C4" s="424" t="s">
        <v>43</v>
      </c>
      <c r="D4" s="426" t="s">
        <v>322</v>
      </c>
      <c r="E4" s="427"/>
      <c r="F4" s="427"/>
      <c r="G4" s="427"/>
      <c r="H4" s="427"/>
      <c r="I4" s="427"/>
      <c r="J4" s="427"/>
      <c r="K4" s="427"/>
      <c r="L4" s="427"/>
      <c r="M4" s="150"/>
      <c r="N4" s="150"/>
      <c r="O4" s="150"/>
    </row>
    <row r="5" spans="1:18" ht="25.5" customHeight="1" thickBot="1" x14ac:dyDescent="0.25">
      <c r="A5" s="418"/>
      <c r="B5" s="419"/>
      <c r="C5" s="425"/>
      <c r="D5" s="149" t="s">
        <v>222</v>
      </c>
      <c r="E5" s="173" t="s">
        <v>366</v>
      </c>
      <c r="F5" s="173" t="s">
        <v>367</v>
      </c>
      <c r="G5" s="173" t="s">
        <v>368</v>
      </c>
      <c r="H5" s="207" t="s">
        <v>108</v>
      </c>
      <c r="I5" s="173" t="s">
        <v>366</v>
      </c>
      <c r="J5" s="173" t="s">
        <v>367</v>
      </c>
      <c r="K5" s="173" t="s">
        <v>368</v>
      </c>
      <c r="L5" s="258" t="s">
        <v>382</v>
      </c>
      <c r="M5" s="173" t="s">
        <v>366</v>
      </c>
      <c r="N5" s="173" t="s">
        <v>367</v>
      </c>
      <c r="O5" s="173" t="s">
        <v>368</v>
      </c>
    </row>
    <row r="6" spans="1:18" ht="21" customHeight="1" x14ac:dyDescent="0.2">
      <c r="A6" s="59" t="s">
        <v>23</v>
      </c>
      <c r="B6" s="39"/>
      <c r="C6" s="39"/>
      <c r="D6" s="196"/>
      <c r="E6" s="196"/>
      <c r="F6" s="196"/>
      <c r="G6" s="196"/>
      <c r="H6" s="153"/>
      <c r="I6" s="153"/>
      <c r="J6" s="153"/>
      <c r="K6" s="153"/>
      <c r="L6" s="153"/>
      <c r="M6" s="22"/>
      <c r="N6" s="22"/>
      <c r="O6" s="22"/>
    </row>
    <row r="7" spans="1:18" s="13" customFormat="1" ht="18" customHeight="1" x14ac:dyDescent="0.2">
      <c r="A7" s="60" t="s">
        <v>20</v>
      </c>
      <c r="B7" s="61"/>
      <c r="C7" s="61"/>
      <c r="D7" s="197"/>
      <c r="E7" s="292"/>
      <c r="F7" s="292"/>
      <c r="G7" s="292"/>
      <c r="H7" s="154"/>
      <c r="I7" s="154"/>
      <c r="J7" s="154"/>
      <c r="K7" s="154"/>
      <c r="L7" s="299"/>
      <c r="M7" s="309"/>
      <c r="N7" s="309"/>
      <c r="O7" s="309"/>
      <c r="Q7" s="154"/>
      <c r="R7" s="154"/>
    </row>
    <row r="8" spans="1:18" ht="25.5" x14ac:dyDescent="0.2">
      <c r="A8" s="65" t="s">
        <v>45</v>
      </c>
      <c r="B8" s="66" t="s">
        <v>84</v>
      </c>
      <c r="C8" s="67" t="s">
        <v>89</v>
      </c>
      <c r="D8" s="68">
        <f>SUM(D9:D10)</f>
        <v>102023405</v>
      </c>
      <c r="E8" s="68">
        <f t="shared" ref="E8:G8" si="0">SUM(E9:E10)</f>
        <v>997200</v>
      </c>
      <c r="F8" s="68">
        <f t="shared" si="0"/>
        <v>103020605</v>
      </c>
      <c r="G8" s="68">
        <f t="shared" si="0"/>
        <v>56747969</v>
      </c>
      <c r="H8" s="68">
        <f>SUM(H9:H10)</f>
        <v>0</v>
      </c>
      <c r="I8" s="68"/>
      <c r="J8" s="68"/>
      <c r="K8" s="68"/>
      <c r="L8" s="301">
        <f>SUM(L9:L10)</f>
        <v>102023405</v>
      </c>
      <c r="M8" s="301">
        <f t="shared" ref="M8:O8" si="1">SUM(M9:M10)</f>
        <v>997200</v>
      </c>
      <c r="N8" s="301">
        <f t="shared" si="1"/>
        <v>103020605</v>
      </c>
      <c r="O8" s="301">
        <f t="shared" si="1"/>
        <v>56747969</v>
      </c>
    </row>
    <row r="9" spans="1:18" ht="25.5" x14ac:dyDescent="0.2">
      <c r="A9" s="28" t="s">
        <v>45</v>
      </c>
      <c r="B9" s="14" t="s">
        <v>93</v>
      </c>
      <c r="C9" s="43"/>
      <c r="D9" s="47">
        <v>102023405</v>
      </c>
      <c r="E9" s="293">
        <f>F9-D9</f>
        <v>997200</v>
      </c>
      <c r="F9" s="293">
        <v>103020605</v>
      </c>
      <c r="G9" s="293">
        <v>56747969</v>
      </c>
      <c r="H9" s="155">
        <v>0</v>
      </c>
      <c r="I9" s="295">
        <f>J9-H9</f>
        <v>0</v>
      </c>
      <c r="J9" s="295">
        <v>0</v>
      </c>
      <c r="K9" s="295">
        <v>0</v>
      </c>
      <c r="L9" s="69">
        <f>D9+H9</f>
        <v>102023405</v>
      </c>
      <c r="M9" s="22">
        <f>E9+I9</f>
        <v>997200</v>
      </c>
      <c r="N9" s="22">
        <f>F9+J9</f>
        <v>103020605</v>
      </c>
      <c r="O9" s="22">
        <f>G9+K9</f>
        <v>56747969</v>
      </c>
    </row>
    <row r="10" spans="1:18" ht="15.75" customHeight="1" x14ac:dyDescent="0.2">
      <c r="A10" s="62"/>
      <c r="B10" s="63"/>
      <c r="C10" s="63"/>
      <c r="D10" s="198"/>
      <c r="E10" s="294"/>
      <c r="F10" s="294"/>
      <c r="G10" s="294"/>
      <c r="L10" s="297"/>
      <c r="M10" s="22">
        <f>E10+I10</f>
        <v>0</v>
      </c>
      <c r="N10" s="22">
        <f>F10+J10</f>
        <v>0</v>
      </c>
      <c r="O10" s="22">
        <f>G10+K10</f>
        <v>0</v>
      </c>
    </row>
    <row r="11" spans="1:18" ht="15" customHeight="1" x14ac:dyDescent="0.2">
      <c r="A11" s="30" t="s">
        <v>46</v>
      </c>
      <c r="B11" s="33" t="s">
        <v>309</v>
      </c>
      <c r="C11" s="41" t="s">
        <v>90</v>
      </c>
      <c r="D11" s="46">
        <f>SUM(D12:D12)</f>
        <v>555000</v>
      </c>
      <c r="E11" s="46">
        <f t="shared" ref="E11:G11" si="2">SUM(E12:E12)</f>
        <v>0</v>
      </c>
      <c r="F11" s="46">
        <f t="shared" si="2"/>
        <v>555000</v>
      </c>
      <c r="G11" s="46">
        <f t="shared" si="2"/>
        <v>240000</v>
      </c>
      <c r="H11" s="46">
        <f>SUM(H12:H12)</f>
        <v>0</v>
      </c>
      <c r="I11" s="46"/>
      <c r="J11" s="46"/>
      <c r="K11" s="46"/>
      <c r="L11" s="302">
        <f>SUM(L12:L12)</f>
        <v>555000</v>
      </c>
      <c r="M11" s="302">
        <f t="shared" ref="M11:O11" si="3">SUM(M12:M12)</f>
        <v>0</v>
      </c>
      <c r="N11" s="302">
        <f t="shared" si="3"/>
        <v>555000</v>
      </c>
      <c r="O11" s="302">
        <f t="shared" si="3"/>
        <v>240000</v>
      </c>
    </row>
    <row r="12" spans="1:18" ht="15" customHeight="1" x14ac:dyDescent="0.2">
      <c r="A12" s="28" t="s">
        <v>45</v>
      </c>
      <c r="B12" s="14" t="s">
        <v>237</v>
      </c>
      <c r="C12" s="43"/>
      <c r="D12" s="47">
        <v>555000</v>
      </c>
      <c r="E12" s="24">
        <f t="shared" ref="E12:E20" si="4">F12-D12</f>
        <v>0</v>
      </c>
      <c r="F12" s="293">
        <v>555000</v>
      </c>
      <c r="G12" s="293">
        <v>240000</v>
      </c>
      <c r="H12" s="155">
        <v>0</v>
      </c>
      <c r="I12" s="295"/>
      <c r="J12" s="295"/>
      <c r="K12" s="295"/>
      <c r="L12" s="69">
        <f>D12+H12</f>
        <v>555000</v>
      </c>
      <c r="M12" s="22">
        <f>E12+I12</f>
        <v>0</v>
      </c>
      <c r="N12" s="22">
        <f>F12+J12</f>
        <v>555000</v>
      </c>
      <c r="O12" s="22">
        <f>G12+K12</f>
        <v>240000</v>
      </c>
    </row>
    <row r="13" spans="1:18" ht="26.25" customHeight="1" x14ac:dyDescent="0.2">
      <c r="A13" s="30" t="s">
        <v>47</v>
      </c>
      <c r="B13" s="31" t="s">
        <v>39</v>
      </c>
      <c r="C13" s="41" t="s">
        <v>91</v>
      </c>
      <c r="D13" s="46">
        <f>SUM(D14:D20)</f>
        <v>2101693</v>
      </c>
      <c r="E13" s="46">
        <f t="shared" ref="E13:G13" si="5">SUM(E14:E20)</f>
        <v>0</v>
      </c>
      <c r="F13" s="46">
        <f t="shared" si="5"/>
        <v>2101693</v>
      </c>
      <c r="G13" s="46">
        <f t="shared" si="5"/>
        <v>2031693</v>
      </c>
      <c r="H13" s="46">
        <f>SUM(H14:H20)</f>
        <v>488205</v>
      </c>
      <c r="I13" s="46">
        <f>SUM(I14:I20)</f>
        <v>11923</v>
      </c>
      <c r="J13" s="46">
        <f t="shared" ref="I13:K13" si="6">SUM(J14:J20)</f>
        <v>500128</v>
      </c>
      <c r="K13" s="46">
        <f t="shared" si="6"/>
        <v>500128</v>
      </c>
      <c r="L13" s="302">
        <f>SUM(L14:L20)</f>
        <v>2589898</v>
      </c>
      <c r="M13" s="302">
        <f t="shared" ref="M13:O13" si="7">SUM(M14:M20)</f>
        <v>11923</v>
      </c>
      <c r="N13" s="302">
        <f t="shared" si="7"/>
        <v>2601821</v>
      </c>
      <c r="O13" s="302">
        <f t="shared" si="7"/>
        <v>2531821</v>
      </c>
    </row>
    <row r="14" spans="1:18" ht="15" customHeight="1" x14ac:dyDescent="0.2">
      <c r="A14" s="28" t="s">
        <v>45</v>
      </c>
      <c r="B14" s="7" t="s">
        <v>82</v>
      </c>
      <c r="C14" s="43"/>
      <c r="D14" s="151">
        <v>0</v>
      </c>
      <c r="E14" s="24">
        <f t="shared" si="4"/>
        <v>0</v>
      </c>
      <c r="F14" s="24">
        <v>0</v>
      </c>
      <c r="G14" s="24"/>
      <c r="H14" s="349"/>
      <c r="I14" s="6"/>
      <c r="J14" s="6"/>
      <c r="K14" s="6"/>
      <c r="L14" s="69">
        <f>D14+H14</f>
        <v>0</v>
      </c>
      <c r="M14" s="22">
        <f>E14+I14</f>
        <v>0</v>
      </c>
      <c r="N14" s="22">
        <f>F14+J14</f>
        <v>0</v>
      </c>
      <c r="O14" s="22">
        <f>G14+K14</f>
        <v>0</v>
      </c>
    </row>
    <row r="15" spans="1:18" ht="15" customHeight="1" x14ac:dyDescent="0.2">
      <c r="A15" s="28" t="s">
        <v>46</v>
      </c>
      <c r="B15" s="8" t="s">
        <v>78</v>
      </c>
      <c r="C15" s="8"/>
      <c r="D15" s="69">
        <v>70000</v>
      </c>
      <c r="E15" s="24">
        <f t="shared" si="4"/>
        <v>0</v>
      </c>
      <c r="F15" s="6">
        <v>70000</v>
      </c>
      <c r="G15" s="6"/>
      <c r="H15" s="350"/>
      <c r="I15" s="24"/>
      <c r="J15" s="24"/>
      <c r="K15" s="24"/>
      <c r="L15" s="69">
        <f t="shared" ref="L15:L27" si="8">D15+H15</f>
        <v>70000</v>
      </c>
      <c r="M15" s="22">
        <f t="shared" ref="M15:M27" si="9">E15+I15</f>
        <v>0</v>
      </c>
      <c r="N15" s="22">
        <f t="shared" ref="N15:N27" si="10">F15+J15</f>
        <v>70000</v>
      </c>
      <c r="O15" s="22">
        <f t="shared" ref="O15:O27" si="11">G15+K15</f>
        <v>0</v>
      </c>
    </row>
    <row r="16" spans="1:18" ht="15" customHeight="1" x14ac:dyDescent="0.2">
      <c r="A16" s="28" t="s">
        <v>47</v>
      </c>
      <c r="B16" s="8" t="s">
        <v>317</v>
      </c>
      <c r="C16" s="8"/>
      <c r="D16" s="69">
        <v>1472970</v>
      </c>
      <c r="E16" s="24">
        <f t="shared" si="4"/>
        <v>0</v>
      </c>
      <c r="F16" s="6">
        <v>1472970</v>
      </c>
      <c r="G16" s="6">
        <v>1472970</v>
      </c>
      <c r="H16" s="350"/>
      <c r="I16" s="24"/>
      <c r="J16" s="24"/>
      <c r="K16" s="24"/>
      <c r="L16" s="69">
        <f t="shared" si="8"/>
        <v>1472970</v>
      </c>
      <c r="M16" s="22">
        <f t="shared" si="9"/>
        <v>0</v>
      </c>
      <c r="N16" s="22">
        <f t="shared" si="10"/>
        <v>1472970</v>
      </c>
      <c r="O16" s="22">
        <f t="shared" si="11"/>
        <v>1472970</v>
      </c>
    </row>
    <row r="17" spans="1:15" ht="15" customHeight="1" x14ac:dyDescent="0.2">
      <c r="A17" s="28" t="s">
        <v>48</v>
      </c>
      <c r="B17" s="7" t="s">
        <v>318</v>
      </c>
      <c r="C17" s="43"/>
      <c r="D17" s="69">
        <v>500154</v>
      </c>
      <c r="E17" s="24">
        <f t="shared" si="4"/>
        <v>0</v>
      </c>
      <c r="F17" s="6">
        <v>500154</v>
      </c>
      <c r="G17" s="6">
        <v>500154</v>
      </c>
      <c r="H17" s="349"/>
      <c r="I17" s="6"/>
      <c r="J17" s="6"/>
      <c r="K17" s="6"/>
      <c r="L17" s="69">
        <f t="shared" si="8"/>
        <v>500154</v>
      </c>
      <c r="M17" s="22">
        <f t="shared" si="9"/>
        <v>0</v>
      </c>
      <c r="N17" s="22">
        <f t="shared" si="10"/>
        <v>500154</v>
      </c>
      <c r="O17" s="22">
        <f t="shared" si="11"/>
        <v>500154</v>
      </c>
    </row>
    <row r="18" spans="1:15" ht="25.5" customHeight="1" x14ac:dyDescent="0.2">
      <c r="A18" s="28" t="s">
        <v>49</v>
      </c>
      <c r="B18" s="7" t="s">
        <v>319</v>
      </c>
      <c r="C18" s="43"/>
      <c r="D18" s="69">
        <v>58569</v>
      </c>
      <c r="E18" s="24">
        <f t="shared" si="4"/>
        <v>0</v>
      </c>
      <c r="F18" s="6">
        <v>58569</v>
      </c>
      <c r="G18" s="6">
        <v>58569</v>
      </c>
      <c r="H18" s="349"/>
      <c r="I18" s="6"/>
      <c r="J18" s="6"/>
      <c r="K18" s="6"/>
      <c r="L18" s="69">
        <f t="shared" si="8"/>
        <v>58569</v>
      </c>
      <c r="M18" s="22">
        <f t="shared" si="9"/>
        <v>0</v>
      </c>
      <c r="N18" s="22">
        <f t="shared" si="10"/>
        <v>58569</v>
      </c>
      <c r="O18" s="22">
        <f t="shared" si="11"/>
        <v>58569</v>
      </c>
    </row>
    <row r="19" spans="1:15" ht="15" customHeight="1" x14ac:dyDescent="0.2">
      <c r="A19" s="28" t="s">
        <v>56</v>
      </c>
      <c r="B19" s="8" t="s">
        <v>384</v>
      </c>
      <c r="C19" s="43"/>
      <c r="D19" s="69">
        <v>0</v>
      </c>
      <c r="E19" s="24">
        <f t="shared" si="4"/>
        <v>0</v>
      </c>
      <c r="F19" s="6">
        <v>0</v>
      </c>
      <c r="G19" s="6"/>
      <c r="H19" s="349">
        <v>488205</v>
      </c>
      <c r="I19" s="6">
        <f>J19-H19</f>
        <v>0</v>
      </c>
      <c r="J19" s="6">
        <v>488205</v>
      </c>
      <c r="K19" s="6">
        <v>488205</v>
      </c>
      <c r="L19" s="69">
        <f t="shared" si="8"/>
        <v>488205</v>
      </c>
      <c r="M19" s="22">
        <f t="shared" si="9"/>
        <v>0</v>
      </c>
      <c r="N19" s="22">
        <f t="shared" si="10"/>
        <v>488205</v>
      </c>
      <c r="O19" s="22">
        <f t="shared" si="11"/>
        <v>488205</v>
      </c>
    </row>
    <row r="20" spans="1:15" ht="15" customHeight="1" x14ac:dyDescent="0.2">
      <c r="A20" s="28" t="s">
        <v>58</v>
      </c>
      <c r="B20" s="2" t="s">
        <v>385</v>
      </c>
      <c r="C20" s="8"/>
      <c r="D20" s="69">
        <v>0</v>
      </c>
      <c r="E20" s="24">
        <f t="shared" si="4"/>
        <v>0</v>
      </c>
      <c r="F20" s="6">
        <v>0</v>
      </c>
      <c r="G20" s="6"/>
      <c r="H20" s="350">
        <v>0</v>
      </c>
      <c r="I20" s="6">
        <f>J20-H20</f>
        <v>11923</v>
      </c>
      <c r="J20" s="24">
        <v>11923</v>
      </c>
      <c r="K20" s="24">
        <v>11923</v>
      </c>
      <c r="L20" s="69">
        <f t="shared" si="8"/>
        <v>0</v>
      </c>
      <c r="M20" s="22">
        <f t="shared" si="9"/>
        <v>11923</v>
      </c>
      <c r="N20" s="22">
        <f t="shared" si="10"/>
        <v>11923</v>
      </c>
      <c r="O20" s="22">
        <f t="shared" si="11"/>
        <v>11923</v>
      </c>
    </row>
    <row r="21" spans="1:15" ht="22.5" customHeight="1" x14ac:dyDescent="0.2">
      <c r="A21" s="30" t="s">
        <v>48</v>
      </c>
      <c r="B21" s="31" t="s">
        <v>83</v>
      </c>
      <c r="C21" s="41" t="s">
        <v>92</v>
      </c>
      <c r="D21" s="46">
        <f>SUM(D22:D27)</f>
        <v>241036359</v>
      </c>
      <c r="E21" s="46">
        <f t="shared" ref="E21:G21" si="12">SUM(E22:E27)</f>
        <v>0</v>
      </c>
      <c r="F21" s="46">
        <f t="shared" si="12"/>
        <v>241036359</v>
      </c>
      <c r="G21" s="46">
        <f t="shared" si="12"/>
        <v>113561696</v>
      </c>
      <c r="H21" s="46">
        <f>SUM(H22:H27)</f>
        <v>0</v>
      </c>
      <c r="I21" s="46">
        <f t="shared" ref="I21:K21" si="13">SUM(I22:I27)</f>
        <v>0</v>
      </c>
      <c r="J21" s="46">
        <f t="shared" si="13"/>
        <v>0</v>
      </c>
      <c r="K21" s="46">
        <f t="shared" si="13"/>
        <v>0</v>
      </c>
      <c r="L21" s="302">
        <f>SUM(L22:L27)</f>
        <v>241036359</v>
      </c>
      <c r="M21" s="302">
        <f t="shared" ref="M21:O21" si="14">SUM(M22:M27)</f>
        <v>0</v>
      </c>
      <c r="N21" s="302">
        <f t="shared" si="14"/>
        <v>241036359</v>
      </c>
      <c r="O21" s="302">
        <f t="shared" si="14"/>
        <v>113561696</v>
      </c>
    </row>
    <row r="22" spans="1:15" ht="25.5" x14ac:dyDescent="0.2">
      <c r="A22" s="28" t="s">
        <v>45</v>
      </c>
      <c r="B22" s="14" t="s">
        <v>320</v>
      </c>
      <c r="C22" s="43"/>
      <c r="D22" s="151">
        <v>49935</v>
      </c>
      <c r="E22" s="24">
        <f>F22-D22</f>
        <v>0</v>
      </c>
      <c r="F22" s="24">
        <v>49935</v>
      </c>
      <c r="G22" s="24">
        <v>49935</v>
      </c>
      <c r="H22" s="349">
        <v>0</v>
      </c>
      <c r="I22" s="6"/>
      <c r="J22" s="6"/>
      <c r="K22" s="6"/>
      <c r="L22" s="69">
        <f t="shared" si="8"/>
        <v>49935</v>
      </c>
      <c r="M22" s="22">
        <f t="shared" si="9"/>
        <v>0</v>
      </c>
      <c r="N22" s="22">
        <f t="shared" si="10"/>
        <v>49935</v>
      </c>
      <c r="O22" s="22">
        <f t="shared" si="11"/>
        <v>49935</v>
      </c>
    </row>
    <row r="23" spans="1:15" ht="18" customHeight="1" x14ac:dyDescent="0.2">
      <c r="A23" s="28" t="s">
        <v>46</v>
      </c>
      <c r="B23" s="8" t="s">
        <v>321</v>
      </c>
      <c r="C23" s="43"/>
      <c r="D23" s="69">
        <v>95000</v>
      </c>
      <c r="E23" s="24">
        <f t="shared" ref="E23:E25" si="15">F23-D23</f>
        <v>0</v>
      </c>
      <c r="F23" s="6">
        <v>95000</v>
      </c>
      <c r="G23" s="6"/>
      <c r="H23" s="349">
        <v>0</v>
      </c>
      <c r="I23" s="6"/>
      <c r="J23" s="6"/>
      <c r="K23" s="6"/>
      <c r="L23" s="69">
        <f t="shared" si="8"/>
        <v>95000</v>
      </c>
      <c r="M23" s="22">
        <f t="shared" si="9"/>
        <v>0</v>
      </c>
      <c r="N23" s="22">
        <f t="shared" si="10"/>
        <v>95000</v>
      </c>
      <c r="O23" s="22">
        <f t="shared" si="11"/>
        <v>0</v>
      </c>
    </row>
    <row r="24" spans="1:15" ht="18" customHeight="1" x14ac:dyDescent="0.2">
      <c r="A24" s="28" t="s">
        <v>47</v>
      </c>
      <c r="B24" s="7" t="s">
        <v>229</v>
      </c>
      <c r="C24" s="43"/>
      <c r="D24" s="69">
        <v>227450486</v>
      </c>
      <c r="E24" s="24">
        <f t="shared" si="15"/>
        <v>0</v>
      </c>
      <c r="F24" s="6">
        <v>227450486</v>
      </c>
      <c r="G24" s="6">
        <v>108353447</v>
      </c>
      <c r="H24" s="349">
        <v>0</v>
      </c>
      <c r="I24" s="6"/>
      <c r="J24" s="6"/>
      <c r="K24" s="6"/>
      <c r="L24" s="69">
        <f t="shared" si="8"/>
        <v>227450486</v>
      </c>
      <c r="M24" s="22">
        <f t="shared" si="9"/>
        <v>0</v>
      </c>
      <c r="N24" s="22">
        <f t="shared" si="10"/>
        <v>227450486</v>
      </c>
      <c r="O24" s="22">
        <f t="shared" si="11"/>
        <v>108353447</v>
      </c>
    </row>
    <row r="25" spans="1:15" ht="18" customHeight="1" x14ac:dyDescent="0.2">
      <c r="A25" s="28" t="s">
        <v>48</v>
      </c>
      <c r="B25" s="7" t="s">
        <v>228</v>
      </c>
      <c r="C25" s="43"/>
      <c r="D25" s="69">
        <v>13440938</v>
      </c>
      <c r="E25" s="24">
        <f t="shared" si="15"/>
        <v>0</v>
      </c>
      <c r="F25" s="6">
        <v>13440938</v>
      </c>
      <c r="G25" s="6">
        <v>5158314</v>
      </c>
      <c r="H25" s="349">
        <v>0</v>
      </c>
      <c r="I25" s="6"/>
      <c r="J25" s="6"/>
      <c r="K25" s="6"/>
      <c r="L25" s="69">
        <f>D25+H25</f>
        <v>13440938</v>
      </c>
      <c r="M25" s="22">
        <f t="shared" si="9"/>
        <v>0</v>
      </c>
      <c r="N25" s="22">
        <f t="shared" si="10"/>
        <v>13440938</v>
      </c>
      <c r="O25" s="22">
        <f t="shared" si="11"/>
        <v>5158314</v>
      </c>
    </row>
    <row r="26" spans="1:15" ht="18" customHeight="1" x14ac:dyDescent="0.2">
      <c r="A26" s="28" t="s">
        <v>49</v>
      </c>
      <c r="B26" s="7"/>
      <c r="C26" s="43"/>
      <c r="D26" s="199"/>
      <c r="E26" s="323"/>
      <c r="F26" s="323"/>
      <c r="G26" s="323"/>
      <c r="H26" s="349"/>
      <c r="I26" s="6"/>
      <c r="J26" s="6"/>
      <c r="K26" s="6"/>
      <c r="L26" s="69">
        <f t="shared" si="8"/>
        <v>0</v>
      </c>
      <c r="M26" s="22">
        <f t="shared" si="9"/>
        <v>0</v>
      </c>
      <c r="N26" s="22">
        <f t="shared" si="10"/>
        <v>0</v>
      </c>
      <c r="O26" s="22">
        <f t="shared" si="11"/>
        <v>0</v>
      </c>
    </row>
    <row r="27" spans="1:15" ht="18" customHeight="1" x14ac:dyDescent="0.2">
      <c r="A27" s="28" t="s">
        <v>56</v>
      </c>
      <c r="B27" s="7"/>
      <c r="C27" s="43"/>
      <c r="D27" s="199"/>
      <c r="E27" s="323"/>
      <c r="F27" s="323"/>
      <c r="G27" s="323"/>
      <c r="H27" s="349"/>
      <c r="I27" s="6"/>
      <c r="J27" s="6"/>
      <c r="K27" s="6"/>
      <c r="L27" s="69">
        <f t="shared" si="8"/>
        <v>0</v>
      </c>
      <c r="M27" s="22">
        <f t="shared" si="9"/>
        <v>0</v>
      </c>
      <c r="N27" s="22">
        <f t="shared" si="10"/>
        <v>0</v>
      </c>
      <c r="O27" s="22">
        <f t="shared" si="11"/>
        <v>0</v>
      </c>
    </row>
    <row r="28" spans="1:15" ht="23.25" customHeight="1" x14ac:dyDescent="0.2">
      <c r="A28" s="412" t="s">
        <v>0</v>
      </c>
      <c r="B28" s="413"/>
      <c r="C28" s="44"/>
      <c r="D28" s="25">
        <f>D11+D13+D21</f>
        <v>243693052</v>
      </c>
      <c r="E28" s="25">
        <f t="shared" ref="E28:G28" si="16">E11+E13+E21</f>
        <v>0</v>
      </c>
      <c r="F28" s="25">
        <f t="shared" si="16"/>
        <v>243693052</v>
      </c>
      <c r="G28" s="25">
        <f t="shared" si="16"/>
        <v>115833389</v>
      </c>
      <c r="H28" s="25">
        <f>H11+H13+H21</f>
        <v>488205</v>
      </c>
      <c r="I28" s="25">
        <f t="shared" ref="I28:K28" si="17">I11+I13+I21</f>
        <v>11923</v>
      </c>
      <c r="J28" s="25">
        <f t="shared" si="17"/>
        <v>500128</v>
      </c>
      <c r="K28" s="25">
        <f t="shared" si="17"/>
        <v>500128</v>
      </c>
      <c r="L28" s="303">
        <f>L11+L13+L21</f>
        <v>244181257</v>
      </c>
      <c r="M28" s="303">
        <f t="shared" ref="M28:O28" si="18">M11+M13+M21</f>
        <v>11923</v>
      </c>
      <c r="N28" s="303">
        <f t="shared" si="18"/>
        <v>244193180</v>
      </c>
      <c r="O28" s="303">
        <f t="shared" si="18"/>
        <v>116333517</v>
      </c>
    </row>
    <row r="29" spans="1:15" ht="24" customHeight="1" x14ac:dyDescent="0.2">
      <c r="A29" s="422"/>
      <c r="B29" s="423"/>
      <c r="C29" s="423"/>
      <c r="D29" s="423"/>
      <c r="E29" s="296"/>
      <c r="F29" s="296"/>
      <c r="G29" s="296"/>
      <c r="H29" s="156"/>
      <c r="I29" s="156"/>
      <c r="J29" s="156"/>
      <c r="K29" s="156"/>
      <c r="L29" s="300"/>
      <c r="M29" s="308"/>
      <c r="N29" s="308"/>
      <c r="O29" s="308"/>
    </row>
    <row r="30" spans="1:15" ht="22.5" customHeight="1" x14ac:dyDescent="0.2">
      <c r="A30" s="32" t="s">
        <v>45</v>
      </c>
      <c r="B30" s="31" t="s">
        <v>39</v>
      </c>
      <c r="C30" s="41" t="s">
        <v>87</v>
      </c>
      <c r="D30" s="27">
        <f>SUM(D31:D31)</f>
        <v>0</v>
      </c>
      <c r="E30" s="27"/>
      <c r="F30" s="27"/>
      <c r="G30" s="27"/>
      <c r="H30" s="27">
        <f>SUM(H31:H31)</f>
        <v>0</v>
      </c>
      <c r="I30" s="27"/>
      <c r="J30" s="27"/>
      <c r="K30" s="27"/>
      <c r="L30" s="304">
        <f>SUM(L31:L31)</f>
        <v>0</v>
      </c>
      <c r="M30" s="36"/>
      <c r="N30" s="36"/>
      <c r="O30" s="36"/>
    </row>
    <row r="31" spans="1:15" ht="21" customHeight="1" thickBot="1" x14ac:dyDescent="0.25">
      <c r="A31" s="28"/>
      <c r="B31" s="14"/>
      <c r="C31" s="43"/>
      <c r="D31" s="10"/>
      <c r="E31" s="297"/>
      <c r="F31" s="297"/>
      <c r="G31" s="297"/>
      <c r="L31" s="69">
        <f>SUM(D31:H31)</f>
        <v>0</v>
      </c>
      <c r="M31" s="23"/>
      <c r="N31" s="23"/>
      <c r="O31" s="23"/>
    </row>
    <row r="32" spans="1:15" ht="21" customHeight="1" thickBot="1" x14ac:dyDescent="0.25">
      <c r="A32" s="414" t="s">
        <v>7</v>
      </c>
      <c r="B32" s="415"/>
      <c r="C32" s="42" t="s">
        <v>87</v>
      </c>
      <c r="D32" s="12">
        <f>D30</f>
        <v>0</v>
      </c>
      <c r="E32" s="12"/>
      <c r="F32" s="12"/>
      <c r="G32" s="12"/>
      <c r="H32" s="12">
        <f>H30</f>
        <v>0</v>
      </c>
      <c r="I32" s="12"/>
      <c r="J32" s="12"/>
      <c r="K32" s="12"/>
      <c r="L32" s="305">
        <f>L30</f>
        <v>0</v>
      </c>
      <c r="M32" s="310"/>
      <c r="N32" s="310"/>
      <c r="O32" s="310"/>
    </row>
    <row r="33" spans="1:15" ht="18" customHeight="1" thickBot="1" x14ac:dyDescent="0.25">
      <c r="A33" s="408" t="s">
        <v>21</v>
      </c>
      <c r="B33" s="409"/>
      <c r="C33" s="45" t="s">
        <v>50</v>
      </c>
      <c r="D33" s="15">
        <f>D28+D32</f>
        <v>243693052</v>
      </c>
      <c r="E33" s="15">
        <f t="shared" ref="E33:G33" si="19">E28+E32</f>
        <v>0</v>
      </c>
      <c r="F33" s="15">
        <f t="shared" si="19"/>
        <v>243693052</v>
      </c>
      <c r="G33" s="15">
        <f t="shared" si="19"/>
        <v>115833389</v>
      </c>
      <c r="H33" s="15">
        <f>H28+H32</f>
        <v>488205</v>
      </c>
      <c r="I33" s="15">
        <f t="shared" ref="I33:K33" si="20">I28+I32</f>
        <v>11923</v>
      </c>
      <c r="J33" s="15">
        <f t="shared" si="20"/>
        <v>500128</v>
      </c>
      <c r="K33" s="15">
        <f t="shared" si="20"/>
        <v>500128</v>
      </c>
      <c r="L33" s="306">
        <f>L28+L32</f>
        <v>244181257</v>
      </c>
      <c r="M33" s="306">
        <f>M28+M32</f>
        <v>11923</v>
      </c>
      <c r="N33" s="306">
        <f>N28+N32</f>
        <v>244193180</v>
      </c>
      <c r="O33" s="306">
        <f>O28+O32</f>
        <v>116333517</v>
      </c>
    </row>
    <row r="34" spans="1:15" ht="15" customHeight="1" thickBot="1" x14ac:dyDescent="0.25">
      <c r="A34" s="420" t="s">
        <v>24</v>
      </c>
      <c r="B34" s="421"/>
      <c r="C34" s="421"/>
      <c r="D34" s="421"/>
      <c r="E34" s="257"/>
      <c r="F34" s="257"/>
      <c r="G34" s="257"/>
      <c r="H34" s="157"/>
      <c r="I34" s="157"/>
      <c r="J34" s="157"/>
      <c r="K34" s="157"/>
      <c r="L34" s="157"/>
      <c r="M34" s="311"/>
      <c r="N34" s="311"/>
      <c r="O34" s="311"/>
    </row>
    <row r="35" spans="1:15" ht="15" customHeight="1" x14ac:dyDescent="0.2">
      <c r="A35" s="410" t="s">
        <v>22</v>
      </c>
      <c r="B35" s="411"/>
      <c r="C35" s="411"/>
      <c r="D35" s="411"/>
      <c r="E35" s="298"/>
      <c r="F35" s="298"/>
      <c r="G35" s="298"/>
      <c r="L35" s="297"/>
      <c r="M35" s="22"/>
      <c r="N35" s="22"/>
      <c r="O35" s="22"/>
    </row>
    <row r="36" spans="1:15" ht="15" customHeight="1" x14ac:dyDescent="0.2">
      <c r="A36" s="34" t="s">
        <v>45</v>
      </c>
      <c r="B36" s="35" t="s">
        <v>8</v>
      </c>
      <c r="C36" s="41" t="s">
        <v>230</v>
      </c>
      <c r="D36" s="27">
        <f>SUM(D37:D37)</f>
        <v>10000</v>
      </c>
      <c r="E36" s="27">
        <f t="shared" ref="E36:G36" si="21">SUM(E37:E37)</f>
        <v>0</v>
      </c>
      <c r="F36" s="27">
        <f t="shared" si="21"/>
        <v>10000</v>
      </c>
      <c r="G36" s="27">
        <f t="shared" si="21"/>
        <v>0</v>
      </c>
      <c r="H36" s="27">
        <f>SUM(H37:H37)</f>
        <v>0</v>
      </c>
      <c r="I36" s="27">
        <f t="shared" ref="I36:K36" si="22">SUM(I37:I37)</f>
        <v>0</v>
      </c>
      <c r="J36" s="27">
        <f t="shared" si="22"/>
        <v>0</v>
      </c>
      <c r="K36" s="27">
        <f t="shared" si="22"/>
        <v>0</v>
      </c>
      <c r="L36" s="304">
        <f>SUM(L37:L37)</f>
        <v>10000</v>
      </c>
      <c r="M36" s="304">
        <f t="shared" ref="M36:O36" si="23">SUM(M37:M37)</f>
        <v>0</v>
      </c>
      <c r="N36" s="304">
        <f t="shared" si="23"/>
        <v>10000</v>
      </c>
      <c r="O36" s="304">
        <f t="shared" si="23"/>
        <v>0</v>
      </c>
    </row>
    <row r="37" spans="1:15" ht="15" customHeight="1" x14ac:dyDescent="0.2">
      <c r="A37" s="29"/>
      <c r="B37" s="5" t="s">
        <v>85</v>
      </c>
      <c r="C37" s="43"/>
      <c r="D37" s="10">
        <v>10000</v>
      </c>
      <c r="E37" s="295">
        <f>F37-D37</f>
        <v>0</v>
      </c>
      <c r="F37" s="295">
        <v>10000</v>
      </c>
      <c r="G37" s="295"/>
      <c r="H37" s="155"/>
      <c r="I37" s="295"/>
      <c r="J37" s="295"/>
      <c r="K37" s="295"/>
      <c r="L37" s="69">
        <f>D37+H37</f>
        <v>10000</v>
      </c>
      <c r="M37" s="22">
        <f t="shared" ref="M37:O39" si="24">E37+I37</f>
        <v>0</v>
      </c>
      <c r="N37" s="22">
        <f t="shared" si="24"/>
        <v>10000</v>
      </c>
      <c r="O37" s="22">
        <f t="shared" si="24"/>
        <v>0</v>
      </c>
    </row>
    <row r="38" spans="1:15" ht="15" customHeight="1" x14ac:dyDescent="0.2">
      <c r="A38" s="34" t="s">
        <v>46</v>
      </c>
      <c r="B38" s="35" t="s">
        <v>79</v>
      </c>
      <c r="C38" s="41" t="s">
        <v>230</v>
      </c>
      <c r="D38" s="27">
        <f>SUM(D39:D40)</f>
        <v>4172400</v>
      </c>
      <c r="E38" s="27">
        <f t="shared" ref="E38:G38" si="25">SUM(E39:E40)</f>
        <v>0</v>
      </c>
      <c r="F38" s="27">
        <f t="shared" si="25"/>
        <v>4172400</v>
      </c>
      <c r="G38" s="27">
        <f t="shared" si="25"/>
        <v>2086200</v>
      </c>
      <c r="H38" s="27">
        <f>SUM(H39:H40)</f>
        <v>0</v>
      </c>
      <c r="I38" s="27">
        <f t="shared" ref="I38:K38" si="26">SUM(I39:I40)</f>
        <v>0</v>
      </c>
      <c r="J38" s="27">
        <f t="shared" si="26"/>
        <v>0</v>
      </c>
      <c r="K38" s="27">
        <f t="shared" si="26"/>
        <v>0</v>
      </c>
      <c r="L38" s="304">
        <f>SUM(L39:L39)</f>
        <v>4172400</v>
      </c>
      <c r="M38" s="304">
        <f t="shared" ref="M38:O38" si="27">SUM(M39:M39)</f>
        <v>0</v>
      </c>
      <c r="N38" s="304">
        <f t="shared" si="27"/>
        <v>4172400</v>
      </c>
      <c r="O38" s="304">
        <f t="shared" si="27"/>
        <v>2086200</v>
      </c>
    </row>
    <row r="39" spans="1:15" ht="15" customHeight="1" x14ac:dyDescent="0.2">
      <c r="A39" s="29" t="s">
        <v>45</v>
      </c>
      <c r="B39" s="20" t="s">
        <v>80</v>
      </c>
      <c r="C39" s="43"/>
      <c r="D39" s="10">
        <v>4172400</v>
      </c>
      <c r="E39" s="295">
        <f>F39-D39</f>
        <v>0</v>
      </c>
      <c r="F39" s="295">
        <v>4172400</v>
      </c>
      <c r="G39" s="295">
        <v>2086200</v>
      </c>
      <c r="H39" s="155">
        <v>0</v>
      </c>
      <c r="I39" s="295"/>
      <c r="J39" s="295"/>
      <c r="K39" s="295"/>
      <c r="L39" s="69">
        <f>D39+H39</f>
        <v>4172400</v>
      </c>
      <c r="M39" s="22">
        <f t="shared" si="24"/>
        <v>0</v>
      </c>
      <c r="N39" s="22">
        <f t="shared" si="24"/>
        <v>4172400</v>
      </c>
      <c r="O39" s="22">
        <f t="shared" si="24"/>
        <v>2086200</v>
      </c>
    </row>
    <row r="40" spans="1:15" ht="15" customHeight="1" x14ac:dyDescent="0.2">
      <c r="A40" s="29"/>
      <c r="B40" s="5"/>
      <c r="C40" s="43"/>
      <c r="D40" s="10"/>
      <c r="E40" s="295"/>
      <c r="F40" s="295"/>
      <c r="G40" s="295"/>
      <c r="H40" s="155"/>
      <c r="I40" s="295"/>
      <c r="J40" s="295"/>
      <c r="K40" s="295"/>
      <c r="L40" s="69"/>
      <c r="M40" s="6"/>
      <c r="N40" s="6"/>
      <c r="O40" s="6"/>
    </row>
    <row r="41" spans="1:15" ht="15" customHeight="1" x14ac:dyDescent="0.2">
      <c r="A41" s="32" t="s">
        <v>47</v>
      </c>
      <c r="B41" s="35" t="s">
        <v>94</v>
      </c>
      <c r="C41" s="41" t="s">
        <v>230</v>
      </c>
      <c r="D41" s="27">
        <f>SUM(D42:D59)</f>
        <v>21387815</v>
      </c>
      <c r="E41" s="27">
        <f t="shared" ref="E41:G41" si="28">SUM(E42:E59)</f>
        <v>1056000</v>
      </c>
      <c r="F41" s="27">
        <f t="shared" si="28"/>
        <v>22443815</v>
      </c>
      <c r="G41" s="27">
        <f t="shared" si="28"/>
        <v>12007815</v>
      </c>
      <c r="H41" s="27">
        <f>SUM(H42:H59)</f>
        <v>0</v>
      </c>
      <c r="I41" s="27">
        <f t="shared" ref="I41:K41" si="29">SUM(I42:I59)</f>
        <v>0</v>
      </c>
      <c r="J41" s="27">
        <f t="shared" si="29"/>
        <v>0</v>
      </c>
      <c r="K41" s="27">
        <f t="shared" si="29"/>
        <v>0</v>
      </c>
      <c r="L41" s="304">
        <f>SUM(L42:L59)</f>
        <v>21387815</v>
      </c>
      <c r="M41" s="304">
        <f t="shared" ref="M41:O41" si="30">SUM(M42:M59)</f>
        <v>1056000</v>
      </c>
      <c r="N41" s="304">
        <f t="shared" si="30"/>
        <v>22443815</v>
      </c>
      <c r="O41" s="304">
        <f t="shared" si="30"/>
        <v>12007815</v>
      </c>
    </row>
    <row r="42" spans="1:15" ht="15" customHeight="1" x14ac:dyDescent="0.2">
      <c r="A42" s="29" t="s">
        <v>45</v>
      </c>
      <c r="B42" s="20" t="s">
        <v>231</v>
      </c>
      <c r="C42" s="43"/>
      <c r="D42" s="10">
        <v>100000</v>
      </c>
      <c r="E42" s="295">
        <f>F42-D42</f>
        <v>0</v>
      </c>
      <c r="F42" s="295">
        <v>100000</v>
      </c>
      <c r="G42" s="295"/>
      <c r="H42" s="155">
        <v>0</v>
      </c>
      <c r="I42" s="295"/>
      <c r="J42" s="295"/>
      <c r="K42" s="295"/>
      <c r="L42" s="69">
        <f>D42+H42</f>
        <v>100000</v>
      </c>
      <c r="M42" s="22">
        <f t="shared" ref="M42:O59" si="31">E42+I42</f>
        <v>0</v>
      </c>
      <c r="N42" s="22">
        <f t="shared" si="31"/>
        <v>100000</v>
      </c>
      <c r="O42" s="22">
        <f t="shared" si="31"/>
        <v>0</v>
      </c>
    </row>
    <row r="43" spans="1:15" ht="15" customHeight="1" x14ac:dyDescent="0.2">
      <c r="A43" s="29" t="s">
        <v>46</v>
      </c>
      <c r="B43" s="20" t="s">
        <v>65</v>
      </c>
      <c r="C43" s="43"/>
      <c r="D43" s="10">
        <v>200000</v>
      </c>
      <c r="E43" s="295">
        <f t="shared" ref="E43:E59" si="32">F43-D43</f>
        <v>0</v>
      </c>
      <c r="F43" s="295">
        <v>200000</v>
      </c>
      <c r="G43" s="295">
        <v>200000</v>
      </c>
      <c r="H43" s="155">
        <v>0</v>
      </c>
      <c r="I43" s="295"/>
      <c r="J43" s="295"/>
      <c r="K43" s="295"/>
      <c r="L43" s="69">
        <f t="shared" ref="L43:L59" si="33">D43+H43</f>
        <v>200000</v>
      </c>
      <c r="M43" s="22">
        <f t="shared" si="31"/>
        <v>0</v>
      </c>
      <c r="N43" s="22">
        <f t="shared" si="31"/>
        <v>200000</v>
      </c>
      <c r="O43" s="22">
        <f t="shared" si="31"/>
        <v>200000</v>
      </c>
    </row>
    <row r="44" spans="1:15" ht="15" customHeight="1" x14ac:dyDescent="0.2">
      <c r="A44" s="29" t="s">
        <v>47</v>
      </c>
      <c r="B44" s="20" t="s">
        <v>66</v>
      </c>
      <c r="C44" s="43"/>
      <c r="D44" s="10">
        <v>350000</v>
      </c>
      <c r="E44" s="295">
        <f t="shared" si="32"/>
        <v>0</v>
      </c>
      <c r="F44" s="295">
        <v>350000</v>
      </c>
      <c r="G44" s="295">
        <v>350000</v>
      </c>
      <c r="H44" s="155">
        <v>0</v>
      </c>
      <c r="I44" s="295"/>
      <c r="J44" s="295"/>
      <c r="K44" s="295"/>
      <c r="L44" s="69">
        <f t="shared" si="33"/>
        <v>350000</v>
      </c>
      <c r="M44" s="22">
        <f t="shared" si="31"/>
        <v>0</v>
      </c>
      <c r="N44" s="22">
        <f t="shared" si="31"/>
        <v>350000</v>
      </c>
      <c r="O44" s="22">
        <f t="shared" si="31"/>
        <v>350000</v>
      </c>
    </row>
    <row r="45" spans="1:15" ht="15" customHeight="1" x14ac:dyDescent="0.2">
      <c r="A45" s="29" t="s">
        <v>48</v>
      </c>
      <c r="B45" s="20" t="s">
        <v>67</v>
      </c>
      <c r="C45" s="43"/>
      <c r="D45" s="10">
        <v>400000</v>
      </c>
      <c r="E45" s="295">
        <f t="shared" si="32"/>
        <v>0</v>
      </c>
      <c r="F45" s="295">
        <v>400000</v>
      </c>
      <c r="G45" s="295"/>
      <c r="H45" s="155">
        <v>0</v>
      </c>
      <c r="I45" s="295"/>
      <c r="J45" s="295"/>
      <c r="K45" s="295"/>
      <c r="L45" s="69">
        <f t="shared" si="33"/>
        <v>400000</v>
      </c>
      <c r="M45" s="22">
        <f t="shared" si="31"/>
        <v>0</v>
      </c>
      <c r="N45" s="22">
        <f t="shared" si="31"/>
        <v>400000</v>
      </c>
      <c r="O45" s="22">
        <f t="shared" si="31"/>
        <v>0</v>
      </c>
    </row>
    <row r="46" spans="1:15" ht="15" customHeight="1" x14ac:dyDescent="0.2">
      <c r="A46" s="29" t="s">
        <v>49</v>
      </c>
      <c r="B46" s="20" t="s">
        <v>232</v>
      </c>
      <c r="C46" s="43"/>
      <c r="D46" s="10">
        <v>6147815</v>
      </c>
      <c r="E46" s="295">
        <f t="shared" si="32"/>
        <v>350000</v>
      </c>
      <c r="F46" s="295">
        <v>6497815</v>
      </c>
      <c r="G46" s="295">
        <f>235000+235000+862815+535000+535000+300000+50000+535000</f>
        <v>3287815</v>
      </c>
      <c r="H46" s="155">
        <v>0</v>
      </c>
      <c r="I46" s="295"/>
      <c r="J46" s="295"/>
      <c r="K46" s="295"/>
      <c r="L46" s="69">
        <f t="shared" si="33"/>
        <v>6147815</v>
      </c>
      <c r="M46" s="22">
        <f t="shared" si="31"/>
        <v>350000</v>
      </c>
      <c r="N46" s="22">
        <f t="shared" si="31"/>
        <v>6497815</v>
      </c>
      <c r="O46" s="22">
        <f t="shared" si="31"/>
        <v>3287815</v>
      </c>
    </row>
    <row r="47" spans="1:15" ht="15" customHeight="1" x14ac:dyDescent="0.2">
      <c r="A47" s="29" t="s">
        <v>56</v>
      </c>
      <c r="B47" s="20" t="s">
        <v>68</v>
      </c>
      <c r="C47" s="43"/>
      <c r="D47" s="10">
        <v>1600000</v>
      </c>
      <c r="E47" s="295">
        <f t="shared" si="32"/>
        <v>150000</v>
      </c>
      <c r="F47" s="295">
        <v>1750000</v>
      </c>
      <c r="G47" s="295">
        <f>400000+400000+150000</f>
        <v>950000</v>
      </c>
      <c r="H47" s="155">
        <v>0</v>
      </c>
      <c r="I47" s="295"/>
      <c r="J47" s="295"/>
      <c r="K47" s="295"/>
      <c r="L47" s="69">
        <f t="shared" si="33"/>
        <v>1600000</v>
      </c>
      <c r="M47" s="22">
        <f t="shared" si="31"/>
        <v>150000</v>
      </c>
      <c r="N47" s="22">
        <f t="shared" si="31"/>
        <v>1750000</v>
      </c>
      <c r="O47" s="22">
        <f t="shared" si="31"/>
        <v>950000</v>
      </c>
    </row>
    <row r="48" spans="1:15" ht="15" customHeight="1" x14ac:dyDescent="0.2">
      <c r="A48" s="29" t="s">
        <v>58</v>
      </c>
      <c r="B48" s="20" t="s">
        <v>69</v>
      </c>
      <c r="C48" s="43"/>
      <c r="D48" s="10">
        <v>1100000</v>
      </c>
      <c r="E48" s="295">
        <f t="shared" si="32"/>
        <v>266000</v>
      </c>
      <c r="F48" s="295">
        <v>1366000</v>
      </c>
      <c r="G48" s="295">
        <f>110000+110000+110000+110000+266000</f>
        <v>706000</v>
      </c>
      <c r="H48" s="155">
        <v>0</v>
      </c>
      <c r="I48" s="295"/>
      <c r="J48" s="295"/>
      <c r="K48" s="295"/>
      <c r="L48" s="69">
        <f t="shared" si="33"/>
        <v>1100000</v>
      </c>
      <c r="M48" s="22">
        <f t="shared" si="31"/>
        <v>266000</v>
      </c>
      <c r="N48" s="22">
        <f t="shared" si="31"/>
        <v>1366000</v>
      </c>
      <c r="O48" s="22">
        <f t="shared" si="31"/>
        <v>706000</v>
      </c>
    </row>
    <row r="49" spans="1:15" ht="15" customHeight="1" x14ac:dyDescent="0.2">
      <c r="A49" s="29" t="s">
        <v>59</v>
      </c>
      <c r="B49" s="2" t="s">
        <v>70</v>
      </c>
      <c r="C49" s="43"/>
      <c r="D49" s="10">
        <v>1000000</v>
      </c>
      <c r="E49" s="295">
        <f t="shared" si="32"/>
        <v>0</v>
      </c>
      <c r="F49" s="295">
        <v>1000000</v>
      </c>
      <c r="G49" s="295"/>
      <c r="H49" s="155">
        <v>0</v>
      </c>
      <c r="I49" s="295"/>
      <c r="J49" s="295"/>
      <c r="K49" s="295"/>
      <c r="L49" s="69">
        <f t="shared" si="33"/>
        <v>1000000</v>
      </c>
      <c r="M49" s="22">
        <f t="shared" si="31"/>
        <v>0</v>
      </c>
      <c r="N49" s="22">
        <f t="shared" si="31"/>
        <v>1000000</v>
      </c>
      <c r="O49" s="22">
        <f t="shared" si="31"/>
        <v>0</v>
      </c>
    </row>
    <row r="50" spans="1:15" ht="15" customHeight="1" x14ac:dyDescent="0.2">
      <c r="A50" s="29" t="s">
        <v>60</v>
      </c>
      <c r="B50" s="20" t="s">
        <v>71</v>
      </c>
      <c r="C50" s="43"/>
      <c r="D50" s="10">
        <v>350000</v>
      </c>
      <c r="E50" s="295">
        <f t="shared" si="32"/>
        <v>0</v>
      </c>
      <c r="F50" s="295">
        <v>350000</v>
      </c>
      <c r="G50" s="295">
        <f>70000+70000</f>
        <v>140000</v>
      </c>
      <c r="H50" s="155">
        <v>0</v>
      </c>
      <c r="I50" s="295"/>
      <c r="J50" s="295"/>
      <c r="K50" s="295"/>
      <c r="L50" s="69">
        <f t="shared" si="33"/>
        <v>350000</v>
      </c>
      <c r="M50" s="22">
        <f t="shared" si="31"/>
        <v>0</v>
      </c>
      <c r="N50" s="22">
        <f t="shared" si="31"/>
        <v>350000</v>
      </c>
      <c r="O50" s="22">
        <f t="shared" si="31"/>
        <v>140000</v>
      </c>
    </row>
    <row r="51" spans="1:15" ht="15" customHeight="1" x14ac:dyDescent="0.2">
      <c r="A51" s="29" t="s">
        <v>61</v>
      </c>
      <c r="B51" s="20" t="s">
        <v>72</v>
      </c>
      <c r="C51" s="43"/>
      <c r="D51" s="10">
        <v>1150000</v>
      </c>
      <c r="E51" s="295">
        <f t="shared" si="32"/>
        <v>0</v>
      </c>
      <c r="F51" s="295">
        <v>1150000</v>
      </c>
      <c r="G51" s="295">
        <f>115000+115000+115000+115000</f>
        <v>460000</v>
      </c>
      <c r="H51" s="155">
        <v>0</v>
      </c>
      <c r="I51" s="295"/>
      <c r="J51" s="295"/>
      <c r="K51" s="295"/>
      <c r="L51" s="69">
        <f t="shared" si="33"/>
        <v>1150000</v>
      </c>
      <c r="M51" s="22">
        <f t="shared" si="31"/>
        <v>0</v>
      </c>
      <c r="N51" s="22">
        <f t="shared" si="31"/>
        <v>1150000</v>
      </c>
      <c r="O51" s="22">
        <f t="shared" si="31"/>
        <v>460000</v>
      </c>
    </row>
    <row r="52" spans="1:15" ht="15" customHeight="1" x14ac:dyDescent="0.2">
      <c r="A52" s="29" t="s">
        <v>29</v>
      </c>
      <c r="B52" s="20" t="s">
        <v>386</v>
      </c>
      <c r="C52" s="43"/>
      <c r="D52" s="10">
        <v>1150000</v>
      </c>
      <c r="E52" s="295">
        <f t="shared" si="32"/>
        <v>220000</v>
      </c>
      <c r="F52" s="295">
        <v>1370000</v>
      </c>
      <c r="G52" s="295">
        <f>115000+115000+115000+115000+120000+100000</f>
        <v>680000</v>
      </c>
      <c r="H52" s="155">
        <v>0</v>
      </c>
      <c r="I52" s="295"/>
      <c r="J52" s="295"/>
      <c r="K52" s="295"/>
      <c r="L52" s="69">
        <f t="shared" si="33"/>
        <v>1150000</v>
      </c>
      <c r="M52" s="22">
        <f t="shared" si="31"/>
        <v>220000</v>
      </c>
      <c r="N52" s="22">
        <f t="shared" si="31"/>
        <v>1370000</v>
      </c>
      <c r="O52" s="22">
        <f t="shared" si="31"/>
        <v>680000</v>
      </c>
    </row>
    <row r="53" spans="1:15" ht="15" customHeight="1" x14ac:dyDescent="0.2">
      <c r="A53" s="29" t="s">
        <v>30</v>
      </c>
      <c r="B53" s="20" t="s">
        <v>73</v>
      </c>
      <c r="C53" s="43"/>
      <c r="D53" s="10">
        <v>250000</v>
      </c>
      <c r="E53" s="295">
        <f t="shared" si="32"/>
        <v>70000</v>
      </c>
      <c r="F53" s="295">
        <v>320000</v>
      </c>
      <c r="G53" s="295">
        <f>250000+70000</f>
        <v>320000</v>
      </c>
      <c r="H53" s="155">
        <v>0</v>
      </c>
      <c r="I53" s="295"/>
      <c r="J53" s="295"/>
      <c r="K53" s="295"/>
      <c r="L53" s="69">
        <f t="shared" si="33"/>
        <v>250000</v>
      </c>
      <c r="M53" s="22">
        <f t="shared" si="31"/>
        <v>70000</v>
      </c>
      <c r="N53" s="22">
        <f t="shared" si="31"/>
        <v>320000</v>
      </c>
      <c r="O53" s="22">
        <f t="shared" si="31"/>
        <v>320000</v>
      </c>
    </row>
    <row r="54" spans="1:15" ht="15" customHeight="1" x14ac:dyDescent="0.2">
      <c r="A54" s="29" t="s">
        <v>36</v>
      </c>
      <c r="B54" s="20" t="s">
        <v>74</v>
      </c>
      <c r="C54" s="43"/>
      <c r="D54" s="10">
        <v>0</v>
      </c>
      <c r="E54" s="295">
        <f t="shared" si="32"/>
        <v>0</v>
      </c>
      <c r="F54" s="295">
        <v>0</v>
      </c>
      <c r="G54" s="295"/>
      <c r="H54" s="155">
        <v>0</v>
      </c>
      <c r="I54" s="295"/>
      <c r="J54" s="295"/>
      <c r="K54" s="295"/>
      <c r="L54" s="69">
        <f t="shared" si="33"/>
        <v>0</v>
      </c>
      <c r="M54" s="22">
        <f t="shared" si="31"/>
        <v>0</v>
      </c>
      <c r="N54" s="22">
        <f t="shared" si="31"/>
        <v>0</v>
      </c>
      <c r="O54" s="22">
        <f t="shared" si="31"/>
        <v>0</v>
      </c>
    </row>
    <row r="55" spans="1:15" ht="15" customHeight="1" x14ac:dyDescent="0.2">
      <c r="A55" s="29" t="s">
        <v>31</v>
      </c>
      <c r="B55" s="20" t="s">
        <v>75</v>
      </c>
      <c r="C55" s="43"/>
      <c r="D55" s="10">
        <v>6828000</v>
      </c>
      <c r="E55" s="295">
        <f t="shared" si="32"/>
        <v>0</v>
      </c>
      <c r="F55" s="295">
        <v>6828000</v>
      </c>
      <c r="G55" s="295">
        <v>4164000</v>
      </c>
      <c r="H55" s="155">
        <v>0</v>
      </c>
      <c r="I55" s="295"/>
      <c r="J55" s="295"/>
      <c r="K55" s="295"/>
      <c r="L55" s="69">
        <f t="shared" si="33"/>
        <v>6828000</v>
      </c>
      <c r="M55" s="22">
        <f t="shared" si="31"/>
        <v>0</v>
      </c>
      <c r="N55" s="22">
        <f t="shared" si="31"/>
        <v>6828000</v>
      </c>
      <c r="O55" s="22">
        <f t="shared" si="31"/>
        <v>4164000</v>
      </c>
    </row>
    <row r="56" spans="1:15" ht="15" customHeight="1" x14ac:dyDescent="0.2">
      <c r="A56" s="29" t="s">
        <v>64</v>
      </c>
      <c r="B56" s="20" t="s">
        <v>81</v>
      </c>
      <c r="C56" s="43"/>
      <c r="D56" s="10">
        <v>0</v>
      </c>
      <c r="E56" s="295">
        <f t="shared" si="32"/>
        <v>0</v>
      </c>
      <c r="F56" s="295">
        <v>0</v>
      </c>
      <c r="G56" s="295"/>
      <c r="H56" s="155">
        <v>0</v>
      </c>
      <c r="I56" s="295"/>
      <c r="J56" s="295"/>
      <c r="K56" s="295"/>
      <c r="L56" s="69">
        <f t="shared" si="33"/>
        <v>0</v>
      </c>
      <c r="M56" s="22">
        <f t="shared" si="31"/>
        <v>0</v>
      </c>
      <c r="N56" s="22">
        <f t="shared" si="31"/>
        <v>0</v>
      </c>
      <c r="O56" s="22">
        <f t="shared" si="31"/>
        <v>0</v>
      </c>
    </row>
    <row r="57" spans="1:15" ht="15" customHeight="1" x14ac:dyDescent="0.2">
      <c r="A57" s="29" t="s">
        <v>76</v>
      </c>
      <c r="B57" s="20" t="s">
        <v>233</v>
      </c>
      <c r="C57" s="43"/>
      <c r="D57" s="10">
        <v>12000</v>
      </c>
      <c r="E57" s="295">
        <f t="shared" si="32"/>
        <v>0</v>
      </c>
      <c r="F57" s="295">
        <v>12000</v>
      </c>
      <c r="G57" s="295"/>
      <c r="H57" s="155">
        <v>0</v>
      </c>
      <c r="I57" s="295"/>
      <c r="J57" s="295"/>
      <c r="K57" s="295"/>
      <c r="L57" s="69">
        <f t="shared" si="33"/>
        <v>12000</v>
      </c>
      <c r="M57" s="22">
        <f t="shared" si="31"/>
        <v>0</v>
      </c>
      <c r="N57" s="22">
        <f t="shared" si="31"/>
        <v>12000</v>
      </c>
      <c r="O57" s="22">
        <f t="shared" si="31"/>
        <v>0</v>
      </c>
    </row>
    <row r="58" spans="1:15" ht="15" customHeight="1" x14ac:dyDescent="0.2">
      <c r="A58" s="29" t="s">
        <v>32</v>
      </c>
      <c r="B58" s="14" t="s">
        <v>310</v>
      </c>
      <c r="C58" s="43"/>
      <c r="D58" s="10">
        <v>450000</v>
      </c>
      <c r="E58" s="295">
        <f t="shared" si="32"/>
        <v>0</v>
      </c>
      <c r="F58" s="295">
        <v>450000</v>
      </c>
      <c r="G58" s="295">
        <f>450000</f>
        <v>450000</v>
      </c>
      <c r="H58" s="155">
        <v>0</v>
      </c>
      <c r="I58" s="295"/>
      <c r="J58" s="295"/>
      <c r="K58" s="295"/>
      <c r="L58" s="69">
        <f t="shared" si="33"/>
        <v>450000</v>
      </c>
      <c r="M58" s="22">
        <f t="shared" si="31"/>
        <v>0</v>
      </c>
      <c r="N58" s="22">
        <f t="shared" si="31"/>
        <v>450000</v>
      </c>
      <c r="O58" s="22">
        <f t="shared" si="31"/>
        <v>450000</v>
      </c>
    </row>
    <row r="59" spans="1:15" ht="15" customHeight="1" x14ac:dyDescent="0.2">
      <c r="A59" s="29" t="s">
        <v>77</v>
      </c>
      <c r="B59" s="2" t="s">
        <v>311</v>
      </c>
      <c r="C59" s="43"/>
      <c r="D59" s="10">
        <v>300000</v>
      </c>
      <c r="E59" s="295">
        <f t="shared" si="32"/>
        <v>0</v>
      </c>
      <c r="F59" s="295">
        <v>300000</v>
      </c>
      <c r="G59" s="295">
        <v>300000</v>
      </c>
      <c r="H59" s="155"/>
      <c r="I59" s="295"/>
      <c r="J59" s="295"/>
      <c r="K59" s="295"/>
      <c r="L59" s="69">
        <f t="shared" si="33"/>
        <v>300000</v>
      </c>
      <c r="M59" s="22">
        <f t="shared" si="31"/>
        <v>0</v>
      </c>
      <c r="N59" s="22">
        <f t="shared" si="31"/>
        <v>300000</v>
      </c>
      <c r="O59" s="22">
        <f t="shared" si="31"/>
        <v>300000</v>
      </c>
    </row>
    <row r="60" spans="1:15" ht="18" customHeight="1" x14ac:dyDescent="0.2">
      <c r="A60" s="412" t="s">
        <v>9</v>
      </c>
      <c r="B60" s="413"/>
      <c r="C60" s="44" t="s">
        <v>86</v>
      </c>
      <c r="D60" s="25">
        <f>D36+D38+D41</f>
        <v>25570215</v>
      </c>
      <c r="E60" s="25">
        <f t="shared" ref="E60:G60" si="34">E36+E38+E41</f>
        <v>1056000</v>
      </c>
      <c r="F60" s="25">
        <f t="shared" si="34"/>
        <v>26626215</v>
      </c>
      <c r="G60" s="25">
        <f t="shared" si="34"/>
        <v>14094015</v>
      </c>
      <c r="H60" s="25">
        <f>H36+H38+H41</f>
        <v>0</v>
      </c>
      <c r="I60" s="25">
        <f t="shared" ref="I60:K60" si="35">I36+I38+I41</f>
        <v>0</v>
      </c>
      <c r="J60" s="25">
        <f t="shared" si="35"/>
        <v>0</v>
      </c>
      <c r="K60" s="25">
        <f t="shared" si="35"/>
        <v>0</v>
      </c>
      <c r="L60" s="303">
        <f>L36+L38+L41</f>
        <v>25570215</v>
      </c>
      <c r="M60" s="303">
        <f t="shared" ref="M60:O60" si="36">M36+M38+M41</f>
        <v>1056000</v>
      </c>
      <c r="N60" s="303">
        <f t="shared" si="36"/>
        <v>26626215</v>
      </c>
      <c r="O60" s="303">
        <f t="shared" si="36"/>
        <v>14094015</v>
      </c>
    </row>
    <row r="61" spans="1:15" ht="18" customHeight="1" x14ac:dyDescent="0.2">
      <c r="A61" s="412" t="s">
        <v>314</v>
      </c>
      <c r="B61" s="413"/>
      <c r="C61" s="44"/>
      <c r="D61" s="206">
        <f>D33+D60</f>
        <v>269263267</v>
      </c>
      <c r="E61" s="206">
        <f t="shared" ref="E61:G61" si="37">E33+E60</f>
        <v>1056000</v>
      </c>
      <c r="F61" s="206">
        <f t="shared" si="37"/>
        <v>270319267</v>
      </c>
      <c r="G61" s="206">
        <f t="shared" si="37"/>
        <v>129927404</v>
      </c>
      <c r="H61" s="206">
        <f t="shared" ref="H61:K61" si="38">H33+H60</f>
        <v>488205</v>
      </c>
      <c r="I61" s="206">
        <f t="shared" si="38"/>
        <v>11923</v>
      </c>
      <c r="J61" s="206">
        <f t="shared" si="38"/>
        <v>500128</v>
      </c>
      <c r="K61" s="206">
        <f t="shared" si="38"/>
        <v>500128</v>
      </c>
      <c r="L61" s="303">
        <f>L33+L60</f>
        <v>269751472</v>
      </c>
      <c r="M61" s="303">
        <f t="shared" ref="M61:O61" si="39">M33+M60</f>
        <v>1067923</v>
      </c>
      <c r="N61" s="303">
        <f t="shared" si="39"/>
        <v>270819395</v>
      </c>
      <c r="O61" s="303">
        <f t="shared" si="39"/>
        <v>130427532</v>
      </c>
    </row>
    <row r="62" spans="1:15" ht="15" customHeight="1" x14ac:dyDescent="0.2">
      <c r="A62" s="40"/>
      <c r="B62" s="13"/>
      <c r="C62" s="3"/>
      <c r="D62" s="200"/>
      <c r="E62" s="200"/>
      <c r="F62" s="200"/>
      <c r="G62" s="200"/>
      <c r="L62" s="297"/>
      <c r="M62" s="312"/>
      <c r="N62" s="312"/>
      <c r="O62" s="312"/>
    </row>
  </sheetData>
  <mergeCells count="13">
    <mergeCell ref="A4:B5"/>
    <mergeCell ref="A34:D34"/>
    <mergeCell ref="A28:B28"/>
    <mergeCell ref="A29:D29"/>
    <mergeCell ref="A32:B32"/>
    <mergeCell ref="A33:B33"/>
    <mergeCell ref="C4:C5"/>
    <mergeCell ref="D4:L4"/>
    <mergeCell ref="A1:O1"/>
    <mergeCell ref="A2:O2"/>
    <mergeCell ref="A35:D35"/>
    <mergeCell ref="A60:B60"/>
    <mergeCell ref="A61:B61"/>
  </mergeCells>
  <phoneticPr fontId="7" type="noConversion"/>
  <pageMargins left="0.61" right="0.16" top="0.54" bottom="0.41" header="0.26" footer="0.18"/>
  <pageSetup paperSize="9" scale="68" orientation="landscape" r:id="rId1"/>
  <headerFooter alignWithMargins="0">
    <oddHeader>&amp;R5. számú melléklet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6"/>
  </sheetPr>
  <dimension ref="A1:N74"/>
  <sheetViews>
    <sheetView topLeftCell="A37" zoomScaleNormal="100" workbookViewId="0">
      <selection activeCell="L9" sqref="L9"/>
    </sheetView>
  </sheetViews>
  <sheetFormatPr defaultRowHeight="15" customHeight="1" x14ac:dyDescent="0.2"/>
  <cols>
    <col min="1" max="1" width="2.42578125" style="1" bestFit="1" customWidth="1"/>
    <col min="2" max="3" width="2.42578125" style="2" bestFit="1" customWidth="1"/>
    <col min="4" max="4" width="2.42578125" style="2" customWidth="1"/>
    <col min="5" max="5" width="41.5703125" style="2" customWidth="1"/>
    <col min="6" max="6" width="7.28515625" style="18" bestFit="1" customWidth="1"/>
    <col min="7" max="7" width="12.28515625" style="195" customWidth="1"/>
    <col min="8" max="8" width="11.85546875" style="195" bestFit="1" customWidth="1"/>
    <col min="9" max="10" width="10.85546875" style="195" bestFit="1" customWidth="1"/>
    <col min="11" max="11" width="15.7109375" style="2" customWidth="1"/>
    <col min="12" max="12" width="10.85546875" style="11" bestFit="1" customWidth="1"/>
    <col min="13" max="13" width="9.140625" style="2"/>
    <col min="14" max="14" width="11.28515625" style="2" customWidth="1"/>
    <col min="15" max="16384" width="9.140625" style="2"/>
  </cols>
  <sheetData>
    <row r="1" spans="1:14" ht="15" customHeight="1" x14ac:dyDescent="0.2">
      <c r="A1" s="372" t="s">
        <v>370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4" ht="19.5" customHeight="1" x14ac:dyDescent="0.2">
      <c r="A2" s="372" t="s">
        <v>57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</row>
    <row r="3" spans="1:14" ht="15" customHeight="1" x14ac:dyDescent="0.2">
      <c r="A3" s="3"/>
      <c r="B3" s="3"/>
      <c r="C3" s="13"/>
      <c r="D3" s="13"/>
      <c r="E3" s="3"/>
      <c r="F3" s="19"/>
      <c r="H3" s="17"/>
      <c r="I3" s="17"/>
      <c r="N3" s="17" t="s">
        <v>236</v>
      </c>
    </row>
    <row r="4" spans="1:14" ht="10.5" customHeight="1" thickBot="1" x14ac:dyDescent="0.25"/>
    <row r="5" spans="1:14" ht="42.75" customHeight="1" thickBot="1" x14ac:dyDescent="0.25">
      <c r="A5" s="428" t="s">
        <v>44</v>
      </c>
      <c r="B5" s="429"/>
      <c r="C5" s="429"/>
      <c r="D5" s="429"/>
      <c r="E5" s="429"/>
      <c r="F5" s="366" t="s">
        <v>43</v>
      </c>
      <c r="G5" s="313" t="s">
        <v>387</v>
      </c>
      <c r="H5" s="325" t="s">
        <v>366</v>
      </c>
      <c r="I5" s="325" t="s">
        <v>367</v>
      </c>
      <c r="J5" s="326" t="s">
        <v>368</v>
      </c>
      <c r="K5" s="313" t="s">
        <v>388</v>
      </c>
      <c r="L5" s="325" t="s">
        <v>366</v>
      </c>
      <c r="M5" s="325" t="s">
        <v>367</v>
      </c>
      <c r="N5" s="326" t="s">
        <v>368</v>
      </c>
    </row>
    <row r="6" spans="1:14" ht="18" customHeight="1" x14ac:dyDescent="0.2">
      <c r="A6" s="434" t="s">
        <v>45</v>
      </c>
      <c r="B6" s="437" t="s">
        <v>38</v>
      </c>
      <c r="C6" s="438"/>
      <c r="D6" s="438"/>
      <c r="E6" s="438"/>
      <c r="F6" s="438"/>
      <c r="G6" s="438"/>
      <c r="H6" s="324"/>
      <c r="I6" s="324"/>
      <c r="J6" s="324"/>
      <c r="K6" s="502"/>
      <c r="L6" s="297"/>
      <c r="M6" s="502"/>
      <c r="N6" s="503"/>
    </row>
    <row r="7" spans="1:14" ht="15" customHeight="1" x14ac:dyDescent="0.2">
      <c r="A7" s="435"/>
      <c r="B7" s="432" t="s">
        <v>45</v>
      </c>
      <c r="C7" s="439" t="s">
        <v>42</v>
      </c>
      <c r="D7" s="440"/>
      <c r="E7" s="441"/>
      <c r="F7" s="48" t="s">
        <v>96</v>
      </c>
      <c r="G7" s="304">
        <f>SUM(G8:G9)</f>
        <v>0</v>
      </c>
      <c r="H7" s="304">
        <f>SUM(H8:H9)</f>
        <v>0</v>
      </c>
      <c r="I7" s="304">
        <f>SUM(I8:I9)</f>
        <v>0</v>
      </c>
      <c r="J7" s="304">
        <f>SUM(J8:J9)</f>
        <v>0</v>
      </c>
      <c r="K7" s="304">
        <f>SUM(K8:K9)</f>
        <v>0</v>
      </c>
      <c r="L7" s="304">
        <f t="shared" ref="L7:N7" si="0">SUM(L8:L9)</f>
        <v>0</v>
      </c>
      <c r="M7" s="304">
        <f t="shared" si="0"/>
        <v>0</v>
      </c>
      <c r="N7" s="27">
        <f t="shared" si="0"/>
        <v>0</v>
      </c>
    </row>
    <row r="8" spans="1:14" s="13" customFormat="1" ht="15" customHeight="1" x14ac:dyDescent="0.2">
      <c r="A8" s="435"/>
      <c r="B8" s="433"/>
      <c r="C8" s="37" t="s">
        <v>45</v>
      </c>
      <c r="D8" s="430" t="s">
        <v>17</v>
      </c>
      <c r="E8" s="431"/>
      <c r="F8" s="49"/>
      <c r="G8" s="314">
        <v>0</v>
      </c>
      <c r="H8" s="307"/>
      <c r="I8" s="307"/>
      <c r="J8" s="307"/>
      <c r="K8" s="314">
        <v>0</v>
      </c>
      <c r="L8" s="307"/>
      <c r="M8" s="307"/>
      <c r="N8" s="504"/>
    </row>
    <row r="9" spans="1:14" s="13" customFormat="1" ht="15" customHeight="1" x14ac:dyDescent="0.2">
      <c r="A9" s="435"/>
      <c r="B9" s="433"/>
      <c r="C9" s="64" t="s">
        <v>46</v>
      </c>
      <c r="D9" s="430" t="s">
        <v>16</v>
      </c>
      <c r="E9" s="431"/>
      <c r="F9" s="49"/>
      <c r="G9" s="314">
        <v>0</v>
      </c>
      <c r="H9" s="307"/>
      <c r="I9" s="307"/>
      <c r="J9" s="307"/>
      <c r="K9" s="314">
        <v>0</v>
      </c>
      <c r="L9" s="307"/>
      <c r="M9" s="307"/>
      <c r="N9" s="504"/>
    </row>
    <row r="10" spans="1:14" ht="15" customHeight="1" x14ac:dyDescent="0.2">
      <c r="A10" s="435"/>
      <c r="B10" s="432" t="s">
        <v>46</v>
      </c>
      <c r="C10" s="439" t="s">
        <v>53</v>
      </c>
      <c r="D10" s="440"/>
      <c r="E10" s="441"/>
      <c r="F10" s="50" t="s">
        <v>97</v>
      </c>
      <c r="G10" s="315">
        <f>G11+G13+G15+G20</f>
        <v>449601188</v>
      </c>
      <c r="H10" s="315">
        <f t="shared" ref="H10:J10" si="1">H11+H13+H15+H20</f>
        <v>-10450787</v>
      </c>
      <c r="I10" s="315">
        <f t="shared" si="1"/>
        <v>439150401</v>
      </c>
      <c r="J10" s="315">
        <f t="shared" si="1"/>
        <v>68022692</v>
      </c>
      <c r="K10" s="315">
        <f>K11+K13+K15+K20</f>
        <v>0</v>
      </c>
      <c r="L10" s="315">
        <f t="shared" ref="L10:N10" si="2">L11+L13+L15+L20</f>
        <v>0</v>
      </c>
      <c r="M10" s="315">
        <f t="shared" si="2"/>
        <v>0</v>
      </c>
      <c r="N10" s="505">
        <f t="shared" si="2"/>
        <v>0</v>
      </c>
    </row>
    <row r="11" spans="1:14" s="13" customFormat="1" ht="15" customHeight="1" x14ac:dyDescent="0.2">
      <c r="A11" s="435"/>
      <c r="B11" s="433"/>
      <c r="C11" s="16" t="s">
        <v>45</v>
      </c>
      <c r="D11" s="430" t="s">
        <v>54</v>
      </c>
      <c r="E11" s="431"/>
      <c r="F11" s="49"/>
      <c r="G11" s="314"/>
      <c r="H11" s="307"/>
      <c r="I11" s="307"/>
      <c r="J11" s="307"/>
      <c r="K11" s="314"/>
      <c r="L11" s="307"/>
      <c r="M11" s="307"/>
      <c r="N11" s="504"/>
    </row>
    <row r="12" spans="1:14" s="13" customFormat="1" ht="15" customHeight="1" x14ac:dyDescent="0.25">
      <c r="A12" s="435"/>
      <c r="B12" s="433"/>
      <c r="C12" s="54"/>
      <c r="D12" s="361" t="s">
        <v>45</v>
      </c>
      <c r="E12" s="53"/>
      <c r="F12" s="49"/>
      <c r="G12" s="316"/>
      <c r="H12" s="6"/>
      <c r="I12" s="6"/>
      <c r="J12" s="6"/>
      <c r="K12" s="316"/>
      <c r="L12" s="6"/>
      <c r="M12" s="6"/>
      <c r="N12" s="10"/>
    </row>
    <row r="13" spans="1:14" s="13" customFormat="1" ht="15" customHeight="1" x14ac:dyDescent="0.2">
      <c r="A13" s="435"/>
      <c r="B13" s="433"/>
      <c r="C13" s="432" t="s">
        <v>46</v>
      </c>
      <c r="D13" s="430" t="s">
        <v>55</v>
      </c>
      <c r="E13" s="431"/>
      <c r="F13" s="49"/>
      <c r="G13" s="314">
        <f>SUM(G14:G14)</f>
        <v>0</v>
      </c>
      <c r="H13" s="314">
        <f t="shared" ref="H13:J13" si="3">SUM(H14:H14)</f>
        <v>0</v>
      </c>
      <c r="I13" s="314">
        <f t="shared" si="3"/>
        <v>0</v>
      </c>
      <c r="J13" s="314">
        <f t="shared" si="3"/>
        <v>0</v>
      </c>
      <c r="K13" s="314">
        <f>SUM(K14:K14)</f>
        <v>0</v>
      </c>
      <c r="L13" s="307"/>
      <c r="M13" s="307"/>
      <c r="N13" s="504"/>
    </row>
    <row r="14" spans="1:14" ht="15" customHeight="1" x14ac:dyDescent="0.2">
      <c r="A14" s="435"/>
      <c r="B14" s="433"/>
      <c r="C14" s="433"/>
      <c r="D14" s="21" t="s">
        <v>45</v>
      </c>
      <c r="E14" s="362"/>
      <c r="F14" s="51"/>
      <c r="G14" s="316"/>
      <c r="H14" s="6"/>
      <c r="I14" s="6"/>
      <c r="J14" s="6"/>
      <c r="K14" s="316"/>
      <c r="L14" s="6"/>
      <c r="M14" s="6"/>
      <c r="N14" s="10"/>
    </row>
    <row r="15" spans="1:14" s="13" customFormat="1" ht="15" customHeight="1" x14ac:dyDescent="0.2">
      <c r="A15" s="435"/>
      <c r="B15" s="433"/>
      <c r="C15" s="432" t="s">
        <v>47</v>
      </c>
      <c r="D15" s="430" t="s">
        <v>10</v>
      </c>
      <c r="E15" s="431"/>
      <c r="F15" s="49"/>
      <c r="G15" s="314">
        <f>SUM(G16:G19)</f>
        <v>404120188</v>
      </c>
      <c r="H15" s="314">
        <f t="shared" ref="H15:J15" si="4">SUM(H16:H19)</f>
        <v>0</v>
      </c>
      <c r="I15" s="314">
        <f t="shared" si="4"/>
        <v>404120188</v>
      </c>
      <c r="J15" s="314">
        <f t="shared" si="4"/>
        <v>0</v>
      </c>
      <c r="K15" s="314">
        <f>SUM(K16:K19)</f>
        <v>0</v>
      </c>
      <c r="L15" s="307"/>
      <c r="M15" s="307"/>
      <c r="N15" s="504"/>
    </row>
    <row r="16" spans="1:14" s="13" customFormat="1" ht="15" customHeight="1" x14ac:dyDescent="0.2">
      <c r="A16" s="435"/>
      <c r="B16" s="433"/>
      <c r="C16" s="433"/>
      <c r="D16" s="361" t="s">
        <v>45</v>
      </c>
      <c r="E16" s="362" t="s">
        <v>313</v>
      </c>
      <c r="F16" s="49" t="s">
        <v>97</v>
      </c>
      <c r="G16" s="316">
        <v>400000000</v>
      </c>
      <c r="H16" s="6">
        <f>I16-G16</f>
        <v>0</v>
      </c>
      <c r="I16" s="6">
        <v>400000000</v>
      </c>
      <c r="J16" s="6"/>
      <c r="K16" s="316"/>
      <c r="L16" s="6"/>
      <c r="M16" s="6"/>
      <c r="N16" s="10"/>
    </row>
    <row r="17" spans="1:14" s="13" customFormat="1" ht="15" customHeight="1" x14ac:dyDescent="0.2">
      <c r="A17" s="435"/>
      <c r="B17" s="433"/>
      <c r="C17" s="364"/>
      <c r="D17" s="361" t="s">
        <v>46</v>
      </c>
      <c r="E17" s="362" t="s">
        <v>324</v>
      </c>
      <c r="F17" s="49"/>
      <c r="G17" s="316">
        <v>0</v>
      </c>
      <c r="H17" s="6">
        <f t="shared" ref="H17:H25" si="5">I17-G17</f>
        <v>0</v>
      </c>
      <c r="I17" s="6">
        <v>0</v>
      </c>
      <c r="J17" s="6"/>
      <c r="K17" s="316"/>
      <c r="L17" s="6"/>
      <c r="M17" s="6"/>
      <c r="N17" s="10"/>
    </row>
    <row r="18" spans="1:14" s="13" customFormat="1" ht="15" customHeight="1" x14ac:dyDescent="0.2">
      <c r="A18" s="435"/>
      <c r="B18" s="433"/>
      <c r="C18" s="364"/>
      <c r="D18" s="361" t="s">
        <v>47</v>
      </c>
      <c r="E18" s="362" t="s">
        <v>323</v>
      </c>
      <c r="F18" s="49"/>
      <c r="G18" s="316">
        <v>0</v>
      </c>
      <c r="H18" s="6">
        <f t="shared" si="5"/>
        <v>0</v>
      </c>
      <c r="I18" s="6">
        <v>0</v>
      </c>
      <c r="J18" s="6"/>
      <c r="K18" s="316"/>
      <c r="L18" s="6"/>
      <c r="M18" s="6"/>
      <c r="N18" s="10"/>
    </row>
    <row r="19" spans="1:14" s="13" customFormat="1" ht="15" customHeight="1" x14ac:dyDescent="0.2">
      <c r="A19" s="435"/>
      <c r="B19" s="433"/>
      <c r="C19" s="364"/>
      <c r="D19" s="361" t="s">
        <v>48</v>
      </c>
      <c r="E19" s="362" t="s">
        <v>338</v>
      </c>
      <c r="F19" s="49"/>
      <c r="G19" s="316">
        <f>4120187+1</f>
        <v>4120188</v>
      </c>
      <c r="H19" s="6">
        <f t="shared" si="5"/>
        <v>0</v>
      </c>
      <c r="I19" s="6">
        <v>4120188</v>
      </c>
      <c r="J19" s="6"/>
      <c r="K19" s="316"/>
      <c r="L19" s="6"/>
      <c r="M19" s="6"/>
      <c r="N19" s="10"/>
    </row>
    <row r="20" spans="1:14" s="13" customFormat="1" ht="15" customHeight="1" x14ac:dyDescent="0.2">
      <c r="A20" s="435"/>
      <c r="B20" s="433"/>
      <c r="C20" s="432" t="s">
        <v>48</v>
      </c>
      <c r="D20" s="430" t="s">
        <v>11</v>
      </c>
      <c r="E20" s="431"/>
      <c r="F20" s="49" t="s">
        <v>98</v>
      </c>
      <c r="G20" s="314">
        <f>SUM(G21:G25)</f>
        <v>45481000</v>
      </c>
      <c r="H20" s="314">
        <f t="shared" ref="H20:J20" si="6">SUM(H21:H25)</f>
        <v>-10450787</v>
      </c>
      <c r="I20" s="314">
        <f t="shared" si="6"/>
        <v>35030213</v>
      </c>
      <c r="J20" s="314">
        <f t="shared" si="6"/>
        <v>68022692</v>
      </c>
      <c r="K20" s="314">
        <f>SUM(K21:K25)</f>
        <v>0</v>
      </c>
      <c r="L20" s="307"/>
      <c r="M20" s="307"/>
      <c r="N20" s="504"/>
    </row>
    <row r="21" spans="1:14" s="13" customFormat="1" ht="16.5" customHeight="1" x14ac:dyDescent="0.25">
      <c r="A21" s="435"/>
      <c r="B21" s="433"/>
      <c r="C21" s="433"/>
      <c r="D21" s="361" t="s">
        <v>45</v>
      </c>
      <c r="E21" s="53" t="s">
        <v>306</v>
      </c>
      <c r="F21" s="49"/>
      <c r="G21" s="316">
        <v>33000000</v>
      </c>
      <c r="H21" s="6">
        <f t="shared" si="5"/>
        <v>-10450787</v>
      </c>
      <c r="I21" s="6">
        <v>22549213</v>
      </c>
      <c r="J21" s="355">
        <v>66041492</v>
      </c>
      <c r="K21" s="316"/>
      <c r="L21" s="6"/>
      <c r="M21" s="6"/>
      <c r="N21" s="10"/>
    </row>
    <row r="22" spans="1:14" s="13" customFormat="1" ht="29.25" customHeight="1" x14ac:dyDescent="0.25">
      <c r="A22" s="435"/>
      <c r="B22" s="433"/>
      <c r="C22" s="433"/>
      <c r="D22" s="361" t="s">
        <v>46</v>
      </c>
      <c r="E22" s="55" t="s">
        <v>312</v>
      </c>
      <c r="F22" s="49"/>
      <c r="G22" s="316">
        <v>2500000</v>
      </c>
      <c r="H22" s="6">
        <f t="shared" si="5"/>
        <v>0</v>
      </c>
      <c r="I22" s="6">
        <v>2500000</v>
      </c>
      <c r="J22" s="355"/>
      <c r="K22" s="316"/>
      <c r="L22" s="6"/>
      <c r="M22" s="6"/>
      <c r="N22" s="10"/>
    </row>
    <row r="23" spans="1:14" s="13" customFormat="1" x14ac:dyDescent="0.25">
      <c r="A23" s="435"/>
      <c r="B23" s="433"/>
      <c r="C23" s="433"/>
      <c r="D23" s="361" t="s">
        <v>47</v>
      </c>
      <c r="E23" s="55" t="s">
        <v>325</v>
      </c>
      <c r="F23" s="49"/>
      <c r="G23" s="316">
        <v>8000000</v>
      </c>
      <c r="H23" s="6">
        <f t="shared" si="5"/>
        <v>0</v>
      </c>
      <c r="I23" s="6">
        <v>8000000</v>
      </c>
      <c r="J23" s="355"/>
      <c r="K23" s="316"/>
      <c r="L23" s="6"/>
      <c r="M23" s="6"/>
      <c r="N23" s="10"/>
    </row>
    <row r="24" spans="1:14" s="13" customFormat="1" x14ac:dyDescent="0.25">
      <c r="A24" s="435"/>
      <c r="B24" s="433"/>
      <c r="C24" s="433"/>
      <c r="D24" s="361" t="s">
        <v>48</v>
      </c>
      <c r="E24" s="55" t="s">
        <v>326</v>
      </c>
      <c r="F24" s="49"/>
      <c r="G24" s="316">
        <v>381000</v>
      </c>
      <c r="H24" s="6">
        <f t="shared" si="5"/>
        <v>0</v>
      </c>
      <c r="I24" s="6">
        <v>381000</v>
      </c>
      <c r="J24" s="355">
        <v>381000</v>
      </c>
      <c r="K24" s="316"/>
      <c r="L24" s="6"/>
      <c r="M24" s="6"/>
      <c r="N24" s="10"/>
    </row>
    <row r="25" spans="1:14" s="13" customFormat="1" ht="16.5" customHeight="1" x14ac:dyDescent="0.25">
      <c r="A25" s="435"/>
      <c r="B25" s="433"/>
      <c r="C25" s="433"/>
      <c r="D25" s="361" t="s">
        <v>49</v>
      </c>
      <c r="E25" s="55" t="s">
        <v>327</v>
      </c>
      <c r="F25" s="49"/>
      <c r="G25" s="316">
        <v>1600000</v>
      </c>
      <c r="H25" s="6">
        <f t="shared" si="5"/>
        <v>0</v>
      </c>
      <c r="I25" s="6">
        <v>1600000</v>
      </c>
      <c r="J25" s="355">
        <v>1600200</v>
      </c>
      <c r="K25" s="316"/>
      <c r="L25" s="6"/>
      <c r="M25" s="6"/>
      <c r="N25" s="10"/>
    </row>
    <row r="26" spans="1:14" ht="18.75" customHeight="1" x14ac:dyDescent="0.2">
      <c r="A26" s="435"/>
      <c r="B26" s="432" t="s">
        <v>47</v>
      </c>
      <c r="C26" s="439" t="s">
        <v>19</v>
      </c>
      <c r="D26" s="440"/>
      <c r="E26" s="441"/>
      <c r="F26" s="50" t="s">
        <v>99</v>
      </c>
      <c r="G26" s="315">
        <f>G27+G30+G42+G43</f>
        <v>16673785</v>
      </c>
      <c r="H26" s="315">
        <f t="shared" ref="H26:J26" si="7">H27+H30+H42+H43</f>
        <v>0</v>
      </c>
      <c r="I26" s="315">
        <f t="shared" si="7"/>
        <v>16673785</v>
      </c>
      <c r="J26" s="315">
        <f t="shared" si="7"/>
        <v>16061012</v>
      </c>
      <c r="K26" s="315">
        <f>K27+K30+K42+K43</f>
        <v>0</v>
      </c>
      <c r="L26" s="315">
        <f t="shared" ref="L26:N26" si="8">L27+L30+L42+L43</f>
        <v>1750412</v>
      </c>
      <c r="M26" s="315">
        <f t="shared" si="8"/>
        <v>1750412</v>
      </c>
      <c r="N26" s="505">
        <f t="shared" si="8"/>
        <v>1750412</v>
      </c>
    </row>
    <row r="27" spans="1:14" s="13" customFormat="1" ht="15" customHeight="1" x14ac:dyDescent="0.2">
      <c r="A27" s="435"/>
      <c r="B27" s="433"/>
      <c r="C27" s="16" t="s">
        <v>45</v>
      </c>
      <c r="D27" s="452" t="s">
        <v>26</v>
      </c>
      <c r="E27" s="453"/>
      <c r="F27" s="49" t="s">
        <v>234</v>
      </c>
      <c r="G27" s="314">
        <f>SUM(G28:G29)</f>
        <v>1263905</v>
      </c>
      <c r="H27" s="314">
        <f t="shared" ref="H27:J27" si="9">SUM(H28:H29)</f>
        <v>0</v>
      </c>
      <c r="I27" s="314">
        <f t="shared" si="9"/>
        <v>1263905</v>
      </c>
      <c r="J27" s="314">
        <f t="shared" si="9"/>
        <v>927989</v>
      </c>
      <c r="K27" s="314">
        <f>SUM(K28:K29)</f>
        <v>0</v>
      </c>
      <c r="L27" s="307"/>
      <c r="M27" s="307"/>
      <c r="N27" s="504"/>
    </row>
    <row r="28" spans="1:14" ht="25.5" x14ac:dyDescent="0.2">
      <c r="A28" s="435"/>
      <c r="B28" s="433"/>
      <c r="C28" s="442"/>
      <c r="D28" s="9" t="s">
        <v>45</v>
      </c>
      <c r="E28" s="14" t="s">
        <v>328</v>
      </c>
      <c r="F28" s="51"/>
      <c r="G28" s="316">
        <v>1263905</v>
      </c>
      <c r="H28" s="6">
        <f t="shared" ref="H28" si="10">I28-G28</f>
        <v>0</v>
      </c>
      <c r="I28" s="6">
        <v>1263905</v>
      </c>
      <c r="J28" s="6">
        <v>927989</v>
      </c>
      <c r="K28" s="316"/>
      <c r="L28" s="6"/>
      <c r="M28" s="6"/>
      <c r="N28" s="10"/>
    </row>
    <row r="29" spans="1:14" ht="31.5" customHeight="1" x14ac:dyDescent="0.2">
      <c r="A29" s="435"/>
      <c r="B29" s="433"/>
      <c r="C29" s="443"/>
      <c r="D29" s="9"/>
      <c r="E29" s="14" t="s">
        <v>390</v>
      </c>
      <c r="F29" s="51"/>
      <c r="G29" s="317"/>
      <c r="H29" s="323"/>
      <c r="I29" s="323"/>
      <c r="J29" s="323"/>
      <c r="K29" s="317"/>
      <c r="L29" s="323"/>
      <c r="M29" s="323"/>
      <c r="N29" s="506"/>
    </row>
    <row r="30" spans="1:14" s="13" customFormat="1" ht="26.25" customHeight="1" x14ac:dyDescent="0.2">
      <c r="A30" s="435"/>
      <c r="B30" s="433"/>
      <c r="C30" s="432" t="s">
        <v>46</v>
      </c>
      <c r="D30" s="430" t="s">
        <v>27</v>
      </c>
      <c r="E30" s="431"/>
      <c r="F30" s="49" t="s">
        <v>100</v>
      </c>
      <c r="G30" s="314">
        <f>SUM(G31:G41)</f>
        <v>15409880</v>
      </c>
      <c r="H30" s="314">
        <f>SUM(H31:H41)</f>
        <v>0</v>
      </c>
      <c r="I30" s="314">
        <f>SUM(I31:I41)</f>
        <v>15409880</v>
      </c>
      <c r="J30" s="314">
        <f>SUM(J31:J41)</f>
        <v>15133023</v>
      </c>
      <c r="K30" s="314">
        <f>SUM(K31:K39)</f>
        <v>0</v>
      </c>
      <c r="L30" s="314">
        <f>SUM(L31:L40)</f>
        <v>1750412</v>
      </c>
      <c r="M30" s="314">
        <f t="shared" ref="M30:N30" si="11">SUM(M31:M40)</f>
        <v>1750412</v>
      </c>
      <c r="N30" s="507">
        <f t="shared" si="11"/>
        <v>1750412</v>
      </c>
    </row>
    <row r="31" spans="1:14" s="13" customFormat="1" ht="26.25" customHeight="1" x14ac:dyDescent="0.2">
      <c r="A31" s="435"/>
      <c r="B31" s="433"/>
      <c r="C31" s="433"/>
      <c r="D31" s="361" t="s">
        <v>45</v>
      </c>
      <c r="E31" s="367" t="s">
        <v>394</v>
      </c>
      <c r="F31" s="49"/>
      <c r="G31" s="316">
        <v>8655230</v>
      </c>
      <c r="H31" s="6">
        <f t="shared" ref="H31:H39" si="12">I31-G31</f>
        <v>0</v>
      </c>
      <c r="I31" s="6">
        <v>8655230</v>
      </c>
      <c r="J31" s="6">
        <f>7555230+1206500</f>
        <v>8761730</v>
      </c>
      <c r="K31" s="316"/>
      <c r="L31" s="6"/>
      <c r="M31" s="6"/>
      <c r="N31" s="10"/>
    </row>
    <row r="32" spans="1:14" s="13" customFormat="1" ht="26.25" customHeight="1" x14ac:dyDescent="0.2">
      <c r="A32" s="435"/>
      <c r="B32" s="433"/>
      <c r="C32" s="433"/>
      <c r="D32" s="361" t="s">
        <v>46</v>
      </c>
      <c r="E32" s="56" t="s">
        <v>395</v>
      </c>
      <c r="F32" s="49"/>
      <c r="G32" s="316">
        <v>2142000</v>
      </c>
      <c r="H32" s="6">
        <f t="shared" si="12"/>
        <v>0</v>
      </c>
      <c r="I32" s="6">
        <v>2142000</v>
      </c>
      <c r="J32" s="6">
        <v>778789</v>
      </c>
      <c r="K32" s="316"/>
      <c r="L32" s="6"/>
      <c r="M32" s="6"/>
      <c r="N32" s="10"/>
    </row>
    <row r="33" spans="1:14" s="13" customFormat="1" ht="26.25" customHeight="1" x14ac:dyDescent="0.2">
      <c r="A33" s="435"/>
      <c r="B33" s="433"/>
      <c r="C33" s="433"/>
      <c r="D33" s="361"/>
      <c r="E33" s="56" t="s">
        <v>393</v>
      </c>
      <c r="F33" s="49"/>
      <c r="G33" s="316">
        <v>0</v>
      </c>
      <c r="H33" s="6">
        <v>0</v>
      </c>
      <c r="I33" s="6">
        <v>0</v>
      </c>
      <c r="J33" s="6">
        <v>5313705</v>
      </c>
      <c r="K33" s="316"/>
      <c r="L33" s="6"/>
      <c r="M33" s="6"/>
      <c r="N33" s="10"/>
    </row>
    <row r="34" spans="1:14" s="13" customFormat="1" ht="26.25" customHeight="1" x14ac:dyDescent="0.2">
      <c r="A34" s="435"/>
      <c r="B34" s="433"/>
      <c r="C34" s="433"/>
      <c r="D34" s="361" t="s">
        <v>47</v>
      </c>
      <c r="E34" s="367" t="s">
        <v>329</v>
      </c>
      <c r="F34" s="49"/>
      <c r="G34" s="316">
        <v>125000</v>
      </c>
      <c r="H34" s="6">
        <f t="shared" si="12"/>
        <v>0</v>
      </c>
      <c r="I34" s="6">
        <v>125000</v>
      </c>
      <c r="J34" s="6">
        <v>0</v>
      </c>
      <c r="K34" s="316"/>
      <c r="L34" s="6"/>
      <c r="M34" s="6"/>
      <c r="N34" s="10"/>
    </row>
    <row r="35" spans="1:14" s="13" customFormat="1" ht="26.25" customHeight="1" x14ac:dyDescent="0.2">
      <c r="A35" s="435"/>
      <c r="B35" s="433"/>
      <c r="C35" s="433"/>
      <c r="D35" s="361" t="s">
        <v>48</v>
      </c>
      <c r="E35" s="367" t="s">
        <v>330</v>
      </c>
      <c r="F35" s="49"/>
      <c r="G35" s="316">
        <v>50000</v>
      </c>
      <c r="H35" s="6">
        <f t="shared" si="12"/>
        <v>0</v>
      </c>
      <c r="I35" s="6">
        <v>50000</v>
      </c>
      <c r="J35" s="6">
        <v>0</v>
      </c>
      <c r="K35" s="316"/>
      <c r="L35" s="6"/>
      <c r="M35" s="6"/>
      <c r="N35" s="10"/>
    </row>
    <row r="36" spans="1:14" s="13" customFormat="1" ht="26.25" customHeight="1" x14ac:dyDescent="0.2">
      <c r="A36" s="435"/>
      <c r="B36" s="433"/>
      <c r="C36" s="433"/>
      <c r="D36" s="361" t="s">
        <v>49</v>
      </c>
      <c r="E36" s="367" t="s">
        <v>331</v>
      </c>
      <c r="F36" s="49"/>
      <c r="G36" s="316">
        <v>90000</v>
      </c>
      <c r="H36" s="6">
        <f t="shared" si="12"/>
        <v>0</v>
      </c>
      <c r="I36" s="6">
        <v>90000</v>
      </c>
      <c r="J36" s="6">
        <v>0</v>
      </c>
      <c r="K36" s="316"/>
      <c r="L36" s="6"/>
      <c r="M36" s="6"/>
      <c r="N36" s="10"/>
    </row>
    <row r="37" spans="1:14" s="13" customFormat="1" ht="26.25" customHeight="1" x14ac:dyDescent="0.2">
      <c r="A37" s="435"/>
      <c r="B37" s="433"/>
      <c r="C37" s="433"/>
      <c r="D37" s="361" t="s">
        <v>56</v>
      </c>
      <c r="E37" s="367" t="s">
        <v>332</v>
      </c>
      <c r="F37" s="49"/>
      <c r="G37" s="316">
        <v>200000</v>
      </c>
      <c r="H37" s="6">
        <f t="shared" si="12"/>
        <v>0</v>
      </c>
      <c r="I37" s="6">
        <v>200000</v>
      </c>
      <c r="J37" s="6">
        <v>0</v>
      </c>
      <c r="K37" s="316"/>
      <c r="L37" s="6"/>
      <c r="M37" s="6"/>
      <c r="N37" s="10"/>
    </row>
    <row r="38" spans="1:14" ht="25.5" customHeight="1" x14ac:dyDescent="0.2">
      <c r="A38" s="435"/>
      <c r="B38" s="433"/>
      <c r="C38" s="433"/>
      <c r="D38" s="502" t="s">
        <v>58</v>
      </c>
      <c r="E38" s="56" t="s">
        <v>391</v>
      </c>
      <c r="F38" s="361"/>
      <c r="G38" s="316">
        <v>247650</v>
      </c>
      <c r="H38" s="6">
        <f t="shared" si="12"/>
        <v>0</v>
      </c>
      <c r="I38" s="6">
        <v>247650</v>
      </c>
      <c r="J38" s="6">
        <v>262800</v>
      </c>
      <c r="K38" s="316"/>
      <c r="L38" s="6"/>
      <c r="M38" s="6"/>
      <c r="N38" s="10"/>
    </row>
    <row r="39" spans="1:14" ht="21.75" customHeight="1" x14ac:dyDescent="0.2">
      <c r="A39" s="435"/>
      <c r="B39" s="433"/>
      <c r="C39" s="364"/>
      <c r="D39" s="502">
        <v>8</v>
      </c>
      <c r="E39" s="56" t="s">
        <v>364</v>
      </c>
      <c r="F39" s="361"/>
      <c r="G39" s="316">
        <v>3900000</v>
      </c>
      <c r="H39" s="6">
        <f t="shared" si="12"/>
        <v>0</v>
      </c>
      <c r="I39" s="6">
        <v>3900000</v>
      </c>
      <c r="J39" s="6">
        <v>0</v>
      </c>
      <c r="K39" s="316"/>
      <c r="L39" s="6"/>
      <c r="M39" s="6"/>
      <c r="N39" s="10"/>
    </row>
    <row r="40" spans="1:14" ht="21.75" customHeight="1" x14ac:dyDescent="0.2">
      <c r="A40" s="435"/>
      <c r="B40" s="433"/>
      <c r="C40" s="364"/>
      <c r="D40" s="502" t="s">
        <v>60</v>
      </c>
      <c r="E40" s="351" t="s">
        <v>389</v>
      </c>
      <c r="F40" s="352"/>
      <c r="G40" s="316"/>
      <c r="H40" s="6"/>
      <c r="I40" s="6"/>
      <c r="J40" s="6"/>
      <c r="K40" s="316">
        <v>0</v>
      </c>
      <c r="L40" s="6">
        <f t="shared" ref="L40" si="13">M40-K40</f>
        <v>1750412</v>
      </c>
      <c r="M40" s="6">
        <v>1750412</v>
      </c>
      <c r="N40" s="10">
        <v>1750412</v>
      </c>
    </row>
    <row r="41" spans="1:14" ht="21.75" customHeight="1" x14ac:dyDescent="0.2">
      <c r="A41" s="435"/>
      <c r="B41" s="433"/>
      <c r="C41" s="364"/>
      <c r="D41" s="502" t="s">
        <v>61</v>
      </c>
      <c r="E41" s="351" t="s">
        <v>392</v>
      </c>
      <c r="F41" s="352"/>
      <c r="G41" s="316"/>
      <c r="H41" s="6"/>
      <c r="I41" s="6"/>
      <c r="J41" s="6">
        <v>15999</v>
      </c>
      <c r="K41" s="316"/>
      <c r="L41" s="6"/>
      <c r="M41" s="6"/>
      <c r="N41" s="10"/>
    </row>
    <row r="42" spans="1:14" s="13" customFormat="1" ht="15" customHeight="1" x14ac:dyDescent="0.2">
      <c r="A42" s="435"/>
      <c r="B42" s="433"/>
      <c r="C42" s="16" t="s">
        <v>47</v>
      </c>
      <c r="D42" s="430" t="s">
        <v>18</v>
      </c>
      <c r="E42" s="431"/>
      <c r="F42" s="49"/>
      <c r="G42" s="314">
        <v>0</v>
      </c>
      <c r="H42" s="307"/>
      <c r="I42" s="307"/>
      <c r="J42" s="307"/>
      <c r="K42" s="314">
        <v>0</v>
      </c>
      <c r="L42" s="307"/>
      <c r="M42" s="307"/>
      <c r="N42" s="504"/>
    </row>
    <row r="43" spans="1:14" s="13" customFormat="1" ht="15" customHeight="1" x14ac:dyDescent="0.2">
      <c r="A43" s="436"/>
      <c r="B43" s="451"/>
      <c r="C43" s="16" t="s">
        <v>48</v>
      </c>
      <c r="D43" s="430" t="s">
        <v>28</v>
      </c>
      <c r="E43" s="431"/>
      <c r="F43" s="49"/>
      <c r="G43" s="314">
        <v>0</v>
      </c>
      <c r="H43" s="307"/>
      <c r="I43" s="307"/>
      <c r="J43" s="307"/>
      <c r="K43" s="314">
        <v>0</v>
      </c>
      <c r="L43" s="307"/>
      <c r="M43" s="307"/>
      <c r="N43" s="504"/>
    </row>
    <row r="44" spans="1:14" ht="15" customHeight="1" x14ac:dyDescent="0.2">
      <c r="A44" s="447"/>
      <c r="B44" s="365" t="s">
        <v>48</v>
      </c>
      <c r="C44" s="439" t="s">
        <v>37</v>
      </c>
      <c r="D44" s="440"/>
      <c r="E44" s="441"/>
      <c r="F44" s="50"/>
      <c r="G44" s="315">
        <v>0</v>
      </c>
      <c r="H44" s="36"/>
      <c r="I44" s="36"/>
      <c r="J44" s="36"/>
      <c r="K44" s="315">
        <v>0</v>
      </c>
      <c r="L44" s="315">
        <v>0</v>
      </c>
      <c r="M44" s="315">
        <v>0</v>
      </c>
      <c r="N44" s="505">
        <v>0</v>
      </c>
    </row>
    <row r="45" spans="1:14" ht="18" customHeight="1" thickBot="1" x14ac:dyDescent="0.25">
      <c r="A45" s="448"/>
      <c r="B45" s="449" t="s">
        <v>35</v>
      </c>
      <c r="C45" s="450"/>
      <c r="D45" s="450"/>
      <c r="E45" s="415"/>
      <c r="F45" s="52"/>
      <c r="G45" s="318">
        <f>G7+G10+G26+G44</f>
        <v>466274973</v>
      </c>
      <c r="H45" s="318">
        <f t="shared" ref="H45:J45" si="14">H7+H10+H26+H44</f>
        <v>-10450787</v>
      </c>
      <c r="I45" s="318">
        <f t="shared" si="14"/>
        <v>455824186</v>
      </c>
      <c r="J45" s="318">
        <f t="shared" si="14"/>
        <v>84083704</v>
      </c>
      <c r="K45" s="318">
        <f>K7+K10+K26+K44</f>
        <v>0</v>
      </c>
      <c r="L45" s="318">
        <f t="shared" ref="L45:N45" si="15">L7+L10+L26+L44</f>
        <v>1750412</v>
      </c>
      <c r="M45" s="318">
        <f t="shared" si="15"/>
        <v>1750412</v>
      </c>
      <c r="N45" s="508">
        <f t="shared" si="15"/>
        <v>1750412</v>
      </c>
    </row>
    <row r="46" spans="1:14" ht="25.5" customHeight="1" x14ac:dyDescent="0.2">
      <c r="A46" s="434" t="s">
        <v>46</v>
      </c>
      <c r="B46" s="444" t="s">
        <v>2</v>
      </c>
      <c r="C46" s="445"/>
      <c r="D46" s="445"/>
      <c r="E46" s="445"/>
      <c r="F46" s="445"/>
      <c r="G46" s="445"/>
      <c r="H46" s="322"/>
      <c r="I46" s="322"/>
      <c r="J46" s="322"/>
      <c r="K46" s="502"/>
      <c r="L46" s="297"/>
      <c r="M46" s="502"/>
      <c r="N46" s="503"/>
    </row>
    <row r="47" spans="1:14" ht="15" customHeight="1" x14ac:dyDescent="0.2">
      <c r="A47" s="435"/>
      <c r="B47" s="432" t="s">
        <v>45</v>
      </c>
      <c r="C47" s="446" t="s">
        <v>3</v>
      </c>
      <c r="D47" s="446"/>
      <c r="E47" s="446"/>
      <c r="F47" s="41" t="s">
        <v>101</v>
      </c>
      <c r="G47" s="302">
        <f>G48+G51</f>
        <v>43561791</v>
      </c>
      <c r="H47" s="302">
        <f t="shared" ref="H47:J47" si="16">H48+H51</f>
        <v>0</v>
      </c>
      <c r="I47" s="302">
        <f t="shared" si="16"/>
        <v>43561791</v>
      </c>
      <c r="J47" s="302">
        <f t="shared" si="16"/>
        <v>18583628</v>
      </c>
      <c r="K47" s="302">
        <f>K48+K51</f>
        <v>0</v>
      </c>
      <c r="L47" s="302">
        <f t="shared" ref="L47:N47" si="17">L48+L51</f>
        <v>0</v>
      </c>
      <c r="M47" s="302">
        <f t="shared" si="17"/>
        <v>0</v>
      </c>
      <c r="N47" s="46">
        <f t="shared" si="17"/>
        <v>0</v>
      </c>
    </row>
    <row r="48" spans="1:14" s="13" customFormat="1" ht="15" customHeight="1" x14ac:dyDescent="0.2">
      <c r="A48" s="435"/>
      <c r="B48" s="433"/>
      <c r="C48" s="363" t="s">
        <v>45</v>
      </c>
      <c r="D48" s="430" t="s">
        <v>4</v>
      </c>
      <c r="E48" s="431"/>
      <c r="F48" s="16" t="s">
        <v>102</v>
      </c>
      <c r="G48" s="319">
        <f>SUM(G49:G50)</f>
        <v>5224000</v>
      </c>
      <c r="H48" s="319">
        <f t="shared" ref="H48:J48" si="18">SUM(H49:H50)</f>
        <v>0</v>
      </c>
      <c r="I48" s="319">
        <f t="shared" si="18"/>
        <v>5224000</v>
      </c>
      <c r="J48" s="319">
        <f t="shared" si="18"/>
        <v>5373670</v>
      </c>
      <c r="K48" s="319">
        <f>SUM(K49:K50)</f>
        <v>0</v>
      </c>
      <c r="L48" s="319">
        <f t="shared" ref="L48:N48" si="19">SUM(L49:L50)</f>
        <v>0</v>
      </c>
      <c r="M48" s="319">
        <f t="shared" si="19"/>
        <v>0</v>
      </c>
      <c r="N48" s="509">
        <f t="shared" si="19"/>
        <v>0</v>
      </c>
    </row>
    <row r="49" spans="1:14" ht="29.25" customHeight="1" x14ac:dyDescent="0.2">
      <c r="A49" s="435"/>
      <c r="B49" s="433"/>
      <c r="C49" s="58"/>
      <c r="D49" s="361" t="s">
        <v>45</v>
      </c>
      <c r="E49" s="152" t="s">
        <v>335</v>
      </c>
      <c r="F49" s="9"/>
      <c r="G49" s="151">
        <v>5224000</v>
      </c>
      <c r="H49" s="6">
        <f t="shared" ref="H49" si="20">I49-G49</f>
        <v>0</v>
      </c>
      <c r="I49" s="24">
        <v>5224000</v>
      </c>
      <c r="J49" s="24">
        <v>5373670</v>
      </c>
      <c r="K49" s="151"/>
      <c r="L49" s="24"/>
      <c r="M49" s="24"/>
      <c r="N49" s="47"/>
    </row>
    <row r="50" spans="1:14" s="26" customFormat="1" ht="15" customHeight="1" x14ac:dyDescent="0.2">
      <c r="A50" s="435"/>
      <c r="B50" s="433"/>
      <c r="C50" s="360"/>
      <c r="D50" s="361"/>
      <c r="E50" s="8"/>
      <c r="F50" s="9"/>
      <c r="G50" s="151"/>
      <c r="H50" s="24"/>
      <c r="I50" s="24"/>
      <c r="J50" s="24"/>
      <c r="K50" s="151"/>
      <c r="L50" s="24"/>
      <c r="M50" s="24"/>
      <c r="N50" s="47"/>
    </row>
    <row r="51" spans="1:14" s="13" customFormat="1" ht="15" customHeight="1" x14ac:dyDescent="0.2">
      <c r="A51" s="435"/>
      <c r="B51" s="433"/>
      <c r="C51" s="432" t="s">
        <v>46</v>
      </c>
      <c r="D51" s="430" t="s">
        <v>5</v>
      </c>
      <c r="E51" s="431"/>
      <c r="F51" s="16" t="s">
        <v>103</v>
      </c>
      <c r="G51" s="319">
        <f>SUM(G52:G57)</f>
        <v>38337791</v>
      </c>
      <c r="H51" s="319">
        <f t="shared" ref="H51:I51" si="21">SUM(H52:H57)</f>
        <v>0</v>
      </c>
      <c r="I51" s="319">
        <f t="shared" si="21"/>
        <v>38337791</v>
      </c>
      <c r="J51" s="319">
        <f>SUM(J52:J57)</f>
        <v>13209958</v>
      </c>
      <c r="K51" s="319">
        <f>SUM(K52:K57)</f>
        <v>0</v>
      </c>
      <c r="L51" s="319">
        <f t="shared" ref="L51:N51" si="22">SUM(L52:L57)</f>
        <v>0</v>
      </c>
      <c r="M51" s="319">
        <f t="shared" si="22"/>
        <v>0</v>
      </c>
      <c r="N51" s="509">
        <f t="shared" si="22"/>
        <v>0</v>
      </c>
    </row>
    <row r="52" spans="1:14" s="13" customFormat="1" ht="15" customHeight="1" x14ac:dyDescent="0.2">
      <c r="A52" s="435"/>
      <c r="B52" s="433"/>
      <c r="C52" s="433"/>
      <c r="D52" s="361" t="s">
        <v>45</v>
      </c>
      <c r="E52" s="362" t="s">
        <v>333</v>
      </c>
      <c r="F52" s="49"/>
      <c r="G52" s="320">
        <v>12025139</v>
      </c>
      <c r="H52" s="6">
        <f t="shared" ref="H52:H57" si="23">I52-G52</f>
        <v>0</v>
      </c>
      <c r="I52" s="24">
        <v>12025139</v>
      </c>
      <c r="J52" s="24"/>
      <c r="K52" s="320"/>
      <c r="L52" s="24"/>
      <c r="M52" s="24"/>
      <c r="N52" s="47"/>
    </row>
    <row r="53" spans="1:14" s="13" customFormat="1" ht="15" customHeight="1" x14ac:dyDescent="0.2">
      <c r="A53" s="435"/>
      <c r="B53" s="433"/>
      <c r="C53" s="433"/>
      <c r="D53" s="361" t="s">
        <v>46</v>
      </c>
      <c r="E53" s="362" t="s">
        <v>336</v>
      </c>
      <c r="F53" s="49"/>
      <c r="G53" s="320">
        <v>7843901</v>
      </c>
      <c r="H53" s="6">
        <f t="shared" si="23"/>
        <v>0</v>
      </c>
      <c r="I53" s="24">
        <v>7843901</v>
      </c>
      <c r="J53" s="24">
        <v>7843901</v>
      </c>
      <c r="K53" s="320"/>
      <c r="L53" s="24"/>
      <c r="M53" s="24"/>
      <c r="N53" s="47"/>
    </row>
    <row r="54" spans="1:14" s="13" customFormat="1" ht="15" customHeight="1" x14ac:dyDescent="0.2">
      <c r="A54" s="435"/>
      <c r="B54" s="433"/>
      <c r="C54" s="433"/>
      <c r="D54" s="361" t="s">
        <v>47</v>
      </c>
      <c r="E54" s="362" t="s">
        <v>337</v>
      </c>
      <c r="F54" s="49"/>
      <c r="G54" s="320">
        <v>1245870</v>
      </c>
      <c r="H54" s="6">
        <f t="shared" si="23"/>
        <v>0</v>
      </c>
      <c r="I54" s="24">
        <v>1245870</v>
      </c>
      <c r="J54" s="24">
        <v>1245870</v>
      </c>
      <c r="K54" s="320"/>
      <c r="L54" s="24"/>
      <c r="M54" s="24"/>
      <c r="N54" s="47"/>
    </row>
    <row r="55" spans="1:14" s="13" customFormat="1" ht="15" customHeight="1" x14ac:dyDescent="0.2">
      <c r="A55" s="435"/>
      <c r="B55" s="433"/>
      <c r="C55" s="433"/>
      <c r="D55" s="361" t="s">
        <v>48</v>
      </c>
      <c r="E55" s="362" t="s">
        <v>396</v>
      </c>
      <c r="F55" s="49"/>
      <c r="G55" s="320">
        <v>0</v>
      </c>
      <c r="H55" s="6">
        <v>0</v>
      </c>
      <c r="I55" s="24">
        <v>0</v>
      </c>
      <c r="J55" s="24">
        <v>4120187</v>
      </c>
      <c r="K55" s="320"/>
      <c r="L55" s="24"/>
      <c r="M55" s="24"/>
      <c r="N55" s="47"/>
    </row>
    <row r="56" spans="1:14" s="13" customFormat="1" ht="15" customHeight="1" x14ac:dyDescent="0.2">
      <c r="A56" s="435"/>
      <c r="B56" s="433"/>
      <c r="C56" s="433"/>
      <c r="D56" s="361" t="s">
        <v>49</v>
      </c>
      <c r="E56" s="362" t="s">
        <v>334</v>
      </c>
      <c r="F56" s="49"/>
      <c r="G56" s="151">
        <v>2222881</v>
      </c>
      <c r="H56" s="6">
        <f t="shared" si="23"/>
        <v>0</v>
      </c>
      <c r="I56" s="24">
        <v>2222881</v>
      </c>
      <c r="J56" s="24">
        <v>0</v>
      </c>
      <c r="K56" s="151"/>
      <c r="L56" s="24"/>
      <c r="M56" s="24"/>
      <c r="N56" s="47"/>
    </row>
    <row r="57" spans="1:14" s="13" customFormat="1" ht="15" customHeight="1" x14ac:dyDescent="0.2">
      <c r="A57" s="359"/>
      <c r="B57" s="364"/>
      <c r="C57" s="364"/>
      <c r="D57" s="361" t="s">
        <v>56</v>
      </c>
      <c r="E57" s="362" t="s">
        <v>365</v>
      </c>
      <c r="F57" s="49"/>
      <c r="G57" s="320">
        <v>15000000</v>
      </c>
      <c r="H57" s="6">
        <f t="shared" si="23"/>
        <v>0</v>
      </c>
      <c r="I57" s="24">
        <v>15000000</v>
      </c>
      <c r="J57" s="24">
        <v>0</v>
      </c>
      <c r="K57" s="320"/>
      <c r="L57" s="24"/>
      <c r="M57" s="24"/>
      <c r="N57" s="47"/>
    </row>
    <row r="58" spans="1:14" ht="15" customHeight="1" x14ac:dyDescent="0.2">
      <c r="A58" s="447"/>
      <c r="B58" s="455" t="s">
        <v>46</v>
      </c>
      <c r="C58" s="446" t="s">
        <v>6</v>
      </c>
      <c r="D58" s="446"/>
      <c r="E58" s="446"/>
      <c r="F58" s="41"/>
      <c r="G58" s="302">
        <f>SUM(G59:G59)</f>
        <v>0</v>
      </c>
      <c r="H58" s="302">
        <f t="shared" ref="H58:I58" si="24">SUM(H59:H59)</f>
        <v>0</v>
      </c>
      <c r="I58" s="302">
        <f t="shared" si="24"/>
        <v>0</v>
      </c>
      <c r="J58" s="38"/>
      <c r="K58" s="302">
        <f>SUM(K59:K59)</f>
        <v>0</v>
      </c>
      <c r="L58" s="302">
        <f t="shared" ref="L58:N58" si="25">SUM(L59:L59)</f>
        <v>0</v>
      </c>
      <c r="M58" s="302">
        <f t="shared" si="25"/>
        <v>0</v>
      </c>
      <c r="N58" s="46">
        <f t="shared" si="25"/>
        <v>0</v>
      </c>
    </row>
    <row r="59" spans="1:14" ht="15" customHeight="1" x14ac:dyDescent="0.2">
      <c r="A59" s="435"/>
      <c r="B59" s="455"/>
      <c r="C59" s="9" t="s">
        <v>45</v>
      </c>
      <c r="D59" s="456"/>
      <c r="E59" s="457"/>
      <c r="F59" s="9"/>
      <c r="G59" s="151"/>
      <c r="H59" s="24"/>
      <c r="I59" s="24"/>
      <c r="J59" s="24"/>
      <c r="K59" s="151"/>
      <c r="L59" s="24"/>
      <c r="M59" s="24"/>
      <c r="N59" s="47"/>
    </row>
    <row r="60" spans="1:14" s="13" customFormat="1" ht="15" customHeight="1" x14ac:dyDescent="0.2">
      <c r="A60" s="435"/>
      <c r="B60" s="360" t="s">
        <v>47</v>
      </c>
      <c r="C60" s="439" t="s">
        <v>34</v>
      </c>
      <c r="D60" s="440"/>
      <c r="E60" s="441"/>
      <c r="F60" s="41"/>
      <c r="G60" s="302">
        <v>0</v>
      </c>
      <c r="H60" s="38"/>
      <c r="I60" s="38"/>
      <c r="J60" s="38"/>
      <c r="K60" s="302">
        <v>0</v>
      </c>
      <c r="L60" s="302">
        <v>0</v>
      </c>
      <c r="M60" s="302">
        <v>0</v>
      </c>
      <c r="N60" s="46">
        <v>0</v>
      </c>
    </row>
    <row r="61" spans="1:14" ht="18" customHeight="1" thickBot="1" x14ac:dyDescent="0.25">
      <c r="A61" s="448"/>
      <c r="B61" s="494" t="s">
        <v>40</v>
      </c>
      <c r="C61" s="494"/>
      <c r="D61" s="494"/>
      <c r="E61" s="494"/>
      <c r="F61" s="42"/>
      <c r="G61" s="495">
        <f>G47+G58+G60</f>
        <v>43561791</v>
      </c>
      <c r="H61" s="495">
        <f t="shared" ref="H61:J61" si="26">H47+H58+H60</f>
        <v>0</v>
      </c>
      <c r="I61" s="495">
        <f t="shared" si="26"/>
        <v>43561791</v>
      </c>
      <c r="J61" s="495">
        <f t="shared" si="26"/>
        <v>18583628</v>
      </c>
      <c r="K61" s="495">
        <f>K47+K58+K60</f>
        <v>0</v>
      </c>
      <c r="L61" s="495">
        <f t="shared" ref="L61:N61" si="27">L47+L58+L60</f>
        <v>0</v>
      </c>
      <c r="M61" s="495">
        <f t="shared" si="27"/>
        <v>0</v>
      </c>
      <c r="N61" s="510">
        <f t="shared" si="27"/>
        <v>0</v>
      </c>
    </row>
    <row r="62" spans="1:14" s="491" customFormat="1" ht="18" customHeight="1" x14ac:dyDescent="0.2">
      <c r="A62" s="496" t="s">
        <v>47</v>
      </c>
      <c r="B62" s="497" t="s">
        <v>397</v>
      </c>
      <c r="C62" s="499"/>
      <c r="D62" s="499"/>
      <c r="E62" s="499"/>
      <c r="F62" s="498"/>
      <c r="G62" s="490"/>
      <c r="H62" s="490"/>
      <c r="I62" s="490"/>
      <c r="J62" s="490"/>
      <c r="K62" s="490"/>
      <c r="L62" s="490"/>
      <c r="M62" s="490"/>
      <c r="N62" s="511"/>
    </row>
    <row r="63" spans="1:14" s="491" customFormat="1" ht="18" customHeight="1" x14ac:dyDescent="0.2">
      <c r="A63" s="492"/>
      <c r="B63" s="488" t="s">
        <v>45</v>
      </c>
      <c r="C63" s="439" t="s">
        <v>51</v>
      </c>
      <c r="D63" s="440"/>
      <c r="E63" s="441"/>
      <c r="F63" s="48" t="s">
        <v>88</v>
      </c>
      <c r="G63" s="302">
        <f>SUM(G64:G64)</f>
        <v>2000000</v>
      </c>
      <c r="H63" s="302">
        <f t="shared" ref="H63:I63" si="28">SUM(H64:H64)</f>
        <v>0</v>
      </c>
      <c r="I63" s="302">
        <f t="shared" si="28"/>
        <v>2000000</v>
      </c>
      <c r="J63" s="38"/>
      <c r="K63" s="302">
        <f>SUM(K64:K64)</f>
        <v>0</v>
      </c>
      <c r="L63" s="302">
        <f t="shared" ref="L63:N63" si="29">SUM(L64:L64)</f>
        <v>0</v>
      </c>
      <c r="M63" s="302">
        <f t="shared" si="29"/>
        <v>0</v>
      </c>
      <c r="N63" s="46">
        <f t="shared" si="29"/>
        <v>0</v>
      </c>
    </row>
    <row r="64" spans="1:14" s="491" customFormat="1" ht="18" customHeight="1" x14ac:dyDescent="0.2">
      <c r="A64" s="492"/>
      <c r="B64" s="488"/>
      <c r="C64" s="488" t="s">
        <v>45</v>
      </c>
      <c r="D64" s="430" t="s">
        <v>63</v>
      </c>
      <c r="E64" s="431"/>
      <c r="F64" s="489"/>
      <c r="G64" s="501">
        <v>2000000</v>
      </c>
      <c r="H64" s="6">
        <f>I64-G64</f>
        <v>0</v>
      </c>
      <c r="I64" s="24">
        <v>2000000</v>
      </c>
      <c r="J64" s="24">
        <v>0</v>
      </c>
      <c r="K64" s="320"/>
      <c r="L64" s="24"/>
      <c r="M64" s="24"/>
      <c r="N64" s="47"/>
    </row>
    <row r="65" spans="1:14" s="491" customFormat="1" ht="18" customHeight="1" thickBot="1" x14ac:dyDescent="0.25">
      <c r="A65" s="492"/>
      <c r="B65" s="494" t="s">
        <v>25</v>
      </c>
      <c r="C65" s="494"/>
      <c r="D65" s="494"/>
      <c r="E65" s="494"/>
      <c r="F65" s="42"/>
      <c r="G65" s="500">
        <f>G63</f>
        <v>2000000</v>
      </c>
      <c r="H65" s="500">
        <f t="shared" ref="H65:N65" si="30">H63</f>
        <v>0</v>
      </c>
      <c r="I65" s="500">
        <f t="shared" si="30"/>
        <v>2000000</v>
      </c>
      <c r="J65" s="500">
        <f t="shared" si="30"/>
        <v>0</v>
      </c>
      <c r="K65" s="500">
        <f t="shared" si="30"/>
        <v>0</v>
      </c>
      <c r="L65" s="500">
        <f t="shared" si="30"/>
        <v>0</v>
      </c>
      <c r="M65" s="500">
        <f t="shared" si="30"/>
        <v>0</v>
      </c>
      <c r="N65" s="510">
        <f t="shared" si="30"/>
        <v>0</v>
      </c>
    </row>
    <row r="66" spans="1:14" s="491" customFormat="1" ht="18" customHeight="1" thickBot="1" x14ac:dyDescent="0.25">
      <c r="A66" s="493"/>
      <c r="B66" s="488"/>
      <c r="C66" s="488"/>
      <c r="D66" s="488"/>
      <c r="E66" s="488"/>
      <c r="F66" s="489"/>
      <c r="G66" s="490"/>
      <c r="H66" s="490"/>
      <c r="I66" s="490"/>
      <c r="J66" s="490"/>
      <c r="K66" s="490"/>
      <c r="L66" s="490"/>
      <c r="M66" s="490"/>
      <c r="N66" s="511"/>
    </row>
    <row r="67" spans="1:14" ht="21" customHeight="1" thickBot="1" x14ac:dyDescent="0.25">
      <c r="A67" s="57"/>
      <c r="B67" s="454" t="s">
        <v>33</v>
      </c>
      <c r="C67" s="454"/>
      <c r="D67" s="454"/>
      <c r="E67" s="454"/>
      <c r="F67" s="45"/>
      <c r="G67" s="321">
        <f>G45+G61+G65</f>
        <v>511836764</v>
      </c>
      <c r="H67" s="321">
        <f t="shared" ref="H67:N67" si="31">H45+H61+H65</f>
        <v>-10450787</v>
      </c>
      <c r="I67" s="321">
        <f t="shared" si="31"/>
        <v>501385977</v>
      </c>
      <c r="J67" s="321">
        <f t="shared" si="31"/>
        <v>102667332</v>
      </c>
      <c r="K67" s="321">
        <f t="shared" si="31"/>
        <v>0</v>
      </c>
      <c r="L67" s="321">
        <f t="shared" si="31"/>
        <v>1750412</v>
      </c>
      <c r="M67" s="321">
        <f t="shared" si="31"/>
        <v>1750412</v>
      </c>
      <c r="N67" s="321">
        <f t="shared" si="31"/>
        <v>1750412</v>
      </c>
    </row>
    <row r="73" spans="1:14" ht="21" customHeight="1" x14ac:dyDescent="0.2">
      <c r="A73" s="3"/>
    </row>
    <row r="74" spans="1:14" ht="15" customHeight="1" x14ac:dyDescent="0.2">
      <c r="A74" s="3"/>
    </row>
  </sheetData>
  <mergeCells count="47">
    <mergeCell ref="A1:N1"/>
    <mergeCell ref="A2:N2"/>
    <mergeCell ref="A62:A66"/>
    <mergeCell ref="C63:E63"/>
    <mergeCell ref="D64:E64"/>
    <mergeCell ref="B65:E65"/>
    <mergeCell ref="A58:A61"/>
    <mergeCell ref="B58:B59"/>
    <mergeCell ref="C58:E58"/>
    <mergeCell ref="D59:E59"/>
    <mergeCell ref="C60:E60"/>
    <mergeCell ref="B61:E61"/>
    <mergeCell ref="D27:E27"/>
    <mergeCell ref="C30:C38"/>
    <mergeCell ref="D42:E42"/>
    <mergeCell ref="D43:E43"/>
    <mergeCell ref="B67:E67"/>
    <mergeCell ref="C15:C16"/>
    <mergeCell ref="D15:E15"/>
    <mergeCell ref="C13:C14"/>
    <mergeCell ref="C28:C29"/>
    <mergeCell ref="A46:A56"/>
    <mergeCell ref="B46:G46"/>
    <mergeCell ref="B47:B56"/>
    <mergeCell ref="C47:E47"/>
    <mergeCell ref="D48:E48"/>
    <mergeCell ref="C51:C56"/>
    <mergeCell ref="D51:E51"/>
    <mergeCell ref="A44:A45"/>
    <mergeCell ref="C44:E44"/>
    <mergeCell ref="B45:E45"/>
    <mergeCell ref="B26:B43"/>
    <mergeCell ref="C26:E26"/>
    <mergeCell ref="A5:E5"/>
    <mergeCell ref="D13:E13"/>
    <mergeCell ref="C20:C25"/>
    <mergeCell ref="D20:E20"/>
    <mergeCell ref="A6:A43"/>
    <mergeCell ref="B6:G6"/>
    <mergeCell ref="B7:B9"/>
    <mergeCell ref="C7:E7"/>
    <mergeCell ref="D8:E8"/>
    <mergeCell ref="C10:E10"/>
    <mergeCell ref="D11:E11"/>
    <mergeCell ref="D30:E30"/>
    <mergeCell ref="D9:E9"/>
    <mergeCell ref="B10:B25"/>
  </mergeCells>
  <phoneticPr fontId="7" type="noConversion"/>
  <pageMargins left="0.15748031496062992" right="0.19685039370078741" top="0.43307086614173229" bottom="0.39370078740157483" header="0.23622047244094491" footer="0.19685039370078741"/>
  <pageSetup paperSize="9" scale="95" orientation="landscape" r:id="rId1"/>
  <headerFooter alignWithMargins="0">
    <oddHeader>&amp;R6. számú melléklet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FFF51-AA41-4F43-AE05-57A1FA665546}">
  <dimension ref="A1:J19"/>
  <sheetViews>
    <sheetView workbookViewId="0">
      <selection activeCell="L33" sqref="L33"/>
    </sheetView>
  </sheetViews>
  <sheetFormatPr defaultRowHeight="12.75" x14ac:dyDescent="0.2"/>
  <cols>
    <col min="1" max="1" width="5.85546875" style="209" customWidth="1"/>
    <col min="2" max="2" width="30.85546875" style="194" customWidth="1"/>
    <col min="3" max="3" width="14.5703125" style="194" customWidth="1"/>
    <col min="4" max="9" width="11" style="194" customWidth="1"/>
    <col min="10" max="10" width="11.85546875" style="194" customWidth="1"/>
    <col min="11" max="256" width="9.140625" style="194"/>
    <col min="257" max="257" width="5.85546875" style="194" customWidth="1"/>
    <col min="258" max="258" width="30.85546875" style="194" customWidth="1"/>
    <col min="259" max="259" width="14.5703125" style="194" customWidth="1"/>
    <col min="260" max="265" width="11" style="194" customWidth="1"/>
    <col min="266" max="266" width="11.85546875" style="194" customWidth="1"/>
    <col min="267" max="512" width="9.140625" style="194"/>
    <col min="513" max="513" width="5.85546875" style="194" customWidth="1"/>
    <col min="514" max="514" width="30.85546875" style="194" customWidth="1"/>
    <col min="515" max="515" width="14.5703125" style="194" customWidth="1"/>
    <col min="516" max="521" width="11" style="194" customWidth="1"/>
    <col min="522" max="522" width="11.85546875" style="194" customWidth="1"/>
    <col min="523" max="768" width="9.140625" style="194"/>
    <col min="769" max="769" width="5.85546875" style="194" customWidth="1"/>
    <col min="770" max="770" width="30.85546875" style="194" customWidth="1"/>
    <col min="771" max="771" width="14.5703125" style="194" customWidth="1"/>
    <col min="772" max="777" width="11" style="194" customWidth="1"/>
    <col min="778" max="778" width="11.85546875" style="194" customWidth="1"/>
    <col min="779" max="1024" width="9.140625" style="194"/>
    <col min="1025" max="1025" width="5.85546875" style="194" customWidth="1"/>
    <col min="1026" max="1026" width="30.85546875" style="194" customWidth="1"/>
    <col min="1027" max="1027" width="14.5703125" style="194" customWidth="1"/>
    <col min="1028" max="1033" width="11" style="194" customWidth="1"/>
    <col min="1034" max="1034" width="11.85546875" style="194" customWidth="1"/>
    <col min="1035" max="1280" width="9.140625" style="194"/>
    <col min="1281" max="1281" width="5.85546875" style="194" customWidth="1"/>
    <col min="1282" max="1282" width="30.85546875" style="194" customWidth="1"/>
    <col min="1283" max="1283" width="14.5703125" style="194" customWidth="1"/>
    <col min="1284" max="1289" width="11" style="194" customWidth="1"/>
    <col min="1290" max="1290" width="11.85546875" style="194" customWidth="1"/>
    <col min="1291" max="1536" width="9.140625" style="194"/>
    <col min="1537" max="1537" width="5.85546875" style="194" customWidth="1"/>
    <col min="1538" max="1538" width="30.85546875" style="194" customWidth="1"/>
    <col min="1539" max="1539" width="14.5703125" style="194" customWidth="1"/>
    <col min="1540" max="1545" width="11" style="194" customWidth="1"/>
    <col min="1546" max="1546" width="11.85546875" style="194" customWidth="1"/>
    <col min="1547" max="1792" width="9.140625" style="194"/>
    <col min="1793" max="1793" width="5.85546875" style="194" customWidth="1"/>
    <col min="1794" max="1794" width="30.85546875" style="194" customWidth="1"/>
    <col min="1795" max="1795" width="14.5703125" style="194" customWidth="1"/>
    <col min="1796" max="1801" width="11" style="194" customWidth="1"/>
    <col min="1802" max="1802" width="11.85546875" style="194" customWidth="1"/>
    <col min="1803" max="2048" width="9.140625" style="194"/>
    <col min="2049" max="2049" width="5.85546875" style="194" customWidth="1"/>
    <col min="2050" max="2050" width="30.85546875" style="194" customWidth="1"/>
    <col min="2051" max="2051" width="14.5703125" style="194" customWidth="1"/>
    <col min="2052" max="2057" width="11" style="194" customWidth="1"/>
    <col min="2058" max="2058" width="11.85546875" style="194" customWidth="1"/>
    <col min="2059" max="2304" width="9.140625" style="194"/>
    <col min="2305" max="2305" width="5.85546875" style="194" customWidth="1"/>
    <col min="2306" max="2306" width="30.85546875" style="194" customWidth="1"/>
    <col min="2307" max="2307" width="14.5703125" style="194" customWidth="1"/>
    <col min="2308" max="2313" width="11" style="194" customWidth="1"/>
    <col min="2314" max="2314" width="11.85546875" style="194" customWidth="1"/>
    <col min="2315" max="2560" width="9.140625" style="194"/>
    <col min="2561" max="2561" width="5.85546875" style="194" customWidth="1"/>
    <col min="2562" max="2562" width="30.85546875" style="194" customWidth="1"/>
    <col min="2563" max="2563" width="14.5703125" style="194" customWidth="1"/>
    <col min="2564" max="2569" width="11" style="194" customWidth="1"/>
    <col min="2570" max="2570" width="11.85546875" style="194" customWidth="1"/>
    <col min="2571" max="2816" width="9.140625" style="194"/>
    <col min="2817" max="2817" width="5.85546875" style="194" customWidth="1"/>
    <col min="2818" max="2818" width="30.85546875" style="194" customWidth="1"/>
    <col min="2819" max="2819" width="14.5703125" style="194" customWidth="1"/>
    <col min="2820" max="2825" width="11" style="194" customWidth="1"/>
    <col min="2826" max="2826" width="11.85546875" style="194" customWidth="1"/>
    <col min="2827" max="3072" width="9.140625" style="194"/>
    <col min="3073" max="3073" width="5.85546875" style="194" customWidth="1"/>
    <col min="3074" max="3074" width="30.85546875" style="194" customWidth="1"/>
    <col min="3075" max="3075" width="14.5703125" style="194" customWidth="1"/>
    <col min="3076" max="3081" width="11" style="194" customWidth="1"/>
    <col min="3082" max="3082" width="11.85546875" style="194" customWidth="1"/>
    <col min="3083" max="3328" width="9.140625" style="194"/>
    <col min="3329" max="3329" width="5.85546875" style="194" customWidth="1"/>
    <col min="3330" max="3330" width="30.85546875" style="194" customWidth="1"/>
    <col min="3331" max="3331" width="14.5703125" style="194" customWidth="1"/>
    <col min="3332" max="3337" width="11" style="194" customWidth="1"/>
    <col min="3338" max="3338" width="11.85546875" style="194" customWidth="1"/>
    <col min="3339" max="3584" width="9.140625" style="194"/>
    <col min="3585" max="3585" width="5.85546875" style="194" customWidth="1"/>
    <col min="3586" max="3586" width="30.85546875" style="194" customWidth="1"/>
    <col min="3587" max="3587" width="14.5703125" style="194" customWidth="1"/>
    <col min="3588" max="3593" width="11" style="194" customWidth="1"/>
    <col min="3594" max="3594" width="11.85546875" style="194" customWidth="1"/>
    <col min="3595" max="3840" width="9.140625" style="194"/>
    <col min="3841" max="3841" width="5.85546875" style="194" customWidth="1"/>
    <col min="3842" max="3842" width="30.85546875" style="194" customWidth="1"/>
    <col min="3843" max="3843" width="14.5703125" style="194" customWidth="1"/>
    <col min="3844" max="3849" width="11" style="194" customWidth="1"/>
    <col min="3850" max="3850" width="11.85546875" style="194" customWidth="1"/>
    <col min="3851" max="4096" width="9.140625" style="194"/>
    <col min="4097" max="4097" width="5.85546875" style="194" customWidth="1"/>
    <col min="4098" max="4098" width="30.85546875" style="194" customWidth="1"/>
    <col min="4099" max="4099" width="14.5703125" style="194" customWidth="1"/>
    <col min="4100" max="4105" width="11" style="194" customWidth="1"/>
    <col min="4106" max="4106" width="11.85546875" style="194" customWidth="1"/>
    <col min="4107" max="4352" width="9.140625" style="194"/>
    <col min="4353" max="4353" width="5.85546875" style="194" customWidth="1"/>
    <col min="4354" max="4354" width="30.85546875" style="194" customWidth="1"/>
    <col min="4355" max="4355" width="14.5703125" style="194" customWidth="1"/>
    <col min="4356" max="4361" width="11" style="194" customWidth="1"/>
    <col min="4362" max="4362" width="11.85546875" style="194" customWidth="1"/>
    <col min="4363" max="4608" width="9.140625" style="194"/>
    <col min="4609" max="4609" width="5.85546875" style="194" customWidth="1"/>
    <col min="4610" max="4610" width="30.85546875" style="194" customWidth="1"/>
    <col min="4611" max="4611" width="14.5703125" style="194" customWidth="1"/>
    <col min="4612" max="4617" width="11" style="194" customWidth="1"/>
    <col min="4618" max="4618" width="11.85546875" style="194" customWidth="1"/>
    <col min="4619" max="4864" width="9.140625" style="194"/>
    <col min="4865" max="4865" width="5.85546875" style="194" customWidth="1"/>
    <col min="4866" max="4866" width="30.85546875" style="194" customWidth="1"/>
    <col min="4867" max="4867" width="14.5703125" style="194" customWidth="1"/>
    <col min="4868" max="4873" width="11" style="194" customWidth="1"/>
    <col min="4874" max="4874" width="11.85546875" style="194" customWidth="1"/>
    <col min="4875" max="5120" width="9.140625" style="194"/>
    <col min="5121" max="5121" width="5.85546875" style="194" customWidth="1"/>
    <col min="5122" max="5122" width="30.85546875" style="194" customWidth="1"/>
    <col min="5123" max="5123" width="14.5703125" style="194" customWidth="1"/>
    <col min="5124" max="5129" width="11" style="194" customWidth="1"/>
    <col min="5130" max="5130" width="11.85546875" style="194" customWidth="1"/>
    <col min="5131" max="5376" width="9.140625" style="194"/>
    <col min="5377" max="5377" width="5.85546875" style="194" customWidth="1"/>
    <col min="5378" max="5378" width="30.85546875" style="194" customWidth="1"/>
    <col min="5379" max="5379" width="14.5703125" style="194" customWidth="1"/>
    <col min="5380" max="5385" width="11" style="194" customWidth="1"/>
    <col min="5386" max="5386" width="11.85546875" style="194" customWidth="1"/>
    <col min="5387" max="5632" width="9.140625" style="194"/>
    <col min="5633" max="5633" width="5.85546875" style="194" customWidth="1"/>
    <col min="5634" max="5634" width="30.85546875" style="194" customWidth="1"/>
    <col min="5635" max="5635" width="14.5703125" style="194" customWidth="1"/>
    <col min="5636" max="5641" width="11" style="194" customWidth="1"/>
    <col min="5642" max="5642" width="11.85546875" style="194" customWidth="1"/>
    <col min="5643" max="5888" width="9.140625" style="194"/>
    <col min="5889" max="5889" width="5.85546875" style="194" customWidth="1"/>
    <col min="5890" max="5890" width="30.85546875" style="194" customWidth="1"/>
    <col min="5891" max="5891" width="14.5703125" style="194" customWidth="1"/>
    <col min="5892" max="5897" width="11" style="194" customWidth="1"/>
    <col min="5898" max="5898" width="11.85546875" style="194" customWidth="1"/>
    <col min="5899" max="6144" width="9.140625" style="194"/>
    <col min="6145" max="6145" width="5.85546875" style="194" customWidth="1"/>
    <col min="6146" max="6146" width="30.85546875" style="194" customWidth="1"/>
    <col min="6147" max="6147" width="14.5703125" style="194" customWidth="1"/>
    <col min="6148" max="6153" width="11" style="194" customWidth="1"/>
    <col min="6154" max="6154" width="11.85546875" style="194" customWidth="1"/>
    <col min="6155" max="6400" width="9.140625" style="194"/>
    <col min="6401" max="6401" width="5.85546875" style="194" customWidth="1"/>
    <col min="6402" max="6402" width="30.85546875" style="194" customWidth="1"/>
    <col min="6403" max="6403" width="14.5703125" style="194" customWidth="1"/>
    <col min="6404" max="6409" width="11" style="194" customWidth="1"/>
    <col min="6410" max="6410" width="11.85546875" style="194" customWidth="1"/>
    <col min="6411" max="6656" width="9.140625" style="194"/>
    <col min="6657" max="6657" width="5.85546875" style="194" customWidth="1"/>
    <col min="6658" max="6658" width="30.85546875" style="194" customWidth="1"/>
    <col min="6659" max="6659" width="14.5703125" style="194" customWidth="1"/>
    <col min="6660" max="6665" width="11" style="194" customWidth="1"/>
    <col min="6666" max="6666" width="11.85546875" style="194" customWidth="1"/>
    <col min="6667" max="6912" width="9.140625" style="194"/>
    <col min="6913" max="6913" width="5.85546875" style="194" customWidth="1"/>
    <col min="6914" max="6914" width="30.85546875" style="194" customWidth="1"/>
    <col min="6915" max="6915" width="14.5703125" style="194" customWidth="1"/>
    <col min="6916" max="6921" width="11" style="194" customWidth="1"/>
    <col min="6922" max="6922" width="11.85546875" style="194" customWidth="1"/>
    <col min="6923" max="7168" width="9.140625" style="194"/>
    <col min="7169" max="7169" width="5.85546875" style="194" customWidth="1"/>
    <col min="7170" max="7170" width="30.85546875" style="194" customWidth="1"/>
    <col min="7171" max="7171" width="14.5703125" style="194" customWidth="1"/>
    <col min="7172" max="7177" width="11" style="194" customWidth="1"/>
    <col min="7178" max="7178" width="11.85546875" style="194" customWidth="1"/>
    <col min="7179" max="7424" width="9.140625" style="194"/>
    <col min="7425" max="7425" width="5.85546875" style="194" customWidth="1"/>
    <col min="7426" max="7426" width="30.85546875" style="194" customWidth="1"/>
    <col min="7427" max="7427" width="14.5703125" style="194" customWidth="1"/>
    <col min="7428" max="7433" width="11" style="194" customWidth="1"/>
    <col min="7434" max="7434" width="11.85546875" style="194" customWidth="1"/>
    <col min="7435" max="7680" width="9.140625" style="194"/>
    <col min="7681" max="7681" width="5.85546875" style="194" customWidth="1"/>
    <col min="7682" max="7682" width="30.85546875" style="194" customWidth="1"/>
    <col min="7683" max="7683" width="14.5703125" style="194" customWidth="1"/>
    <col min="7684" max="7689" width="11" style="194" customWidth="1"/>
    <col min="7690" max="7690" width="11.85546875" style="194" customWidth="1"/>
    <col min="7691" max="7936" width="9.140625" style="194"/>
    <col min="7937" max="7937" width="5.85546875" style="194" customWidth="1"/>
    <col min="7938" max="7938" width="30.85546875" style="194" customWidth="1"/>
    <col min="7939" max="7939" width="14.5703125" style="194" customWidth="1"/>
    <col min="7940" max="7945" width="11" style="194" customWidth="1"/>
    <col min="7946" max="7946" width="11.85546875" style="194" customWidth="1"/>
    <col min="7947" max="8192" width="9.140625" style="194"/>
    <col min="8193" max="8193" width="5.85546875" style="194" customWidth="1"/>
    <col min="8194" max="8194" width="30.85546875" style="194" customWidth="1"/>
    <col min="8195" max="8195" width="14.5703125" style="194" customWidth="1"/>
    <col min="8196" max="8201" width="11" style="194" customWidth="1"/>
    <col min="8202" max="8202" width="11.85546875" style="194" customWidth="1"/>
    <col min="8203" max="8448" width="9.140625" style="194"/>
    <col min="8449" max="8449" width="5.85546875" style="194" customWidth="1"/>
    <col min="8450" max="8450" width="30.85546875" style="194" customWidth="1"/>
    <col min="8451" max="8451" width="14.5703125" style="194" customWidth="1"/>
    <col min="8452" max="8457" width="11" style="194" customWidth="1"/>
    <col min="8458" max="8458" width="11.85546875" style="194" customWidth="1"/>
    <col min="8459" max="8704" width="9.140625" style="194"/>
    <col min="8705" max="8705" width="5.85546875" style="194" customWidth="1"/>
    <col min="8706" max="8706" width="30.85546875" style="194" customWidth="1"/>
    <col min="8707" max="8707" width="14.5703125" style="194" customWidth="1"/>
    <col min="8708" max="8713" width="11" style="194" customWidth="1"/>
    <col min="8714" max="8714" width="11.85546875" style="194" customWidth="1"/>
    <col min="8715" max="8960" width="9.140625" style="194"/>
    <col min="8961" max="8961" width="5.85546875" style="194" customWidth="1"/>
    <col min="8962" max="8962" width="30.85546875" style="194" customWidth="1"/>
    <col min="8963" max="8963" width="14.5703125" style="194" customWidth="1"/>
    <col min="8964" max="8969" width="11" style="194" customWidth="1"/>
    <col min="8970" max="8970" width="11.85546875" style="194" customWidth="1"/>
    <col min="8971" max="9216" width="9.140625" style="194"/>
    <col min="9217" max="9217" width="5.85546875" style="194" customWidth="1"/>
    <col min="9218" max="9218" width="30.85546875" style="194" customWidth="1"/>
    <col min="9219" max="9219" width="14.5703125" style="194" customWidth="1"/>
    <col min="9220" max="9225" width="11" style="194" customWidth="1"/>
    <col min="9226" max="9226" width="11.85546875" style="194" customWidth="1"/>
    <col min="9227" max="9472" width="9.140625" style="194"/>
    <col min="9473" max="9473" width="5.85546875" style="194" customWidth="1"/>
    <col min="9474" max="9474" width="30.85546875" style="194" customWidth="1"/>
    <col min="9475" max="9475" width="14.5703125" style="194" customWidth="1"/>
    <col min="9476" max="9481" width="11" style="194" customWidth="1"/>
    <col min="9482" max="9482" width="11.85546875" style="194" customWidth="1"/>
    <col min="9483" max="9728" width="9.140625" style="194"/>
    <col min="9729" max="9729" width="5.85546875" style="194" customWidth="1"/>
    <col min="9730" max="9730" width="30.85546875" style="194" customWidth="1"/>
    <col min="9731" max="9731" width="14.5703125" style="194" customWidth="1"/>
    <col min="9732" max="9737" width="11" style="194" customWidth="1"/>
    <col min="9738" max="9738" width="11.85546875" style="194" customWidth="1"/>
    <col min="9739" max="9984" width="9.140625" style="194"/>
    <col min="9985" max="9985" width="5.85546875" style="194" customWidth="1"/>
    <col min="9986" max="9986" width="30.85546875" style="194" customWidth="1"/>
    <col min="9987" max="9987" width="14.5703125" style="194" customWidth="1"/>
    <col min="9988" max="9993" width="11" style="194" customWidth="1"/>
    <col min="9994" max="9994" width="11.85546875" style="194" customWidth="1"/>
    <col min="9995" max="10240" width="9.140625" style="194"/>
    <col min="10241" max="10241" width="5.85546875" style="194" customWidth="1"/>
    <col min="10242" max="10242" width="30.85546875" style="194" customWidth="1"/>
    <col min="10243" max="10243" width="14.5703125" style="194" customWidth="1"/>
    <col min="10244" max="10249" width="11" style="194" customWidth="1"/>
    <col min="10250" max="10250" width="11.85546875" style="194" customWidth="1"/>
    <col min="10251" max="10496" width="9.140625" style="194"/>
    <col min="10497" max="10497" width="5.85546875" style="194" customWidth="1"/>
    <col min="10498" max="10498" width="30.85546875" style="194" customWidth="1"/>
    <col min="10499" max="10499" width="14.5703125" style="194" customWidth="1"/>
    <col min="10500" max="10505" width="11" style="194" customWidth="1"/>
    <col min="10506" max="10506" width="11.85546875" style="194" customWidth="1"/>
    <col min="10507" max="10752" width="9.140625" style="194"/>
    <col min="10753" max="10753" width="5.85546875" style="194" customWidth="1"/>
    <col min="10754" max="10754" width="30.85546875" style="194" customWidth="1"/>
    <col min="10755" max="10755" width="14.5703125" style="194" customWidth="1"/>
    <col min="10756" max="10761" width="11" style="194" customWidth="1"/>
    <col min="10762" max="10762" width="11.85546875" style="194" customWidth="1"/>
    <col min="10763" max="11008" width="9.140625" style="194"/>
    <col min="11009" max="11009" width="5.85546875" style="194" customWidth="1"/>
    <col min="11010" max="11010" width="30.85546875" style="194" customWidth="1"/>
    <col min="11011" max="11011" width="14.5703125" style="194" customWidth="1"/>
    <col min="11012" max="11017" width="11" style="194" customWidth="1"/>
    <col min="11018" max="11018" width="11.85546875" style="194" customWidth="1"/>
    <col min="11019" max="11264" width="9.140625" style="194"/>
    <col min="11265" max="11265" width="5.85546875" style="194" customWidth="1"/>
    <col min="11266" max="11266" width="30.85546875" style="194" customWidth="1"/>
    <col min="11267" max="11267" width="14.5703125" style="194" customWidth="1"/>
    <col min="11268" max="11273" width="11" style="194" customWidth="1"/>
    <col min="11274" max="11274" width="11.85546875" style="194" customWidth="1"/>
    <col min="11275" max="11520" width="9.140625" style="194"/>
    <col min="11521" max="11521" width="5.85546875" style="194" customWidth="1"/>
    <col min="11522" max="11522" width="30.85546875" style="194" customWidth="1"/>
    <col min="11523" max="11523" width="14.5703125" style="194" customWidth="1"/>
    <col min="11524" max="11529" width="11" style="194" customWidth="1"/>
    <col min="11530" max="11530" width="11.85546875" style="194" customWidth="1"/>
    <col min="11531" max="11776" width="9.140625" style="194"/>
    <col min="11777" max="11777" width="5.85546875" style="194" customWidth="1"/>
    <col min="11778" max="11778" width="30.85546875" style="194" customWidth="1"/>
    <col min="11779" max="11779" width="14.5703125" style="194" customWidth="1"/>
    <col min="11780" max="11785" width="11" style="194" customWidth="1"/>
    <col min="11786" max="11786" width="11.85546875" style="194" customWidth="1"/>
    <col min="11787" max="12032" width="9.140625" style="194"/>
    <col min="12033" max="12033" width="5.85546875" style="194" customWidth="1"/>
    <col min="12034" max="12034" width="30.85546875" style="194" customWidth="1"/>
    <col min="12035" max="12035" width="14.5703125" style="194" customWidth="1"/>
    <col min="12036" max="12041" width="11" style="194" customWidth="1"/>
    <col min="12042" max="12042" width="11.85546875" style="194" customWidth="1"/>
    <col min="12043" max="12288" width="9.140625" style="194"/>
    <col min="12289" max="12289" width="5.85546875" style="194" customWidth="1"/>
    <col min="12290" max="12290" width="30.85546875" style="194" customWidth="1"/>
    <col min="12291" max="12291" width="14.5703125" style="194" customWidth="1"/>
    <col min="12292" max="12297" width="11" style="194" customWidth="1"/>
    <col min="12298" max="12298" width="11.85546875" style="194" customWidth="1"/>
    <col min="12299" max="12544" width="9.140625" style="194"/>
    <col min="12545" max="12545" width="5.85546875" style="194" customWidth="1"/>
    <col min="12546" max="12546" width="30.85546875" style="194" customWidth="1"/>
    <col min="12547" max="12547" width="14.5703125" style="194" customWidth="1"/>
    <col min="12548" max="12553" width="11" style="194" customWidth="1"/>
    <col min="12554" max="12554" width="11.85546875" style="194" customWidth="1"/>
    <col min="12555" max="12800" width="9.140625" style="194"/>
    <col min="12801" max="12801" width="5.85546875" style="194" customWidth="1"/>
    <col min="12802" max="12802" width="30.85546875" style="194" customWidth="1"/>
    <col min="12803" max="12803" width="14.5703125" style="194" customWidth="1"/>
    <col min="12804" max="12809" width="11" style="194" customWidth="1"/>
    <col min="12810" max="12810" width="11.85546875" style="194" customWidth="1"/>
    <col min="12811" max="13056" width="9.140625" style="194"/>
    <col min="13057" max="13057" width="5.85546875" style="194" customWidth="1"/>
    <col min="13058" max="13058" width="30.85546875" style="194" customWidth="1"/>
    <col min="13059" max="13059" width="14.5703125" style="194" customWidth="1"/>
    <col min="13060" max="13065" width="11" style="194" customWidth="1"/>
    <col min="13066" max="13066" width="11.85546875" style="194" customWidth="1"/>
    <col min="13067" max="13312" width="9.140625" style="194"/>
    <col min="13313" max="13313" width="5.85546875" style="194" customWidth="1"/>
    <col min="13314" max="13314" width="30.85546875" style="194" customWidth="1"/>
    <col min="13315" max="13315" width="14.5703125" style="194" customWidth="1"/>
    <col min="13316" max="13321" width="11" style="194" customWidth="1"/>
    <col min="13322" max="13322" width="11.85546875" style="194" customWidth="1"/>
    <col min="13323" max="13568" width="9.140625" style="194"/>
    <col min="13569" max="13569" width="5.85546875" style="194" customWidth="1"/>
    <col min="13570" max="13570" width="30.85546875" style="194" customWidth="1"/>
    <col min="13571" max="13571" width="14.5703125" style="194" customWidth="1"/>
    <col min="13572" max="13577" width="11" style="194" customWidth="1"/>
    <col min="13578" max="13578" width="11.85546875" style="194" customWidth="1"/>
    <col min="13579" max="13824" width="9.140625" style="194"/>
    <col min="13825" max="13825" width="5.85546875" style="194" customWidth="1"/>
    <col min="13826" max="13826" width="30.85546875" style="194" customWidth="1"/>
    <col min="13827" max="13827" width="14.5703125" style="194" customWidth="1"/>
    <col min="13828" max="13833" width="11" style="194" customWidth="1"/>
    <col min="13834" max="13834" width="11.85546875" style="194" customWidth="1"/>
    <col min="13835" max="14080" width="9.140625" style="194"/>
    <col min="14081" max="14081" width="5.85546875" style="194" customWidth="1"/>
    <col min="14082" max="14082" width="30.85546875" style="194" customWidth="1"/>
    <col min="14083" max="14083" width="14.5703125" style="194" customWidth="1"/>
    <col min="14084" max="14089" width="11" style="194" customWidth="1"/>
    <col min="14090" max="14090" width="11.85546875" style="194" customWidth="1"/>
    <col min="14091" max="14336" width="9.140625" style="194"/>
    <col min="14337" max="14337" width="5.85546875" style="194" customWidth="1"/>
    <col min="14338" max="14338" width="30.85546875" style="194" customWidth="1"/>
    <col min="14339" max="14339" width="14.5703125" style="194" customWidth="1"/>
    <col min="14340" max="14345" width="11" style="194" customWidth="1"/>
    <col min="14346" max="14346" width="11.85546875" style="194" customWidth="1"/>
    <col min="14347" max="14592" width="9.140625" style="194"/>
    <col min="14593" max="14593" width="5.85546875" style="194" customWidth="1"/>
    <col min="14594" max="14594" width="30.85546875" style="194" customWidth="1"/>
    <col min="14595" max="14595" width="14.5703125" style="194" customWidth="1"/>
    <col min="14596" max="14601" width="11" style="194" customWidth="1"/>
    <col min="14602" max="14602" width="11.85546875" style="194" customWidth="1"/>
    <col min="14603" max="14848" width="9.140625" style="194"/>
    <col min="14849" max="14849" width="5.85546875" style="194" customWidth="1"/>
    <col min="14850" max="14850" width="30.85546875" style="194" customWidth="1"/>
    <col min="14851" max="14851" width="14.5703125" style="194" customWidth="1"/>
    <col min="14852" max="14857" width="11" style="194" customWidth="1"/>
    <col min="14858" max="14858" width="11.85546875" style="194" customWidth="1"/>
    <col min="14859" max="15104" width="9.140625" style="194"/>
    <col min="15105" max="15105" width="5.85546875" style="194" customWidth="1"/>
    <col min="15106" max="15106" width="30.85546875" style="194" customWidth="1"/>
    <col min="15107" max="15107" width="14.5703125" style="194" customWidth="1"/>
    <col min="15108" max="15113" width="11" style="194" customWidth="1"/>
    <col min="15114" max="15114" width="11.85546875" style="194" customWidth="1"/>
    <col min="15115" max="15360" width="9.140625" style="194"/>
    <col min="15361" max="15361" width="5.85546875" style="194" customWidth="1"/>
    <col min="15362" max="15362" width="30.85546875" style="194" customWidth="1"/>
    <col min="15363" max="15363" width="14.5703125" style="194" customWidth="1"/>
    <col min="15364" max="15369" width="11" style="194" customWidth="1"/>
    <col min="15370" max="15370" width="11.85546875" style="194" customWidth="1"/>
    <col min="15371" max="15616" width="9.140625" style="194"/>
    <col min="15617" max="15617" width="5.85546875" style="194" customWidth="1"/>
    <col min="15618" max="15618" width="30.85546875" style="194" customWidth="1"/>
    <col min="15619" max="15619" width="14.5703125" style="194" customWidth="1"/>
    <col min="15620" max="15625" width="11" style="194" customWidth="1"/>
    <col min="15626" max="15626" width="11.85546875" style="194" customWidth="1"/>
    <col min="15627" max="15872" width="9.140625" style="194"/>
    <col min="15873" max="15873" width="5.85546875" style="194" customWidth="1"/>
    <col min="15874" max="15874" width="30.85546875" style="194" customWidth="1"/>
    <col min="15875" max="15875" width="14.5703125" style="194" customWidth="1"/>
    <col min="15876" max="15881" width="11" style="194" customWidth="1"/>
    <col min="15882" max="15882" width="11.85546875" style="194" customWidth="1"/>
    <col min="15883" max="16128" width="9.140625" style="194"/>
    <col min="16129" max="16129" width="5.85546875" style="194" customWidth="1"/>
    <col min="16130" max="16130" width="30.85546875" style="194" customWidth="1"/>
    <col min="16131" max="16131" width="14.5703125" style="194" customWidth="1"/>
    <col min="16132" max="16137" width="11" style="194" customWidth="1"/>
    <col min="16138" max="16138" width="11.85546875" style="194" customWidth="1"/>
    <col min="16139" max="16384" width="9.140625" style="194"/>
  </cols>
  <sheetData>
    <row r="1" spans="1:10" ht="14.25" thickBot="1" x14ac:dyDescent="0.25">
      <c r="J1" s="94"/>
    </row>
    <row r="2" spans="1:10" s="213" customFormat="1" ht="14.25" x14ac:dyDescent="0.2">
      <c r="A2" s="460" t="s">
        <v>120</v>
      </c>
      <c r="B2" s="462" t="s">
        <v>343</v>
      </c>
      <c r="C2" s="462" t="s">
        <v>344</v>
      </c>
      <c r="D2" s="462" t="s">
        <v>345</v>
      </c>
      <c r="E2" s="462" t="s">
        <v>363</v>
      </c>
      <c r="F2" s="210" t="s">
        <v>346</v>
      </c>
      <c r="G2" s="211"/>
      <c r="H2" s="211"/>
      <c r="I2" s="212"/>
      <c r="J2" s="458" t="s">
        <v>347</v>
      </c>
    </row>
    <row r="3" spans="1:10" s="217" customFormat="1" ht="24.75" thickBot="1" x14ac:dyDescent="0.25">
      <c r="A3" s="461"/>
      <c r="B3" s="463"/>
      <c r="C3" s="463"/>
      <c r="D3" s="464"/>
      <c r="E3" s="464"/>
      <c r="F3" s="214" t="s">
        <v>359</v>
      </c>
      <c r="G3" s="215" t="s">
        <v>360</v>
      </c>
      <c r="H3" s="215" t="s">
        <v>361</v>
      </c>
      <c r="I3" s="216" t="s">
        <v>362</v>
      </c>
      <c r="J3" s="459"/>
    </row>
    <row r="4" spans="1:10" s="222" customFormat="1" ht="11.25" thickBot="1" x14ac:dyDescent="0.25">
      <c r="A4" s="218">
        <v>1</v>
      </c>
      <c r="B4" s="219">
        <v>2</v>
      </c>
      <c r="C4" s="220">
        <v>3</v>
      </c>
      <c r="D4" s="220">
        <v>4</v>
      </c>
      <c r="E4" s="220">
        <v>5</v>
      </c>
      <c r="F4" s="220">
        <v>6</v>
      </c>
      <c r="G4" s="220">
        <v>7</v>
      </c>
      <c r="H4" s="220">
        <v>8</v>
      </c>
      <c r="I4" s="220">
        <v>9</v>
      </c>
      <c r="J4" s="221" t="s">
        <v>348</v>
      </c>
    </row>
    <row r="5" spans="1:10" ht="21" x14ac:dyDescent="0.2">
      <c r="A5" s="223" t="s">
        <v>45</v>
      </c>
      <c r="B5" s="224" t="s">
        <v>349</v>
      </c>
      <c r="C5" s="225"/>
      <c r="D5" s="226">
        <f t="shared" ref="D5:I5" si="0">SUM(D6:D7)</f>
        <v>0</v>
      </c>
      <c r="E5" s="226">
        <f t="shared" si="0"/>
        <v>0</v>
      </c>
      <c r="F5" s="226">
        <f t="shared" si="0"/>
        <v>0</v>
      </c>
      <c r="G5" s="226">
        <f t="shared" si="0"/>
        <v>0</v>
      </c>
      <c r="H5" s="226">
        <f t="shared" si="0"/>
        <v>0</v>
      </c>
      <c r="I5" s="227">
        <f t="shared" si="0"/>
        <v>0</v>
      </c>
      <c r="J5" s="228">
        <f t="shared" ref="J5:J18" si="1">SUM(F5:I5)</f>
        <v>0</v>
      </c>
    </row>
    <row r="6" spans="1:10" x14ac:dyDescent="0.2">
      <c r="A6" s="229" t="s">
        <v>46</v>
      </c>
      <c r="B6" s="230" t="s">
        <v>350</v>
      </c>
      <c r="C6" s="231"/>
      <c r="D6" s="232"/>
      <c r="E6" s="232"/>
      <c r="F6" s="232"/>
      <c r="G6" s="232"/>
      <c r="H6" s="232"/>
      <c r="I6" s="233"/>
      <c r="J6" s="234">
        <f t="shared" si="1"/>
        <v>0</v>
      </c>
    </row>
    <row r="7" spans="1:10" x14ac:dyDescent="0.2">
      <c r="A7" s="229" t="s">
        <v>47</v>
      </c>
      <c r="B7" s="230" t="s">
        <v>350</v>
      </c>
      <c r="C7" s="231"/>
      <c r="D7" s="232"/>
      <c r="E7" s="232"/>
      <c r="F7" s="232"/>
      <c r="G7" s="232"/>
      <c r="H7" s="232"/>
      <c r="I7" s="233"/>
      <c r="J7" s="234">
        <f t="shared" si="1"/>
        <v>0</v>
      </c>
    </row>
    <row r="8" spans="1:10" ht="21" x14ac:dyDescent="0.2">
      <c r="A8" s="229" t="s">
        <v>48</v>
      </c>
      <c r="B8" s="235" t="s">
        <v>351</v>
      </c>
      <c r="C8" s="236"/>
      <c r="D8" s="237">
        <f t="shared" ref="D8:I8" si="2">SUM(D9:D10)</f>
        <v>456636043</v>
      </c>
      <c r="E8" s="237">
        <f t="shared" si="2"/>
        <v>3414222</v>
      </c>
      <c r="F8" s="237">
        <f t="shared" si="2"/>
        <v>6828444</v>
      </c>
      <c r="G8" s="237">
        <f t="shared" si="2"/>
        <v>6772778</v>
      </c>
      <c r="H8" s="237">
        <f t="shared" si="2"/>
        <v>39851175</v>
      </c>
      <c r="I8" s="238">
        <f t="shared" si="2"/>
        <v>403183646</v>
      </c>
      <c r="J8" s="239">
        <f t="shared" si="1"/>
        <v>456636043</v>
      </c>
    </row>
    <row r="9" spans="1:10" x14ac:dyDescent="0.2">
      <c r="A9" s="229" t="s">
        <v>49</v>
      </c>
      <c r="B9" s="230" t="s">
        <v>352</v>
      </c>
      <c r="C9" s="231">
        <v>2019</v>
      </c>
      <c r="D9" s="232">
        <v>400000000</v>
      </c>
      <c r="E9" s="254">
        <v>0</v>
      </c>
      <c r="F9" s="254">
        <v>0</v>
      </c>
      <c r="G9" s="254">
        <v>0</v>
      </c>
      <c r="H9" s="254">
        <v>33334000</v>
      </c>
      <c r="I9" s="255">
        <v>366666000</v>
      </c>
      <c r="J9" s="234">
        <f t="shared" si="1"/>
        <v>400000000</v>
      </c>
    </row>
    <row r="10" spans="1:10" x14ac:dyDescent="0.2">
      <c r="A10" s="229" t="s">
        <v>56</v>
      </c>
      <c r="B10" s="230" t="s">
        <v>353</v>
      </c>
      <c r="C10" s="231">
        <v>2019</v>
      </c>
      <c r="D10" s="232">
        <v>56636043</v>
      </c>
      <c r="E10" s="232">
        <v>3414222</v>
      </c>
      <c r="F10" s="232">
        <v>6828444</v>
      </c>
      <c r="G10" s="232">
        <v>6772778</v>
      </c>
      <c r="H10" s="232">
        <v>6517175</v>
      </c>
      <c r="I10" s="233">
        <v>36517646</v>
      </c>
      <c r="J10" s="234">
        <f t="shared" si="1"/>
        <v>56636043</v>
      </c>
    </row>
    <row r="11" spans="1:10" x14ac:dyDescent="0.2">
      <c r="A11" s="229" t="s">
        <v>58</v>
      </c>
      <c r="B11" s="240" t="s">
        <v>354</v>
      </c>
      <c r="C11" s="236"/>
      <c r="D11" s="237">
        <f t="shared" ref="D11:I11" si="3">SUM(D12:D12)</f>
        <v>0</v>
      </c>
      <c r="E11" s="237">
        <f t="shared" si="3"/>
        <v>0</v>
      </c>
      <c r="F11" s="237">
        <f t="shared" si="3"/>
        <v>0</v>
      </c>
      <c r="G11" s="237">
        <f t="shared" si="3"/>
        <v>0</v>
      </c>
      <c r="H11" s="237">
        <f t="shared" si="3"/>
        <v>0</v>
      </c>
      <c r="I11" s="238">
        <f t="shared" si="3"/>
        <v>0</v>
      </c>
      <c r="J11" s="239">
        <f t="shared" si="1"/>
        <v>0</v>
      </c>
    </row>
    <row r="12" spans="1:10" ht="21" customHeight="1" x14ac:dyDescent="0.2">
      <c r="A12" s="229" t="s">
        <v>59</v>
      </c>
      <c r="B12" s="230"/>
      <c r="C12" s="231"/>
      <c r="D12" s="232"/>
      <c r="E12" s="232"/>
      <c r="F12" s="232"/>
      <c r="G12" s="232"/>
      <c r="H12" s="232"/>
      <c r="I12" s="233"/>
      <c r="J12" s="234">
        <f t="shared" si="1"/>
        <v>0</v>
      </c>
    </row>
    <row r="13" spans="1:10" ht="21" customHeight="1" x14ac:dyDescent="0.2">
      <c r="A13" s="229"/>
      <c r="B13" s="230"/>
      <c r="C13" s="231"/>
      <c r="D13" s="232"/>
      <c r="E13" s="232">
        <v>0</v>
      </c>
      <c r="F13" s="232"/>
      <c r="G13" s="232"/>
      <c r="H13" s="232"/>
      <c r="I13" s="233"/>
      <c r="J13" s="234">
        <f t="shared" si="1"/>
        <v>0</v>
      </c>
    </row>
    <row r="14" spans="1:10" x14ac:dyDescent="0.2">
      <c r="A14" s="229" t="s">
        <v>60</v>
      </c>
      <c r="B14" s="240" t="s">
        <v>358</v>
      </c>
      <c r="C14" s="236"/>
      <c r="D14" s="237">
        <f t="shared" ref="D14:I14" si="4">SUM(D15:D15)</f>
        <v>456636043</v>
      </c>
      <c r="E14" s="237">
        <f t="shared" si="4"/>
        <v>3414222</v>
      </c>
      <c r="F14" s="237">
        <f t="shared" si="4"/>
        <v>6828444</v>
      </c>
      <c r="G14" s="237">
        <f t="shared" si="4"/>
        <v>6772778</v>
      </c>
      <c r="H14" s="237">
        <f t="shared" si="4"/>
        <v>39851175</v>
      </c>
      <c r="I14" s="238">
        <f t="shared" si="4"/>
        <v>403183646</v>
      </c>
      <c r="J14" s="239">
        <f t="shared" si="1"/>
        <v>456636043</v>
      </c>
    </row>
    <row r="15" spans="1:10" x14ac:dyDescent="0.2">
      <c r="A15" s="229" t="s">
        <v>61</v>
      </c>
      <c r="B15" s="230" t="s">
        <v>357</v>
      </c>
      <c r="C15" s="231">
        <v>2019</v>
      </c>
      <c r="D15" s="232">
        <v>456636043</v>
      </c>
      <c r="E15" s="232">
        <f>E8</f>
        <v>3414222</v>
      </c>
      <c r="F15" s="232">
        <f t="shared" ref="F15:I15" si="5">F8</f>
        <v>6828444</v>
      </c>
      <c r="G15" s="232">
        <f t="shared" si="5"/>
        <v>6772778</v>
      </c>
      <c r="H15" s="232">
        <f t="shared" si="5"/>
        <v>39851175</v>
      </c>
      <c r="I15" s="232">
        <f t="shared" si="5"/>
        <v>403183646</v>
      </c>
      <c r="J15" s="234">
        <f t="shared" si="1"/>
        <v>456636043</v>
      </c>
    </row>
    <row r="16" spans="1:10" ht="21" customHeight="1" x14ac:dyDescent="0.2">
      <c r="A16" s="241" t="s">
        <v>29</v>
      </c>
      <c r="B16" s="242" t="s">
        <v>355</v>
      </c>
      <c r="C16" s="243"/>
      <c r="D16" s="244">
        <f t="shared" ref="D16:I16" si="6">SUM(D17:D18)</f>
        <v>0</v>
      </c>
      <c r="E16" s="244">
        <f t="shared" si="6"/>
        <v>0</v>
      </c>
      <c r="F16" s="244">
        <f t="shared" si="6"/>
        <v>0</v>
      </c>
      <c r="G16" s="244">
        <f t="shared" si="6"/>
        <v>0</v>
      </c>
      <c r="H16" s="244">
        <f t="shared" si="6"/>
        <v>0</v>
      </c>
      <c r="I16" s="245">
        <f t="shared" si="6"/>
        <v>0</v>
      </c>
      <c r="J16" s="239">
        <f t="shared" si="1"/>
        <v>0</v>
      </c>
    </row>
    <row r="17" spans="1:10" x14ac:dyDescent="0.2">
      <c r="A17" s="241" t="s">
        <v>30</v>
      </c>
      <c r="B17" s="230" t="s">
        <v>350</v>
      </c>
      <c r="C17" s="231"/>
      <c r="D17" s="232"/>
      <c r="E17" s="232"/>
      <c r="F17" s="232"/>
      <c r="G17" s="232"/>
      <c r="H17" s="232"/>
      <c r="I17" s="233"/>
      <c r="J17" s="234">
        <f t="shared" si="1"/>
        <v>0</v>
      </c>
    </row>
    <row r="18" spans="1:10" ht="13.5" thickBot="1" x14ac:dyDescent="0.25">
      <c r="A18" s="241" t="s">
        <v>36</v>
      </c>
      <c r="B18" s="230" t="s">
        <v>350</v>
      </c>
      <c r="C18" s="246"/>
      <c r="D18" s="247"/>
      <c r="E18" s="247"/>
      <c r="F18" s="247"/>
      <c r="G18" s="247"/>
      <c r="H18" s="247"/>
      <c r="I18" s="248"/>
      <c r="J18" s="234">
        <f t="shared" si="1"/>
        <v>0</v>
      </c>
    </row>
    <row r="19" spans="1:10" ht="13.5" thickBot="1" x14ac:dyDescent="0.25">
      <c r="A19" s="249" t="s">
        <v>31</v>
      </c>
      <c r="B19" s="250" t="s">
        <v>356</v>
      </c>
      <c r="C19" s="251"/>
      <c r="D19" s="252">
        <f>D5+D8+D11</f>
        <v>456636043</v>
      </c>
      <c r="E19" s="252">
        <f t="shared" ref="E19:I19" si="7">E5+E8+E11</f>
        <v>3414222</v>
      </c>
      <c r="F19" s="252">
        <f t="shared" si="7"/>
        <v>6828444</v>
      </c>
      <c r="G19" s="252">
        <f t="shared" si="7"/>
        <v>6772778</v>
      </c>
      <c r="H19" s="252">
        <f t="shared" si="7"/>
        <v>39851175</v>
      </c>
      <c r="I19" s="252">
        <f t="shared" si="7"/>
        <v>403183646</v>
      </c>
      <c r="J19" s="253">
        <f>J5+J8+J11</f>
        <v>456636043</v>
      </c>
    </row>
  </sheetData>
  <mergeCells count="6">
    <mergeCell ref="J2:J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&amp;R7.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4</vt:i4>
      </vt:variant>
    </vt:vector>
  </HeadingPairs>
  <TitlesOfParts>
    <vt:vector size="15" baseType="lpstr">
      <vt:lpstr>1. Bevételek</vt:lpstr>
      <vt:lpstr>1.1.Bevételek (KÖT, ÖNV,Áll.i)</vt:lpstr>
      <vt:lpstr>2. Kiadások</vt:lpstr>
      <vt:lpstr>2.1.Kiadások (KÖT, ÖNV, Áll.i)</vt:lpstr>
      <vt:lpstr>3.Működési mérleg</vt:lpstr>
      <vt:lpstr>4. Felhalmozási mérleg</vt:lpstr>
      <vt:lpstr>5. Pénzeszköz átadás</vt:lpstr>
      <vt:lpstr>6 .Felhalmozási k.</vt:lpstr>
      <vt:lpstr>7. Kötelezettség</vt:lpstr>
      <vt:lpstr>8. Létszám</vt:lpstr>
      <vt:lpstr>9. Adósságk.</vt:lpstr>
      <vt:lpstr>'1. Bevételek'!Nyomtatási_cím</vt:lpstr>
      <vt:lpstr>'2. Kiadások'!Nyomtatási_cím</vt:lpstr>
      <vt:lpstr>'1. Bevételek'!Nyomtatási_terület</vt:lpstr>
      <vt:lpstr>'2. Kiadások'!Nyomtatási_terület</vt:lpstr>
    </vt:vector>
  </TitlesOfParts>
  <Company>Budaörs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Magyarne.Olgi</cp:lastModifiedBy>
  <cp:lastPrinted>2019-10-03T09:20:45Z</cp:lastPrinted>
  <dcterms:created xsi:type="dcterms:W3CDTF">2005-12-27T13:42:28Z</dcterms:created>
  <dcterms:modified xsi:type="dcterms:W3CDTF">2019-10-03T09:21:36Z</dcterms:modified>
</cp:coreProperties>
</file>