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csiny.Andrea\Desktop\2019 május\2019. május\2. NP. Zárszámadás\"/>
    </mc:Choice>
  </mc:AlternateContent>
  <xr:revisionPtr revIDLastSave="0" documentId="13_ncr:1_{EE98C624-6321-4BE2-9AF5-8146C18DE4BA}" xr6:coauthVersionLast="43" xr6:coauthVersionMax="43" xr10:uidLastSave="{00000000-0000-0000-0000-000000000000}"/>
  <bookViews>
    <workbookView xWindow="3120" yWindow="3120" windowWidth="21600" windowHeight="11385" xr2:uid="{00000000-000D-0000-FFFF-FFFF00000000}"/>
  </bookViews>
  <sheets>
    <sheet name="Ktvetési mérleg" sheetId="128" r:id="rId1"/>
    <sheet name="Műk-felh.mérleg" sheetId="139" r:id="rId2"/>
    <sheet name="Bevétel össz." sheetId="92" r:id="rId3"/>
    <sheet name="Kiadás ktgvszervenként" sheetId="134" r:id="rId4"/>
    <sheet name="Állami" sheetId="91" r:id="rId5"/>
    <sheet name="Ber.-felú." sheetId="97" r:id="rId6"/>
    <sheet name="Pénze.átadás" sheetId="95" r:id="rId7"/>
    <sheet name="Szoc.jutt." sheetId="94" r:id="rId8"/>
    <sheet name="Önkormányzat" sheetId="123" r:id="rId9"/>
    <sheet name="Óvoda" sheetId="132" r:id="rId10"/>
    <sheet name="Ei. felh.terv" sheetId="138" r:id="rId11"/>
    <sheet name="Élelm." sheetId="100" r:id="rId12"/>
    <sheet name="Címrend" sheetId="140" r:id="rId13"/>
    <sheet name="Létszám" sheetId="141" r:id="rId14"/>
    <sheet name="gördülő" sheetId="142" r:id="rId15"/>
    <sheet name="stab.tv saját bevétel" sheetId="143" r:id="rId16"/>
    <sheet name="Maradványkimutatás önkormányzat" sheetId="145" r:id="rId17"/>
    <sheet name="Maradványkimutatás Óvoda" sheetId="147" r:id="rId18"/>
    <sheet name="Önkormányzat vagyonmérleg" sheetId="148" r:id="rId19"/>
    <sheet name="Óvoda vagyonmérleg" sheetId="149" r:id="rId20"/>
  </sheets>
  <externalReferences>
    <externalReference r:id="rId21"/>
  </externalReferences>
  <definedNames>
    <definedName name="_xlnm.Print_Area" localSheetId="4">Állami!$A$1:$L$36</definedName>
    <definedName name="_xlnm.Print_Area" localSheetId="5">'Ber.-felú.'!$A$1:$J$99</definedName>
    <definedName name="_xlnm.Print_Area" localSheetId="12">Címrend!$A$1:$C$10</definedName>
    <definedName name="_xlnm.Print_Area" localSheetId="10">'Ei. felh.terv'!$A$1:$N$36</definedName>
    <definedName name="_xlnm.Print_Area" localSheetId="14">gördülő!$A$1:$E$44</definedName>
    <definedName name="_xlnm.Print_Area" localSheetId="3">'Kiadás ktgvszervenként'!$A$1:$U$30</definedName>
    <definedName name="_xlnm.Print_Area" localSheetId="9">Óvoda!$A$1:$J$132</definedName>
    <definedName name="_xlnm.Print_Area" localSheetId="7">'Szoc.jutt.'!$A$1:$L$39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28" l="1"/>
  <c r="Q24" i="139"/>
  <c r="P32" i="128" s="1"/>
  <c r="H26" i="139"/>
  <c r="H30" i="128" s="1"/>
  <c r="T53" i="92"/>
  <c r="R53" i="92" s="1"/>
  <c r="H18" i="139"/>
  <c r="H20" i="139" s="1"/>
  <c r="V51" i="92"/>
  <c r="V33" i="92"/>
  <c r="V31" i="92"/>
  <c r="V45" i="92"/>
  <c r="V41" i="92"/>
  <c r="X39" i="92"/>
  <c r="T39" i="92"/>
  <c r="S46" i="92"/>
  <c r="R46" i="92" s="1"/>
  <c r="S52" i="92"/>
  <c r="R52" i="92" s="1"/>
  <c r="S48" i="92"/>
  <c r="R48" i="92" s="1"/>
  <c r="S38" i="92"/>
  <c r="R38" i="92" s="1"/>
  <c r="S39" i="92"/>
  <c r="S37" i="92"/>
  <c r="R37" i="92" s="1"/>
  <c r="S43" i="92"/>
  <c r="R43" i="92" s="1"/>
  <c r="S47" i="92"/>
  <c r="S49" i="92" s="1"/>
  <c r="R49" i="92" s="1"/>
  <c r="T30" i="92"/>
  <c r="T35" i="92"/>
  <c r="T40" i="92" s="1"/>
  <c r="T50" i="92" s="1"/>
  <c r="T55" i="92" s="1"/>
  <c r="S32" i="92"/>
  <c r="S40" i="92" s="1"/>
  <c r="R40" i="92" s="1"/>
  <c r="H9" i="139" s="1"/>
  <c r="H18" i="128" s="1"/>
  <c r="S33" i="92"/>
  <c r="R33" i="92" s="1"/>
  <c r="S34" i="92"/>
  <c r="R34" i="92" s="1"/>
  <c r="S35" i="92"/>
  <c r="R35" i="92" s="1"/>
  <c r="S36" i="92"/>
  <c r="R39" i="92"/>
  <c r="S31" i="92"/>
  <c r="S23" i="92"/>
  <c r="S24" i="92"/>
  <c r="R24" i="92" s="1"/>
  <c r="S25" i="92"/>
  <c r="S26" i="92"/>
  <c r="R26" i="92" s="1"/>
  <c r="S27" i="92"/>
  <c r="S28" i="92"/>
  <c r="R28" i="92" s="1"/>
  <c r="S29" i="92"/>
  <c r="S22" i="92"/>
  <c r="R22" i="92" s="1"/>
  <c r="R4" i="92"/>
  <c r="R6" i="92"/>
  <c r="R8" i="92"/>
  <c r="R10" i="92"/>
  <c r="R11" i="92"/>
  <c r="R12" i="92"/>
  <c r="R13" i="92"/>
  <c r="R14" i="92"/>
  <c r="H5" i="139" s="1"/>
  <c r="H4" i="128" s="1"/>
  <c r="R16" i="92"/>
  <c r="R17" i="92"/>
  <c r="R18" i="92"/>
  <c r="R19" i="92"/>
  <c r="R20" i="92"/>
  <c r="R23" i="92"/>
  <c r="R25" i="92"/>
  <c r="R27" i="92"/>
  <c r="R29" i="92"/>
  <c r="R31" i="92"/>
  <c r="R32" i="92"/>
  <c r="R36" i="92"/>
  <c r="R41" i="92"/>
  <c r="R42" i="92"/>
  <c r="R44" i="92"/>
  <c r="R45" i="92"/>
  <c r="R47" i="92"/>
  <c r="R51" i="92"/>
  <c r="R54" i="92"/>
  <c r="S14" i="92"/>
  <c r="M7" i="92"/>
  <c r="S4" i="92"/>
  <c r="S5" i="92"/>
  <c r="R5" i="92" s="1"/>
  <c r="S6" i="92"/>
  <c r="S7" i="92"/>
  <c r="R7" i="92" s="1"/>
  <c r="S8" i="92"/>
  <c r="R3" i="92"/>
  <c r="S3" i="92"/>
  <c r="W16" i="134"/>
  <c r="Q19" i="139" s="1"/>
  <c r="P14" i="128" s="1"/>
  <c r="S15" i="134"/>
  <c r="S20" i="134" s="1"/>
  <c r="S7" i="134"/>
  <c r="P26" i="134"/>
  <c r="X26" i="134" s="1"/>
  <c r="O26" i="134"/>
  <c r="W26" i="134" s="1"/>
  <c r="Q27" i="139" s="1"/>
  <c r="P33" i="128" s="1"/>
  <c r="O25" i="134"/>
  <c r="W25" i="134" s="1"/>
  <c r="O24" i="134"/>
  <c r="W24" i="134" s="1"/>
  <c r="Q26" i="139" s="1"/>
  <c r="P30" i="128" s="1"/>
  <c r="O23" i="134"/>
  <c r="W23" i="134" s="1"/>
  <c r="O21" i="134"/>
  <c r="W21" i="134" s="1"/>
  <c r="Q13" i="139" s="1"/>
  <c r="O16" i="134"/>
  <c r="O15" i="134"/>
  <c r="O13" i="134"/>
  <c r="W13" i="134" s="1"/>
  <c r="Q11" i="139" s="1"/>
  <c r="P10" i="128" s="1"/>
  <c r="O12" i="134"/>
  <c r="W12" i="134" s="1"/>
  <c r="Q10" i="139" s="1"/>
  <c r="P9" i="128" s="1"/>
  <c r="O11" i="134"/>
  <c r="W11" i="134" s="1"/>
  <c r="Q9" i="139" s="1"/>
  <c r="P8" i="128" s="1"/>
  <c r="O10" i="134"/>
  <c r="W10" i="134" s="1"/>
  <c r="Q8" i="139" s="1"/>
  <c r="O9" i="134"/>
  <c r="W9" i="134" s="1"/>
  <c r="Q7" i="139" s="1"/>
  <c r="P6" i="128" s="1"/>
  <c r="O8" i="134"/>
  <c r="O7" i="134"/>
  <c r="W7" i="134" s="1"/>
  <c r="Q5" i="139" s="1"/>
  <c r="P4" i="128" s="1"/>
  <c r="J36" i="91"/>
  <c r="J32" i="91"/>
  <c r="I89" i="97"/>
  <c r="H89" i="97"/>
  <c r="H91" i="97" s="1"/>
  <c r="I61" i="97"/>
  <c r="H61" i="97"/>
  <c r="I34" i="97"/>
  <c r="H34" i="97"/>
  <c r="H24" i="97"/>
  <c r="I24" i="97"/>
  <c r="G24" i="97"/>
  <c r="H61" i="95"/>
  <c r="H59" i="95"/>
  <c r="K37" i="94"/>
  <c r="J26" i="94"/>
  <c r="K9" i="94"/>
  <c r="J9" i="94"/>
  <c r="J38" i="94" s="1"/>
  <c r="H115" i="132"/>
  <c r="H125" i="132" s="1"/>
  <c r="H130" i="132" s="1"/>
  <c r="G115" i="132"/>
  <c r="I115" i="132"/>
  <c r="H62" i="132"/>
  <c r="H56" i="132"/>
  <c r="H52" i="132"/>
  <c r="H44" i="132"/>
  <c r="H41" i="132"/>
  <c r="H63" i="132" s="1"/>
  <c r="S8" i="134" s="1"/>
  <c r="H22" i="132"/>
  <c r="H18" i="132"/>
  <c r="H136" i="123"/>
  <c r="G133" i="123"/>
  <c r="H133" i="123"/>
  <c r="I133" i="123"/>
  <c r="G130" i="123"/>
  <c r="H130" i="123"/>
  <c r="I130" i="123"/>
  <c r="I127" i="123"/>
  <c r="H127" i="123"/>
  <c r="H117" i="123"/>
  <c r="I108" i="123"/>
  <c r="H108" i="123"/>
  <c r="S21" i="92" s="1"/>
  <c r="H96" i="123"/>
  <c r="H102" i="123" s="1"/>
  <c r="H137" i="123" s="1"/>
  <c r="H142" i="123" s="1"/>
  <c r="H69" i="123"/>
  <c r="H61" i="123"/>
  <c r="H55" i="123"/>
  <c r="H51" i="123"/>
  <c r="H43" i="123"/>
  <c r="H40" i="123"/>
  <c r="H62" i="123" s="1"/>
  <c r="H22" i="123"/>
  <c r="H18" i="123"/>
  <c r="W8" i="134" l="1"/>
  <c r="Q6" i="139" s="1"/>
  <c r="P5" i="128" s="1"/>
  <c r="Q12" i="139"/>
  <c r="P7" i="128"/>
  <c r="Q15" i="139"/>
  <c r="P19" i="128"/>
  <c r="O20" i="134"/>
  <c r="W15" i="134"/>
  <c r="S9" i="92"/>
  <c r="S30" i="92"/>
  <c r="R30" i="92" s="1"/>
  <c r="H8" i="139" s="1"/>
  <c r="H23" i="123"/>
  <c r="H23" i="132"/>
  <c r="H66" i="97"/>
  <c r="H6" i="128"/>
  <c r="P11" i="128"/>
  <c r="R21" i="92"/>
  <c r="X53" i="92"/>
  <c r="X35" i="92"/>
  <c r="V52" i="92"/>
  <c r="V47" i="92"/>
  <c r="V39" i="92"/>
  <c r="Z39" i="92" s="1"/>
  <c r="V38" i="92"/>
  <c r="U38" i="92" s="1"/>
  <c r="Z38" i="92" s="1"/>
  <c r="V37" i="92"/>
  <c r="Z37" i="92" s="1"/>
  <c r="V36" i="92"/>
  <c r="V35" i="92"/>
  <c r="V32" i="92"/>
  <c r="U32" i="92" s="1"/>
  <c r="V20" i="92"/>
  <c r="V16" i="92"/>
  <c r="U16" i="92" s="1"/>
  <c r="V23" i="92"/>
  <c r="U23" i="92" s="1"/>
  <c r="V24" i="92"/>
  <c r="U24" i="92" s="1"/>
  <c r="V25" i="92"/>
  <c r="U25" i="92" s="1"/>
  <c r="V26" i="92"/>
  <c r="U26" i="92" s="1"/>
  <c r="V27" i="92"/>
  <c r="U27" i="92" s="1"/>
  <c r="V28" i="92"/>
  <c r="U28" i="92" s="1"/>
  <c r="V29" i="92"/>
  <c r="U29" i="92" s="1"/>
  <c r="V22" i="92"/>
  <c r="U22" i="92" s="1"/>
  <c r="V14" i="92"/>
  <c r="V4" i="92"/>
  <c r="U4" i="92" s="1"/>
  <c r="V5" i="92"/>
  <c r="U5" i="92" s="1"/>
  <c r="V6" i="92"/>
  <c r="U6" i="92" s="1"/>
  <c r="V7" i="92"/>
  <c r="U7" i="92" s="1"/>
  <c r="V8" i="92"/>
  <c r="U8" i="92" s="1"/>
  <c r="V3" i="92"/>
  <c r="U3" i="92" s="1"/>
  <c r="O53" i="92"/>
  <c r="L53" i="92" s="1"/>
  <c r="O35" i="92"/>
  <c r="M52" i="92"/>
  <c r="M47" i="92"/>
  <c r="M33" i="92"/>
  <c r="L33" i="92" s="1"/>
  <c r="M34" i="92"/>
  <c r="L34" i="92" s="1"/>
  <c r="M35" i="92"/>
  <c r="M36" i="92"/>
  <c r="M37" i="92"/>
  <c r="M38" i="92"/>
  <c r="L38" i="92" s="1"/>
  <c r="Q38" i="92" s="1"/>
  <c r="M39" i="92"/>
  <c r="M32" i="92"/>
  <c r="L32" i="92" s="1"/>
  <c r="M23" i="92"/>
  <c r="H10" i="128" s="1"/>
  <c r="M24" i="92"/>
  <c r="M25" i="92"/>
  <c r="H12" i="128" s="1"/>
  <c r="M26" i="92"/>
  <c r="M27" i="92"/>
  <c r="H14" i="128" s="1"/>
  <c r="M28" i="92"/>
  <c r="M29" i="92"/>
  <c r="H16" i="128" s="1"/>
  <c r="M22" i="92"/>
  <c r="M14" i="92"/>
  <c r="M6" i="92"/>
  <c r="Q6" i="92" s="1"/>
  <c r="M5" i="92"/>
  <c r="L5" i="92" s="1"/>
  <c r="M4" i="92"/>
  <c r="L4" i="92" s="1"/>
  <c r="M3" i="92"/>
  <c r="L3" i="92" s="1"/>
  <c r="V54" i="92"/>
  <c r="Z54" i="92" s="1"/>
  <c r="Y53" i="92"/>
  <c r="W53" i="92"/>
  <c r="Y52" i="92"/>
  <c r="X52" i="92"/>
  <c r="W52" i="92"/>
  <c r="Y49" i="92"/>
  <c r="X49" i="92"/>
  <c r="W49" i="92"/>
  <c r="V48" i="92"/>
  <c r="U48" i="92" s="1"/>
  <c r="Y46" i="92"/>
  <c r="X46" i="92"/>
  <c r="W46" i="92"/>
  <c r="V44" i="92"/>
  <c r="Z44" i="92" s="1"/>
  <c r="Y43" i="92"/>
  <c r="X43" i="92"/>
  <c r="W43" i="92"/>
  <c r="V42" i="92"/>
  <c r="Z42" i="92" s="1"/>
  <c r="W38" i="92"/>
  <c r="X36" i="92"/>
  <c r="Z36" i="92" s="1"/>
  <c r="Y34" i="92"/>
  <c r="Y40" i="92" s="1"/>
  <c r="V34" i="92"/>
  <c r="Z34" i="92" s="1"/>
  <c r="W32" i="92"/>
  <c r="W40" i="92" s="1"/>
  <c r="Z32" i="92"/>
  <c r="U31" i="92"/>
  <c r="Y30" i="92"/>
  <c r="X30" i="92"/>
  <c r="W30" i="92"/>
  <c r="Z26" i="92"/>
  <c r="Z22" i="92"/>
  <c r="Y20" i="92"/>
  <c r="Y21" i="92" s="1"/>
  <c r="X20" i="92"/>
  <c r="X21" i="92" s="1"/>
  <c r="W20" i="92"/>
  <c r="W21" i="92" s="1"/>
  <c r="V19" i="92"/>
  <c r="V18" i="92"/>
  <c r="Z18" i="92" s="1"/>
  <c r="V17" i="92"/>
  <c r="U17" i="92" s="1"/>
  <c r="Y14" i="92"/>
  <c r="X14" i="92"/>
  <c r="W14" i="92"/>
  <c r="V13" i="92"/>
  <c r="V12" i="92"/>
  <c r="Z12" i="92" s="1"/>
  <c r="V11" i="92"/>
  <c r="V10" i="92"/>
  <c r="U10" i="92" s="1"/>
  <c r="Y9" i="92"/>
  <c r="X9" i="92"/>
  <c r="W9" i="92"/>
  <c r="M54" i="92"/>
  <c r="Q54" i="92" s="1"/>
  <c r="P53" i="92"/>
  <c r="N53" i="92"/>
  <c r="P52" i="92"/>
  <c r="O52" i="92"/>
  <c r="N52" i="92"/>
  <c r="M51" i="92"/>
  <c r="Q51" i="92" s="1"/>
  <c r="P49" i="92"/>
  <c r="O49" i="92"/>
  <c r="N49" i="92"/>
  <c r="M48" i="92"/>
  <c r="P46" i="92"/>
  <c r="O46" i="92"/>
  <c r="N46" i="92"/>
  <c r="M45" i="92"/>
  <c r="L45" i="92" s="1"/>
  <c r="M44" i="92"/>
  <c r="Q44" i="92" s="1"/>
  <c r="P43" i="92"/>
  <c r="O43" i="92"/>
  <c r="N43" i="92"/>
  <c r="M42" i="92"/>
  <c r="L42" i="92" s="1"/>
  <c r="M41" i="92"/>
  <c r="N38" i="92"/>
  <c r="O36" i="92"/>
  <c r="O40" i="92" s="1"/>
  <c r="P34" i="92"/>
  <c r="P40" i="92" s="1"/>
  <c r="N32" i="92"/>
  <c r="N40" i="92" s="1"/>
  <c r="M31" i="92"/>
  <c r="L31" i="92" s="1"/>
  <c r="P30" i="92"/>
  <c r="O30" i="92"/>
  <c r="N30" i="92"/>
  <c r="I8" i="139" s="1"/>
  <c r="P20" i="92"/>
  <c r="P21" i="92" s="1"/>
  <c r="O20" i="92"/>
  <c r="O21" i="92" s="1"/>
  <c r="N20" i="92"/>
  <c r="N21" i="92" s="1"/>
  <c r="M19" i="92"/>
  <c r="M18" i="92"/>
  <c r="Q18" i="92" s="1"/>
  <c r="M17" i="92"/>
  <c r="P14" i="92"/>
  <c r="O14" i="92"/>
  <c r="N14" i="92"/>
  <c r="M13" i="92"/>
  <c r="M12" i="92"/>
  <c r="Q12" i="92" s="1"/>
  <c r="M11" i="92"/>
  <c r="M10" i="92"/>
  <c r="L10" i="92" s="1"/>
  <c r="P9" i="92"/>
  <c r="O9" i="92"/>
  <c r="N9" i="92"/>
  <c r="V17" i="134"/>
  <c r="V18" i="134"/>
  <c r="V19" i="134"/>
  <c r="T15" i="134"/>
  <c r="T20" i="134" s="1"/>
  <c r="R15" i="134"/>
  <c r="R20" i="134" s="1"/>
  <c r="T7" i="134"/>
  <c r="R7" i="134"/>
  <c r="P25" i="134"/>
  <c r="X25" i="134" s="1"/>
  <c r="Q25" i="139" s="1"/>
  <c r="P31" i="128" s="1"/>
  <c r="N25" i="134"/>
  <c r="V25" i="134" s="1"/>
  <c r="P25" i="139" s="1"/>
  <c r="O31" i="128" s="1"/>
  <c r="P24" i="134"/>
  <c r="X24" i="134" s="1"/>
  <c r="N24" i="134"/>
  <c r="V24" i="134" s="1"/>
  <c r="P26" i="139" s="1"/>
  <c r="O30" i="128" s="1"/>
  <c r="P23" i="134"/>
  <c r="X23" i="134" s="1"/>
  <c r="N23" i="134"/>
  <c r="V23" i="134" s="1"/>
  <c r="P24" i="139" s="1"/>
  <c r="P21" i="134"/>
  <c r="N21" i="134"/>
  <c r="V21" i="134" s="1"/>
  <c r="P13" i="139" s="1"/>
  <c r="P16" i="134"/>
  <c r="X16" i="134" s="1"/>
  <c r="N16" i="134"/>
  <c r="V16" i="134" s="1"/>
  <c r="P19" i="139" s="1"/>
  <c r="O14" i="128" s="1"/>
  <c r="P15" i="134"/>
  <c r="P20" i="134" s="1"/>
  <c r="N15" i="134"/>
  <c r="N20" i="134" s="1"/>
  <c r="P12" i="134"/>
  <c r="X12" i="134" s="1"/>
  <c r="N12" i="134"/>
  <c r="V12" i="134" s="1"/>
  <c r="P10" i="139" s="1"/>
  <c r="O9" i="128" s="1"/>
  <c r="P13" i="134"/>
  <c r="X13" i="134" s="1"/>
  <c r="N13" i="134"/>
  <c r="V13" i="134" s="1"/>
  <c r="P11" i="139" s="1"/>
  <c r="O10" i="128" s="1"/>
  <c r="P11" i="134"/>
  <c r="X11" i="134" s="1"/>
  <c r="N11" i="134"/>
  <c r="V11" i="134" s="1"/>
  <c r="P9" i="139" s="1"/>
  <c r="O8" i="128" s="1"/>
  <c r="P10" i="134"/>
  <c r="X10" i="134" s="1"/>
  <c r="N10" i="134"/>
  <c r="V10" i="134" s="1"/>
  <c r="P8" i="139" s="1"/>
  <c r="P9" i="134"/>
  <c r="X9" i="134" s="1"/>
  <c r="N9" i="134"/>
  <c r="V9" i="134" s="1"/>
  <c r="I8" i="134"/>
  <c r="J8" i="134"/>
  <c r="K8" i="134"/>
  <c r="P7" i="134"/>
  <c r="N7" i="134"/>
  <c r="I91" i="97"/>
  <c r="I7" i="97"/>
  <c r="I66" i="97" s="1"/>
  <c r="G89" i="97"/>
  <c r="G91" i="97" s="1"/>
  <c r="G7" i="97"/>
  <c r="G61" i="97"/>
  <c r="G34" i="97"/>
  <c r="L48" i="92" l="1"/>
  <c r="G23" i="139" s="1"/>
  <c r="G24" i="128" s="1"/>
  <c r="H23" i="139"/>
  <c r="H24" i="128" s="1"/>
  <c r="G28" i="128"/>
  <c r="H27" i="139"/>
  <c r="Q28" i="139"/>
  <c r="Q29" i="139" s="1"/>
  <c r="H76" i="123"/>
  <c r="H81" i="123" s="1"/>
  <c r="O6" i="134"/>
  <c r="Q18" i="139"/>
  <c r="P13" i="128" s="1"/>
  <c r="W20" i="134"/>
  <c r="V40" i="92"/>
  <c r="Z6" i="92"/>
  <c r="Z24" i="92"/>
  <c r="Z28" i="92"/>
  <c r="L22" i="92"/>
  <c r="G9" i="128" s="1"/>
  <c r="H9" i="128"/>
  <c r="L28" i="92"/>
  <c r="G15" i="128" s="1"/>
  <c r="H15" i="128"/>
  <c r="L26" i="92"/>
  <c r="L24" i="92"/>
  <c r="L47" i="92"/>
  <c r="G22" i="139" s="1"/>
  <c r="H22" i="139"/>
  <c r="S6" i="134"/>
  <c r="S14" i="134" s="1"/>
  <c r="S22" i="134" s="1"/>
  <c r="S27" i="134" s="1"/>
  <c r="H76" i="132"/>
  <c r="H80" i="132" s="1"/>
  <c r="R9" i="92"/>
  <c r="H4" i="139" s="1"/>
  <c r="S15" i="92"/>
  <c r="Q32" i="92"/>
  <c r="Z23" i="92"/>
  <c r="Z25" i="92"/>
  <c r="Z27" i="92"/>
  <c r="Z29" i="92"/>
  <c r="L14" i="92"/>
  <c r="G5" i="139" s="1"/>
  <c r="G4" i="128" s="1"/>
  <c r="X40" i="92"/>
  <c r="G66" i="97"/>
  <c r="G99" i="97" s="1"/>
  <c r="I99" i="97"/>
  <c r="V7" i="134"/>
  <c r="P5" i="139" s="1"/>
  <c r="O4" i="128" s="1"/>
  <c r="X7" i="134"/>
  <c r="U36" i="92"/>
  <c r="Q4" i="92"/>
  <c r="Q33" i="92"/>
  <c r="Z4" i="92"/>
  <c r="Z8" i="92"/>
  <c r="Q24" i="92"/>
  <c r="M9" i="92"/>
  <c r="L9" i="92" s="1"/>
  <c r="G4" i="139" s="1"/>
  <c r="G6" i="139" s="1"/>
  <c r="Q5" i="92"/>
  <c r="Q8" i="92"/>
  <c r="Q28" i="92"/>
  <c r="L36" i="92"/>
  <c r="Q42" i="92"/>
  <c r="Q45" i="92"/>
  <c r="Q46" i="92" s="1"/>
  <c r="Q47" i="92"/>
  <c r="Q48" i="92"/>
  <c r="Z5" i="92"/>
  <c r="Z7" i="92"/>
  <c r="U52" i="92"/>
  <c r="Z52" i="92" s="1"/>
  <c r="Q22" i="92"/>
  <c r="Q26" i="92"/>
  <c r="Q31" i="92"/>
  <c r="Q34" i="92"/>
  <c r="V9" i="92"/>
  <c r="U9" i="92" s="1"/>
  <c r="V21" i="92"/>
  <c r="U21" i="92" s="1"/>
  <c r="Z48" i="92"/>
  <c r="O7" i="128"/>
  <c r="O11" i="128" s="1"/>
  <c r="P12" i="139"/>
  <c r="O19" i="128"/>
  <c r="P15" i="139"/>
  <c r="P28" i="139"/>
  <c r="O32" i="128"/>
  <c r="G26" i="139"/>
  <c r="Q53" i="92"/>
  <c r="V15" i="134"/>
  <c r="N15" i="92"/>
  <c r="N50" i="92" s="1"/>
  <c r="N55" i="92" s="1"/>
  <c r="P15" i="92"/>
  <c r="P50" i="92" s="1"/>
  <c r="P55" i="92" s="1"/>
  <c r="Q36" i="92"/>
  <c r="Z11" i="92"/>
  <c r="U11" i="92"/>
  <c r="Z13" i="92"/>
  <c r="U13" i="92"/>
  <c r="X15" i="92"/>
  <c r="X50" i="92" s="1"/>
  <c r="X55" i="92" s="1"/>
  <c r="Z33" i="92"/>
  <c r="U33" i="92"/>
  <c r="Z41" i="92"/>
  <c r="Z43" i="92" s="1"/>
  <c r="U41" i="92"/>
  <c r="Z45" i="92"/>
  <c r="Z46" i="92" s="1"/>
  <c r="U45" i="92"/>
  <c r="G23" i="128"/>
  <c r="G25" i="128" s="1"/>
  <c r="G24" i="139"/>
  <c r="L54" i="92"/>
  <c r="L52" i="92"/>
  <c r="L18" i="92"/>
  <c r="L6" i="92"/>
  <c r="U35" i="92"/>
  <c r="U54" i="92"/>
  <c r="U42" i="92"/>
  <c r="U34" i="92"/>
  <c r="U18" i="92"/>
  <c r="U14" i="92"/>
  <c r="X15" i="134"/>
  <c r="X20" i="134" s="1"/>
  <c r="Q7" i="92"/>
  <c r="L7" i="92"/>
  <c r="Q11" i="92"/>
  <c r="L11" i="92"/>
  <c r="Q13" i="92"/>
  <c r="L13" i="92"/>
  <c r="O15" i="92"/>
  <c r="O50" i="92" s="1"/>
  <c r="O55" i="92" s="1"/>
  <c r="M20" i="92"/>
  <c r="L20" i="92" s="1"/>
  <c r="L17" i="92"/>
  <c r="Q19" i="92"/>
  <c r="L19" i="92"/>
  <c r="Q41" i="92"/>
  <c r="L41" i="92"/>
  <c r="W15" i="92"/>
  <c r="W50" i="92" s="1"/>
  <c r="W55" i="92" s="1"/>
  <c r="Y15" i="92"/>
  <c r="Y50" i="92" s="1"/>
  <c r="Y55" i="92" s="1"/>
  <c r="Z19" i="92"/>
  <c r="U19" i="92"/>
  <c r="Z31" i="92"/>
  <c r="Z51" i="92"/>
  <c r="U51" i="92"/>
  <c r="Q29" i="92"/>
  <c r="L29" i="92"/>
  <c r="G16" i="128" s="1"/>
  <c r="Q27" i="92"/>
  <c r="L27" i="92"/>
  <c r="G14" i="128" s="1"/>
  <c r="Q25" i="92"/>
  <c r="L25" i="92"/>
  <c r="G12" i="128" s="1"/>
  <c r="Q23" i="92"/>
  <c r="L23" i="92"/>
  <c r="G10" i="128" s="1"/>
  <c r="G17" i="128" s="1"/>
  <c r="Q39" i="92"/>
  <c r="L39" i="92"/>
  <c r="Q37" i="92"/>
  <c r="L37" i="92"/>
  <c r="Q35" i="92"/>
  <c r="L35" i="92"/>
  <c r="L51" i="92"/>
  <c r="L44" i="92"/>
  <c r="L12" i="92"/>
  <c r="Z47" i="92"/>
  <c r="U47" i="92"/>
  <c r="U44" i="92"/>
  <c r="U20" i="92"/>
  <c r="U12" i="92"/>
  <c r="U53" i="92"/>
  <c r="Z53" i="92" s="1"/>
  <c r="U39" i="92"/>
  <c r="U37" i="92"/>
  <c r="Z35" i="92"/>
  <c r="M40" i="92"/>
  <c r="L40" i="92" s="1"/>
  <c r="Z3" i="92"/>
  <c r="Z10" i="92"/>
  <c r="Z17" i="92"/>
  <c r="V30" i="92"/>
  <c r="V43" i="92"/>
  <c r="U43" i="92" s="1"/>
  <c r="V46" i="92"/>
  <c r="U46" i="92" s="1"/>
  <c r="V49" i="92"/>
  <c r="U49" i="92" s="1"/>
  <c r="Q3" i="92"/>
  <c r="Q10" i="92"/>
  <c r="Q14" i="92" s="1"/>
  <c r="Q17" i="92"/>
  <c r="M30" i="92"/>
  <c r="L30" i="92" s="1"/>
  <c r="G8" i="139" s="1"/>
  <c r="M43" i="92"/>
  <c r="L43" i="92" s="1"/>
  <c r="M46" i="92"/>
  <c r="L46" i="92" s="1"/>
  <c r="M49" i="92"/>
  <c r="L49" i="92" s="1"/>
  <c r="I32" i="91"/>
  <c r="I36" i="91" s="1"/>
  <c r="K32" i="91"/>
  <c r="K36" i="91" s="1"/>
  <c r="G61" i="95"/>
  <c r="I61" i="95"/>
  <c r="R15" i="92" l="1"/>
  <c r="S50" i="92"/>
  <c r="H23" i="128"/>
  <c r="H25" i="128" s="1"/>
  <c r="H24" i="139"/>
  <c r="H17" i="128"/>
  <c r="O14" i="134"/>
  <c r="O22" i="134" s="1"/>
  <c r="O27" i="134" s="1"/>
  <c r="W6" i="134"/>
  <c r="H28" i="128"/>
  <c r="H28" i="139"/>
  <c r="Z49" i="92"/>
  <c r="H3" i="128"/>
  <c r="H5" i="128" s="1"/>
  <c r="H6" i="139"/>
  <c r="H16" i="139" s="1"/>
  <c r="Z30" i="92"/>
  <c r="U40" i="92"/>
  <c r="Q9" i="92"/>
  <c r="Z14" i="92"/>
  <c r="Q43" i="92"/>
  <c r="Z9" i="92"/>
  <c r="Q30" i="92"/>
  <c r="Q40" i="92"/>
  <c r="M15" i="92"/>
  <c r="L15" i="92" s="1"/>
  <c r="G3" i="128"/>
  <c r="G5" i="128" s="1"/>
  <c r="Q49" i="92"/>
  <c r="Q20" i="92"/>
  <c r="Q21" i="92" s="1"/>
  <c r="Z20" i="92"/>
  <c r="Z21" i="92" s="1"/>
  <c r="V15" i="92"/>
  <c r="U15" i="92" s="1"/>
  <c r="Z40" i="92"/>
  <c r="G9" i="139"/>
  <c r="G18" i="128"/>
  <c r="G27" i="139"/>
  <c r="Q52" i="92"/>
  <c r="G16" i="139"/>
  <c r="G30" i="128"/>
  <c r="G28" i="139"/>
  <c r="U30" i="92"/>
  <c r="Z15" i="92"/>
  <c r="P18" i="139"/>
  <c r="V20" i="134"/>
  <c r="Q15" i="92"/>
  <c r="K26" i="94"/>
  <c r="G37" i="94"/>
  <c r="H37" i="94"/>
  <c r="I37" i="94"/>
  <c r="K38" i="94"/>
  <c r="G26" i="94"/>
  <c r="H26" i="94"/>
  <c r="I26" i="94"/>
  <c r="I38" i="94" s="1"/>
  <c r="G125" i="132"/>
  <c r="G130" i="132" s="1"/>
  <c r="I125" i="132"/>
  <c r="I130" i="132" s="1"/>
  <c r="G62" i="132"/>
  <c r="I62" i="132"/>
  <c r="G56" i="132"/>
  <c r="I56" i="132"/>
  <c r="J56" i="132"/>
  <c r="G52" i="132"/>
  <c r="I52" i="132"/>
  <c r="G44" i="132"/>
  <c r="I44" i="132"/>
  <c r="G41" i="132"/>
  <c r="I41" i="132"/>
  <c r="G22" i="132"/>
  <c r="I22" i="132"/>
  <c r="G18" i="132"/>
  <c r="G23" i="132" s="1"/>
  <c r="I18" i="132"/>
  <c r="I23" i="132" s="1"/>
  <c r="G136" i="123"/>
  <c r="I136" i="123"/>
  <c r="G127" i="123"/>
  <c r="I117" i="123"/>
  <c r="G117" i="123"/>
  <c r="G108" i="123"/>
  <c r="M16" i="92" s="1"/>
  <c r="G96" i="123"/>
  <c r="G102" i="123" s="1"/>
  <c r="G137" i="123" s="1"/>
  <c r="G142" i="123" s="1"/>
  <c r="I96" i="123"/>
  <c r="I102" i="123" s="1"/>
  <c r="I69" i="123"/>
  <c r="G69" i="123"/>
  <c r="I61" i="123"/>
  <c r="G61" i="123"/>
  <c r="I55" i="123"/>
  <c r="G55" i="123"/>
  <c r="I51" i="123"/>
  <c r="G51" i="123"/>
  <c r="I43" i="123"/>
  <c r="G43" i="123"/>
  <c r="I40" i="123"/>
  <c r="G40" i="123"/>
  <c r="G62" i="123" s="1"/>
  <c r="I22" i="123"/>
  <c r="G22" i="123"/>
  <c r="I18" i="123"/>
  <c r="G18" i="123"/>
  <c r="G23" i="123" s="1"/>
  <c r="H29" i="139" l="1"/>
  <c r="H31" i="139" s="1"/>
  <c r="S55" i="92"/>
  <c r="R55" i="92" s="1"/>
  <c r="R50" i="92"/>
  <c r="Q4" i="139"/>
  <c r="W14" i="134"/>
  <c r="W22" i="134" s="1"/>
  <c r="W27" i="134" s="1"/>
  <c r="H26" i="128"/>
  <c r="H29" i="128" s="1"/>
  <c r="H34" i="128" s="1"/>
  <c r="I62" i="123"/>
  <c r="P8" i="134" s="1"/>
  <c r="I23" i="123"/>
  <c r="P6" i="134" s="1"/>
  <c r="Z50" i="92"/>
  <c r="I137" i="123"/>
  <c r="I142" i="123" s="1"/>
  <c r="Q50" i="92"/>
  <c r="V50" i="92"/>
  <c r="V55" i="92" s="1"/>
  <c r="R6" i="134"/>
  <c r="N6" i="134"/>
  <c r="G76" i="123"/>
  <c r="G81" i="123" s="1"/>
  <c r="N8" i="134"/>
  <c r="G8" i="134"/>
  <c r="T6" i="134"/>
  <c r="M21" i="92"/>
  <c r="L16" i="92"/>
  <c r="G18" i="139" s="1"/>
  <c r="I63" i="132"/>
  <c r="T8" i="134" s="1"/>
  <c r="O13" i="128"/>
  <c r="P29" i="139"/>
  <c r="G63" i="132"/>
  <c r="R8" i="134" s="1"/>
  <c r="D14" i="142"/>
  <c r="E14" i="142"/>
  <c r="C14" i="142"/>
  <c r="E19" i="138"/>
  <c r="F19" i="138"/>
  <c r="G19" i="138"/>
  <c r="H19" i="138"/>
  <c r="I19" i="138"/>
  <c r="J19" i="138"/>
  <c r="K19" i="138"/>
  <c r="L19" i="138"/>
  <c r="M19" i="138"/>
  <c r="P3" i="128" l="1"/>
  <c r="P26" i="128" s="1"/>
  <c r="P29" i="128" s="1"/>
  <c r="P34" i="128" s="1"/>
  <c r="Q16" i="139"/>
  <c r="Q31" i="139" s="1"/>
  <c r="I76" i="132"/>
  <c r="I80" i="132" s="1"/>
  <c r="U50" i="92"/>
  <c r="H8" i="134"/>
  <c r="I76" i="123"/>
  <c r="I81" i="123" s="1"/>
  <c r="Z55" i="92"/>
  <c r="U55" i="92"/>
  <c r="G20" i="139"/>
  <c r="G29" i="139" s="1"/>
  <c r="G31" i="139" s="1"/>
  <c r="G6" i="128"/>
  <c r="G8" i="128" s="1"/>
  <c r="G26" i="128" s="1"/>
  <c r="G29" i="128" s="1"/>
  <c r="G34" i="128" s="1"/>
  <c r="G76" i="132"/>
  <c r="G80" i="132" s="1"/>
  <c r="L21" i="92"/>
  <c r="M50" i="92"/>
  <c r="T14" i="134"/>
  <c r="T22" i="134" s="1"/>
  <c r="T27" i="134" s="1"/>
  <c r="V8" i="134"/>
  <c r="P6" i="139" s="1"/>
  <c r="O5" i="128" s="1"/>
  <c r="V6" i="134"/>
  <c r="N14" i="134"/>
  <c r="N22" i="134" s="1"/>
  <c r="N27" i="134" s="1"/>
  <c r="X8" i="134"/>
  <c r="R14" i="134"/>
  <c r="R22" i="134" s="1"/>
  <c r="R27" i="134" s="1"/>
  <c r="X6" i="134"/>
  <c r="P14" i="134"/>
  <c r="P22" i="134" s="1"/>
  <c r="P27" i="134" s="1"/>
  <c r="Y134" i="123"/>
  <c r="Y139" i="123"/>
  <c r="F139" i="123" s="1"/>
  <c r="H13" i="91"/>
  <c r="F24" i="97"/>
  <c r="F7" i="97"/>
  <c r="AV64" i="123"/>
  <c r="F51" i="95"/>
  <c r="W96" i="123"/>
  <c r="AU69" i="123"/>
  <c r="AT69" i="123"/>
  <c r="M32" i="123"/>
  <c r="N32" i="123"/>
  <c r="O32" i="123"/>
  <c r="P32" i="123"/>
  <c r="Q32" i="123"/>
  <c r="R32" i="123"/>
  <c r="S32" i="123"/>
  <c r="T32" i="123"/>
  <c r="U32" i="123"/>
  <c r="V32" i="123"/>
  <c r="Z32" i="123"/>
  <c r="AA32" i="123"/>
  <c r="AB32" i="123"/>
  <c r="AC32" i="123"/>
  <c r="AD32" i="123"/>
  <c r="AE32" i="123"/>
  <c r="AH32" i="123"/>
  <c r="AI32" i="123"/>
  <c r="AJ32" i="123"/>
  <c r="AK32" i="123"/>
  <c r="AL32" i="123"/>
  <c r="AM32" i="123"/>
  <c r="AN32" i="123"/>
  <c r="AO32" i="123"/>
  <c r="AR32" i="123"/>
  <c r="AS32" i="123"/>
  <c r="AT32" i="123"/>
  <c r="V70" i="123"/>
  <c r="W70" i="123"/>
  <c r="X70" i="123"/>
  <c r="Y70" i="123"/>
  <c r="Z70" i="123"/>
  <c r="AA70" i="123"/>
  <c r="AC70" i="123"/>
  <c r="V71" i="123"/>
  <c r="Y116" i="123"/>
  <c r="X14" i="134" l="1"/>
  <c r="X22" i="134" s="1"/>
  <c r="X27" i="134" s="1"/>
  <c r="P4" i="139"/>
  <c r="V14" i="134"/>
  <c r="V22" i="134" s="1"/>
  <c r="V27" i="134" s="1"/>
  <c r="M55" i="92"/>
  <c r="L50" i="92"/>
  <c r="AV79" i="123"/>
  <c r="F79" i="123" s="1"/>
  <c r="O25" i="139" s="1"/>
  <c r="F64" i="123"/>
  <c r="F10" i="134" s="1"/>
  <c r="U10" i="134" s="1"/>
  <c r="N30" i="138" s="1"/>
  <c r="C44" i="142"/>
  <c r="D44" i="142"/>
  <c r="E44" i="142"/>
  <c r="E25" i="142"/>
  <c r="F15" i="95"/>
  <c r="F65" i="123" s="1"/>
  <c r="F11" i="134" s="1"/>
  <c r="N8" i="128" s="1"/>
  <c r="L15" i="91"/>
  <c r="L16" i="91"/>
  <c r="L17" i="91"/>
  <c r="L19" i="91"/>
  <c r="L20" i="91"/>
  <c r="L21" i="91"/>
  <c r="L22" i="91"/>
  <c r="F91" i="123"/>
  <c r="AH18" i="123"/>
  <c r="AT61" i="123"/>
  <c r="F116" i="123"/>
  <c r="F61" i="97"/>
  <c r="W39" i="123"/>
  <c r="W40" i="123" s="1"/>
  <c r="X39" i="123"/>
  <c r="X40" i="123" s="1"/>
  <c r="Y39" i="123"/>
  <c r="Y40" i="123" s="1"/>
  <c r="F37" i="94"/>
  <c r="H9" i="94"/>
  <c r="H12" i="94"/>
  <c r="H15" i="94"/>
  <c r="H19" i="94"/>
  <c r="H36" i="94"/>
  <c r="G9" i="94"/>
  <c r="G12" i="94"/>
  <c r="G15" i="94"/>
  <c r="G19" i="94"/>
  <c r="G36" i="94"/>
  <c r="F89" i="97"/>
  <c r="F91" i="97" s="1"/>
  <c r="F71" i="123" s="1"/>
  <c r="F78" i="123"/>
  <c r="F24" i="134" s="1"/>
  <c r="B43" i="142" s="1"/>
  <c r="I53" i="92"/>
  <c r="B26" i="142" s="1"/>
  <c r="AV77" i="123"/>
  <c r="F77" i="123" s="1"/>
  <c r="Q25" i="134"/>
  <c r="C9" i="142"/>
  <c r="D9" i="142"/>
  <c r="E9" i="142"/>
  <c r="E13" i="142"/>
  <c r="C25" i="142"/>
  <c r="D25" i="142"/>
  <c r="D35" i="138"/>
  <c r="B35" i="138"/>
  <c r="Q9" i="134"/>
  <c r="Q15" i="134"/>
  <c r="Q16" i="134"/>
  <c r="G26" i="92"/>
  <c r="K26" i="92" s="1"/>
  <c r="G25" i="92"/>
  <c r="K25" i="92" s="1"/>
  <c r="F34" i="97"/>
  <c r="F52" i="95"/>
  <c r="F55" i="95"/>
  <c r="F68" i="123"/>
  <c r="F21" i="134" s="1"/>
  <c r="U21" i="134" s="1"/>
  <c r="F18" i="95"/>
  <c r="F66" i="123" s="1"/>
  <c r="F12" i="134" s="1"/>
  <c r="N9" i="128" s="1"/>
  <c r="O10" i="139" s="1"/>
  <c r="F67" i="123"/>
  <c r="F13" i="134" s="1"/>
  <c r="AV74" i="123"/>
  <c r="F74" i="123" s="1"/>
  <c r="F19" i="134" s="1"/>
  <c r="F72" i="123"/>
  <c r="F17" i="134" s="1"/>
  <c r="F73" i="123"/>
  <c r="F18" i="134" s="1"/>
  <c r="F64" i="97"/>
  <c r="W51" i="123"/>
  <c r="W55" i="123"/>
  <c r="W61" i="123"/>
  <c r="X51" i="123"/>
  <c r="X55" i="123"/>
  <c r="X61" i="123"/>
  <c r="Y51" i="123"/>
  <c r="Y55" i="123"/>
  <c r="Y61" i="123"/>
  <c r="Y110" i="123"/>
  <c r="F110" i="123" s="1"/>
  <c r="Y111" i="123"/>
  <c r="F111" i="123" s="1"/>
  <c r="Y112" i="123"/>
  <c r="F112" i="123" s="1"/>
  <c r="B18" i="142" s="1"/>
  <c r="N8" i="138" s="1"/>
  <c r="Y113" i="123"/>
  <c r="F113" i="123" s="1"/>
  <c r="Y114" i="123"/>
  <c r="F114" i="123" s="1"/>
  <c r="G27" i="92" s="1"/>
  <c r="K27" i="92" s="1"/>
  <c r="Y115" i="123"/>
  <c r="Y109" i="123"/>
  <c r="L117" i="123"/>
  <c r="L137" i="123" s="1"/>
  <c r="W69" i="123"/>
  <c r="X69" i="123"/>
  <c r="Y69" i="123"/>
  <c r="F33" i="132"/>
  <c r="J18" i="132"/>
  <c r="J23" i="132" s="1"/>
  <c r="J61" i="97"/>
  <c r="J64" i="97"/>
  <c r="J34" i="97"/>
  <c r="J24" i="97"/>
  <c r="J7" i="97"/>
  <c r="J15" i="95"/>
  <c r="J18" i="95"/>
  <c r="J51" i="95"/>
  <c r="J59" i="95"/>
  <c r="J89" i="97"/>
  <c r="J91" i="97" s="1"/>
  <c r="J97" i="97"/>
  <c r="J98" i="97" s="1"/>
  <c r="Y97" i="123"/>
  <c r="F97" i="123" s="1"/>
  <c r="Y98" i="123"/>
  <c r="F98" i="123" s="1"/>
  <c r="G11" i="92" s="1"/>
  <c r="K11" i="92" s="1"/>
  <c r="Y99" i="123"/>
  <c r="Y100" i="123"/>
  <c r="F100" i="123" s="1"/>
  <c r="F13" i="92" s="1"/>
  <c r="F90" i="123"/>
  <c r="F3" i="92" s="1"/>
  <c r="H32" i="91"/>
  <c r="F93" i="123" s="1"/>
  <c r="F6" i="92" s="1"/>
  <c r="G7" i="92"/>
  <c r="K7" i="92" s="1"/>
  <c r="F95" i="123"/>
  <c r="G8" i="92" s="1"/>
  <c r="K8" i="92" s="1"/>
  <c r="G17" i="92"/>
  <c r="Y105" i="123"/>
  <c r="F105" i="123" s="1"/>
  <c r="F18" i="92" s="1"/>
  <c r="Y106" i="123"/>
  <c r="F106" i="123" s="1"/>
  <c r="B16" i="142"/>
  <c r="N6" i="138" s="1"/>
  <c r="B6" i="138" s="1"/>
  <c r="B19" i="138" s="1"/>
  <c r="F115" i="123"/>
  <c r="B21" i="142" s="1"/>
  <c r="N11" i="138" s="1"/>
  <c r="Y118" i="123"/>
  <c r="F118" i="123" s="1"/>
  <c r="F31" i="92" s="1"/>
  <c r="Y119" i="123"/>
  <c r="F119" i="123" s="1"/>
  <c r="F32" i="92" s="1"/>
  <c r="Y120" i="123"/>
  <c r="F120" i="123"/>
  <c r="F33" i="92" s="1"/>
  <c r="Y121" i="123"/>
  <c r="F121" i="123"/>
  <c r="G34" i="92" s="1"/>
  <c r="K34" i="92" s="1"/>
  <c r="Y122" i="123"/>
  <c r="F122" i="123"/>
  <c r="F35" i="92" s="1"/>
  <c r="I35" i="92"/>
  <c r="Y123" i="123"/>
  <c r="Y124" i="123"/>
  <c r="F124" i="123" s="1"/>
  <c r="G37" i="92"/>
  <c r="K37" i="92" s="1"/>
  <c r="Y125" i="123"/>
  <c r="F125" i="123" s="1"/>
  <c r="Y126" i="123"/>
  <c r="F126" i="123" s="1"/>
  <c r="G39" i="92" s="1"/>
  <c r="K39" i="92" s="1"/>
  <c r="Y128" i="123"/>
  <c r="F128" i="123" s="1"/>
  <c r="Y129" i="123"/>
  <c r="F129" i="123" s="1"/>
  <c r="G42" i="92" s="1"/>
  <c r="K42" i="92" s="1"/>
  <c r="Y131" i="123"/>
  <c r="F131" i="123" s="1"/>
  <c r="Y132" i="123"/>
  <c r="F132" i="123" s="1"/>
  <c r="F133" i="123" s="1"/>
  <c r="F134" i="123"/>
  <c r="F47" i="92" s="1"/>
  <c r="F23" i="128" s="1"/>
  <c r="F22" i="139" s="1"/>
  <c r="Y135" i="123"/>
  <c r="G51" i="92"/>
  <c r="G52" i="92"/>
  <c r="N18" i="138" s="1"/>
  <c r="G54" i="92"/>
  <c r="K54" i="92" s="1"/>
  <c r="I36" i="92"/>
  <c r="I14" i="92"/>
  <c r="I9" i="92"/>
  <c r="I20" i="92"/>
  <c r="I21" i="92" s="1"/>
  <c r="I30" i="92"/>
  <c r="I43" i="92"/>
  <c r="I46" i="92"/>
  <c r="I49" i="92"/>
  <c r="I52" i="92"/>
  <c r="C13" i="142"/>
  <c r="D13" i="142"/>
  <c r="F37" i="92"/>
  <c r="AV20" i="123"/>
  <c r="F20" i="123" s="1"/>
  <c r="AV21" i="123"/>
  <c r="F21" i="123" s="1"/>
  <c r="AV19" i="123"/>
  <c r="F19" i="123" s="1"/>
  <c r="AV5" i="123"/>
  <c r="F5" i="123" s="1"/>
  <c r="AV7" i="123"/>
  <c r="F7" i="123" s="1"/>
  <c r="AV12" i="123"/>
  <c r="F12" i="123" s="1"/>
  <c r="AV15" i="123"/>
  <c r="F15" i="123" s="1"/>
  <c r="AV17" i="123"/>
  <c r="F17" i="123" s="1"/>
  <c r="AV6" i="123"/>
  <c r="F6" i="123" s="1"/>
  <c r="AV8" i="123"/>
  <c r="F8" i="123" s="1"/>
  <c r="AV13" i="123"/>
  <c r="AV9" i="123"/>
  <c r="F9" i="123" s="1"/>
  <c r="AV10" i="123"/>
  <c r="F10" i="123" s="1"/>
  <c r="AV11" i="123"/>
  <c r="F11" i="123" s="1"/>
  <c r="AV14" i="123"/>
  <c r="F14" i="123" s="1"/>
  <c r="AV16" i="123"/>
  <c r="F16" i="123" s="1"/>
  <c r="F18" i="132"/>
  <c r="F22" i="132"/>
  <c r="AV24" i="123"/>
  <c r="F24" i="123" s="1"/>
  <c r="AV25" i="123"/>
  <c r="F25" i="123" s="1"/>
  <c r="AV27" i="123"/>
  <c r="F27" i="123" s="1"/>
  <c r="AV26" i="123"/>
  <c r="F26" i="123" s="1"/>
  <c r="F28" i="132"/>
  <c r="Q7" i="134" s="1"/>
  <c r="AV46" i="123"/>
  <c r="AV50" i="123"/>
  <c r="F50" i="123" s="1"/>
  <c r="AV47" i="123"/>
  <c r="F47" i="123" s="1"/>
  <c r="AV45" i="123"/>
  <c r="F45" i="123" s="1"/>
  <c r="AV44" i="123"/>
  <c r="F44" i="123" s="1"/>
  <c r="AV49" i="123"/>
  <c r="F49" i="123" s="1"/>
  <c r="AV48" i="123"/>
  <c r="F48" i="123" s="1"/>
  <c r="AV56" i="123"/>
  <c r="AV58" i="123"/>
  <c r="F58" i="123" s="1"/>
  <c r="AV57" i="123"/>
  <c r="F57" i="123" s="1"/>
  <c r="AV59" i="123"/>
  <c r="AV60" i="123"/>
  <c r="F60" i="123" s="1"/>
  <c r="AV42" i="123"/>
  <c r="F42" i="123" s="1"/>
  <c r="AV41" i="123"/>
  <c r="F41" i="123" s="1"/>
  <c r="AV36" i="123"/>
  <c r="F36" i="123" s="1"/>
  <c r="AV37" i="123"/>
  <c r="F37" i="123" s="1"/>
  <c r="AV38" i="123"/>
  <c r="F38" i="123" s="1"/>
  <c r="AV33" i="123"/>
  <c r="F33" i="123" s="1"/>
  <c r="AV34" i="123"/>
  <c r="F34" i="123" s="1"/>
  <c r="AV35" i="123"/>
  <c r="AV29" i="123"/>
  <c r="F29" i="123" s="1"/>
  <c r="AV30" i="123"/>
  <c r="AV31" i="123"/>
  <c r="F31" i="123" s="1"/>
  <c r="AV53" i="123"/>
  <c r="F53" i="123" s="1"/>
  <c r="AV52" i="123"/>
  <c r="F52" i="123" s="1"/>
  <c r="AV54" i="123"/>
  <c r="F54" i="123" s="1"/>
  <c r="F40" i="132"/>
  <c r="F44" i="132"/>
  <c r="F52" i="132"/>
  <c r="F62" i="132"/>
  <c r="F56" i="132"/>
  <c r="F26" i="94"/>
  <c r="F12" i="94"/>
  <c r="F9" i="94"/>
  <c r="C18" i="95"/>
  <c r="G12" i="134"/>
  <c r="D18" i="95"/>
  <c r="D66" i="123" s="1"/>
  <c r="D12" i="134" s="1"/>
  <c r="L8" i="128" s="1"/>
  <c r="M10" i="139" s="1"/>
  <c r="H12" i="134"/>
  <c r="E18" i="95"/>
  <c r="E66" i="123" s="1"/>
  <c r="E12" i="134" s="1"/>
  <c r="I12" i="134"/>
  <c r="C51" i="95"/>
  <c r="C67" i="123" s="1"/>
  <c r="C13" i="134" s="1"/>
  <c r="K9" i="128" s="1"/>
  <c r="L11" i="139" s="1"/>
  <c r="G13" i="134"/>
  <c r="D51" i="95"/>
  <c r="D67" i="123" s="1"/>
  <c r="D13" i="134" s="1"/>
  <c r="H13" i="134"/>
  <c r="E51" i="95"/>
  <c r="E67" i="123"/>
  <c r="E13" i="134" s="1"/>
  <c r="M9" i="128" s="1"/>
  <c r="N11" i="139" s="1"/>
  <c r="I13" i="134"/>
  <c r="C18" i="123"/>
  <c r="C22" i="123"/>
  <c r="G6" i="134"/>
  <c r="G14" i="134" s="1"/>
  <c r="G22" i="134" s="1"/>
  <c r="G27" i="134" s="1"/>
  <c r="D18" i="123"/>
  <c r="D22" i="123"/>
  <c r="D23" i="123" s="1"/>
  <c r="D6" i="134" s="1"/>
  <c r="H6" i="134"/>
  <c r="H14" i="134" s="1"/>
  <c r="H22" i="134" s="1"/>
  <c r="H27" i="134" s="1"/>
  <c r="E18" i="123"/>
  <c r="E22" i="123"/>
  <c r="I6" i="134"/>
  <c r="I14" i="134" s="1"/>
  <c r="I22" i="134" s="1"/>
  <c r="I27" i="134" s="1"/>
  <c r="Y103" i="123"/>
  <c r="F17" i="92"/>
  <c r="F7" i="92"/>
  <c r="F8" i="92"/>
  <c r="F138" i="123"/>
  <c r="F51" i="92" s="1"/>
  <c r="F27" i="128" s="1"/>
  <c r="F25" i="139" s="1"/>
  <c r="F52" i="92"/>
  <c r="F30" i="134"/>
  <c r="Q30" i="134"/>
  <c r="Q11" i="134"/>
  <c r="Q12" i="134"/>
  <c r="Q13" i="134"/>
  <c r="Q17" i="134"/>
  <c r="Q18" i="134"/>
  <c r="Q19" i="134"/>
  <c r="Q21" i="134"/>
  <c r="K17" i="92"/>
  <c r="M107" i="123"/>
  <c r="N107" i="123"/>
  <c r="P107" i="123"/>
  <c r="Q107" i="123"/>
  <c r="R107" i="123"/>
  <c r="S107" i="123"/>
  <c r="T107" i="123"/>
  <c r="T108" i="123" s="1"/>
  <c r="U107" i="123"/>
  <c r="U108" i="123" s="1"/>
  <c r="V107" i="123"/>
  <c r="V108" i="123" s="1"/>
  <c r="W107" i="123"/>
  <c r="X107" i="123"/>
  <c r="X108" i="123" s="1"/>
  <c r="F107" i="123"/>
  <c r="F35" i="138"/>
  <c r="H35" i="138"/>
  <c r="E35" i="138"/>
  <c r="I35" i="138"/>
  <c r="G35" i="138"/>
  <c r="C35" i="138"/>
  <c r="J35" i="138"/>
  <c r="K35" i="138"/>
  <c r="L35" i="138"/>
  <c r="M35" i="138"/>
  <c r="M4" i="100"/>
  <c r="K6" i="100"/>
  <c r="L6" i="100" s="1"/>
  <c r="F140" i="123"/>
  <c r="F141" i="123"/>
  <c r="F54" i="92" s="1"/>
  <c r="F32" i="128" s="1"/>
  <c r="Y89" i="123"/>
  <c r="Y91" i="123"/>
  <c r="Y92" i="123"/>
  <c r="Y93" i="123"/>
  <c r="Y90" i="123"/>
  <c r="Y94" i="123"/>
  <c r="Y95" i="123"/>
  <c r="Y104" i="123"/>
  <c r="W133" i="123"/>
  <c r="X133" i="123"/>
  <c r="W130" i="123"/>
  <c r="X130" i="123"/>
  <c r="W127" i="123"/>
  <c r="X127" i="123"/>
  <c r="X117" i="123"/>
  <c r="W108" i="123"/>
  <c r="X96" i="123"/>
  <c r="X101" i="123"/>
  <c r="N117" i="123"/>
  <c r="O117" i="123"/>
  <c r="P117" i="123"/>
  <c r="Q117" i="123"/>
  <c r="R117" i="123"/>
  <c r="S117" i="123"/>
  <c r="T117" i="123"/>
  <c r="U117" i="123"/>
  <c r="V117" i="123"/>
  <c r="W117" i="123"/>
  <c r="T96" i="123"/>
  <c r="T101" i="123"/>
  <c r="U96" i="123"/>
  <c r="U101" i="123"/>
  <c r="U127" i="123"/>
  <c r="V96" i="123"/>
  <c r="V101" i="123"/>
  <c r="W101" i="123"/>
  <c r="Q101" i="123"/>
  <c r="R101" i="123"/>
  <c r="S101" i="123"/>
  <c r="Q96" i="123"/>
  <c r="R96" i="123"/>
  <c r="S96" i="123"/>
  <c r="W136" i="123"/>
  <c r="X136" i="123"/>
  <c r="U133" i="123"/>
  <c r="V133" i="123"/>
  <c r="U130" i="123"/>
  <c r="V130" i="123"/>
  <c r="V127" i="123"/>
  <c r="N108" i="123"/>
  <c r="N127" i="123"/>
  <c r="N96" i="123"/>
  <c r="N101" i="123"/>
  <c r="N130" i="123"/>
  <c r="N136" i="123"/>
  <c r="N133" i="123"/>
  <c r="O108" i="123"/>
  <c r="O127" i="123"/>
  <c r="O130" i="123"/>
  <c r="O136" i="123"/>
  <c r="O96" i="123"/>
  <c r="O101" i="123"/>
  <c r="O133" i="123"/>
  <c r="P101" i="123"/>
  <c r="P96" i="123"/>
  <c r="P127" i="123"/>
  <c r="P130" i="123"/>
  <c r="P136" i="123"/>
  <c r="P133" i="123"/>
  <c r="Q108" i="123"/>
  <c r="Q127" i="123"/>
  <c r="Q130" i="123"/>
  <c r="Q136" i="123"/>
  <c r="Q133" i="123"/>
  <c r="R108" i="123"/>
  <c r="R127" i="123"/>
  <c r="R130" i="123"/>
  <c r="R136" i="123"/>
  <c r="R133" i="123"/>
  <c r="S108" i="123"/>
  <c r="S127" i="123"/>
  <c r="S130" i="123"/>
  <c r="S136" i="123"/>
  <c r="S133" i="123"/>
  <c r="T133" i="123"/>
  <c r="T127" i="123"/>
  <c r="T130" i="123"/>
  <c r="T136" i="123"/>
  <c r="M108" i="123"/>
  <c r="M136" i="123"/>
  <c r="M96" i="123"/>
  <c r="M101" i="123"/>
  <c r="M117" i="123"/>
  <c r="M127" i="123"/>
  <c r="M130" i="123"/>
  <c r="M133" i="123"/>
  <c r="U136" i="123"/>
  <c r="V136" i="123"/>
  <c r="AV70" i="123"/>
  <c r="AV71" i="123"/>
  <c r="M69" i="123"/>
  <c r="R69" i="123"/>
  <c r="N69" i="123"/>
  <c r="O69" i="123"/>
  <c r="P69" i="123"/>
  <c r="Q69" i="123"/>
  <c r="S69" i="123"/>
  <c r="T69" i="123"/>
  <c r="U69" i="123"/>
  <c r="V69" i="123"/>
  <c r="Z69" i="123"/>
  <c r="AA69" i="123"/>
  <c r="AB69" i="123"/>
  <c r="AC69" i="123"/>
  <c r="AD69" i="123"/>
  <c r="AE69" i="123"/>
  <c r="AF69" i="123"/>
  <c r="AG69" i="123"/>
  <c r="AH69" i="123"/>
  <c r="AI69" i="123"/>
  <c r="AJ69" i="123"/>
  <c r="AK69" i="123"/>
  <c r="AL69" i="123"/>
  <c r="AM69" i="123"/>
  <c r="AN69" i="123"/>
  <c r="AO69" i="123"/>
  <c r="AP69" i="123"/>
  <c r="AP76" i="123" s="1"/>
  <c r="AP81" i="123" s="1"/>
  <c r="AQ69" i="123"/>
  <c r="AR69" i="123"/>
  <c r="AS69" i="123"/>
  <c r="M75" i="123"/>
  <c r="N75" i="123"/>
  <c r="O75" i="123"/>
  <c r="P75" i="123"/>
  <c r="Q75" i="123"/>
  <c r="R75" i="123"/>
  <c r="S75" i="123"/>
  <c r="T75" i="123"/>
  <c r="U75" i="123"/>
  <c r="V75" i="123"/>
  <c r="W75" i="123"/>
  <c r="X75" i="123"/>
  <c r="Y75" i="123"/>
  <c r="Z75" i="123"/>
  <c r="AA75" i="123"/>
  <c r="AB75" i="123"/>
  <c r="AC75" i="123"/>
  <c r="AD75" i="123"/>
  <c r="AE75" i="123"/>
  <c r="AF75" i="123"/>
  <c r="AG75" i="123"/>
  <c r="AH75" i="123"/>
  <c r="AI75" i="123"/>
  <c r="AJ75" i="123"/>
  <c r="AK75" i="123"/>
  <c r="AL75" i="123"/>
  <c r="AM75" i="123"/>
  <c r="AN75" i="123"/>
  <c r="AO75" i="123"/>
  <c r="AR75" i="123"/>
  <c r="AS75" i="123"/>
  <c r="AT75" i="123"/>
  <c r="AV63" i="123"/>
  <c r="AV78" i="123"/>
  <c r="V18" i="123"/>
  <c r="V22" i="123"/>
  <c r="V28" i="123"/>
  <c r="V39" i="123"/>
  <c r="V40" i="123" s="1"/>
  <c r="V43" i="123"/>
  <c r="V51" i="123"/>
  <c r="V55" i="123"/>
  <c r="V61" i="123"/>
  <c r="T51" i="123"/>
  <c r="T39" i="123"/>
  <c r="T40" i="123" s="1"/>
  <c r="T43" i="123"/>
  <c r="T55" i="123"/>
  <c r="T61" i="123"/>
  <c r="T18" i="123"/>
  <c r="T22" i="123"/>
  <c r="T28" i="123"/>
  <c r="M51" i="123"/>
  <c r="M61" i="123"/>
  <c r="M39" i="123"/>
  <c r="M40" i="123" s="1"/>
  <c r="M43" i="123"/>
  <c r="M55" i="123"/>
  <c r="M18" i="123"/>
  <c r="M22" i="123"/>
  <c r="M28" i="123"/>
  <c r="N51" i="123"/>
  <c r="N61" i="123"/>
  <c r="N39" i="123"/>
  <c r="N40" i="123" s="1"/>
  <c r="N43" i="123"/>
  <c r="N55" i="123"/>
  <c r="N18" i="123"/>
  <c r="N22" i="123"/>
  <c r="N28" i="123"/>
  <c r="O43" i="123"/>
  <c r="O51" i="123"/>
  <c r="O61" i="123"/>
  <c r="O39" i="123"/>
  <c r="O40" i="123" s="1"/>
  <c r="O55" i="123"/>
  <c r="O18" i="123"/>
  <c r="O22" i="123"/>
  <c r="O28" i="123"/>
  <c r="P22" i="123"/>
  <c r="P18" i="123"/>
  <c r="P28" i="123"/>
  <c r="P51" i="123"/>
  <c r="P61" i="123"/>
  <c r="P39" i="123"/>
  <c r="P40" i="123" s="1"/>
  <c r="P43" i="123"/>
  <c r="P55" i="123"/>
  <c r="Q51" i="123"/>
  <c r="Q61" i="123"/>
  <c r="Q39" i="123"/>
  <c r="Q40" i="123" s="1"/>
  <c r="Q43" i="123"/>
  <c r="Q55" i="123"/>
  <c r="Q18" i="123"/>
  <c r="Q22" i="123"/>
  <c r="Q28" i="123"/>
  <c r="R51" i="123"/>
  <c r="R61" i="123"/>
  <c r="R39" i="123"/>
  <c r="R40" i="123" s="1"/>
  <c r="R43" i="123"/>
  <c r="R55" i="123"/>
  <c r="R18" i="123"/>
  <c r="R22" i="123"/>
  <c r="R28" i="123"/>
  <c r="S51" i="123"/>
  <c r="S61" i="123"/>
  <c r="S39" i="123"/>
  <c r="S40" i="123" s="1"/>
  <c r="S43" i="123"/>
  <c r="S55" i="123"/>
  <c r="S18" i="123"/>
  <c r="S22" i="123"/>
  <c r="S28" i="123"/>
  <c r="U22" i="123"/>
  <c r="U18" i="123"/>
  <c r="U28" i="123"/>
  <c r="U39" i="123"/>
  <c r="U40" i="123" s="1"/>
  <c r="U51" i="123"/>
  <c r="U61" i="123"/>
  <c r="U43" i="123"/>
  <c r="U55" i="123"/>
  <c r="Z18" i="123"/>
  <c r="Z22" i="123"/>
  <c r="Z28" i="123"/>
  <c r="Z39" i="123"/>
  <c r="Z40" i="123" s="1"/>
  <c r="Z43" i="123"/>
  <c r="Z51" i="123"/>
  <c r="Z55" i="123"/>
  <c r="Z61" i="123"/>
  <c r="AA18" i="123"/>
  <c r="AA22" i="123"/>
  <c r="AA28" i="123"/>
  <c r="AA39" i="123"/>
  <c r="AA40" i="123" s="1"/>
  <c r="AA61" i="123"/>
  <c r="AA43" i="123"/>
  <c r="AA51" i="123"/>
  <c r="AA55" i="123"/>
  <c r="AB18" i="123"/>
  <c r="AB22" i="123"/>
  <c r="AB28" i="123"/>
  <c r="AB39" i="123"/>
  <c r="AB40" i="123" s="1"/>
  <c r="AB43" i="123"/>
  <c r="AB51" i="123"/>
  <c r="AB55" i="123"/>
  <c r="AB61" i="123"/>
  <c r="AC18" i="123"/>
  <c r="AC22" i="123"/>
  <c r="AC28" i="123"/>
  <c r="AC39" i="123"/>
  <c r="AC40" i="123" s="1"/>
  <c r="AC43" i="123"/>
  <c r="AC51" i="123"/>
  <c r="AC55" i="123"/>
  <c r="AC61" i="123"/>
  <c r="AD18" i="123"/>
  <c r="AD22" i="123"/>
  <c r="AD28" i="123"/>
  <c r="AD39" i="123"/>
  <c r="AD40" i="123" s="1"/>
  <c r="AD51" i="123"/>
  <c r="AD61" i="123"/>
  <c r="AD43" i="123"/>
  <c r="AD55" i="123"/>
  <c r="AE18" i="123"/>
  <c r="AE22" i="123"/>
  <c r="AE28" i="123"/>
  <c r="AE39" i="123"/>
  <c r="AE40" i="123" s="1"/>
  <c r="AE51" i="123"/>
  <c r="AE61" i="123"/>
  <c r="AE43" i="123"/>
  <c r="AE55" i="123"/>
  <c r="AH22" i="123"/>
  <c r="AH28" i="123"/>
  <c r="AH39" i="123"/>
  <c r="AH40" i="123" s="1"/>
  <c r="AH43" i="123"/>
  <c r="AH51" i="123"/>
  <c r="AH55" i="123"/>
  <c r="AH61" i="123"/>
  <c r="AI18" i="123"/>
  <c r="AI22" i="123"/>
  <c r="AI28" i="123"/>
  <c r="AI39" i="123"/>
  <c r="AI40" i="123" s="1"/>
  <c r="AI43" i="123"/>
  <c r="AI51" i="123"/>
  <c r="AI55" i="123"/>
  <c r="AI61" i="123"/>
  <c r="AJ18" i="123"/>
  <c r="AJ22" i="123"/>
  <c r="AJ28" i="123"/>
  <c r="AJ39" i="123"/>
  <c r="AJ40" i="123" s="1"/>
  <c r="AJ43" i="123"/>
  <c r="AJ51" i="123"/>
  <c r="AJ55" i="123"/>
  <c r="AJ61" i="123"/>
  <c r="AK18" i="123"/>
  <c r="AK22" i="123"/>
  <c r="AK28" i="123"/>
  <c r="AK39" i="123"/>
  <c r="AK40" i="123" s="1"/>
  <c r="AK51" i="123"/>
  <c r="AK61" i="123"/>
  <c r="AK43" i="123"/>
  <c r="AK55" i="123"/>
  <c r="AL18" i="123"/>
  <c r="AL22" i="123"/>
  <c r="AL28" i="123"/>
  <c r="AL39" i="123"/>
  <c r="AL40" i="123" s="1"/>
  <c r="AL43" i="123"/>
  <c r="AL51" i="123"/>
  <c r="AL61" i="123"/>
  <c r="AL55" i="123"/>
  <c r="AM18" i="123"/>
  <c r="AM22" i="123"/>
  <c r="AM28" i="123"/>
  <c r="AM39" i="123"/>
  <c r="AM40" i="123" s="1"/>
  <c r="AM61" i="123"/>
  <c r="AM43" i="123"/>
  <c r="AM51" i="123"/>
  <c r="AM55" i="123"/>
  <c r="AN18" i="123"/>
  <c r="AN22" i="123"/>
  <c r="AN28" i="123"/>
  <c r="AN39" i="123"/>
  <c r="AN40" i="123" s="1"/>
  <c r="AN43" i="123"/>
  <c r="AN51" i="123"/>
  <c r="AN55" i="123"/>
  <c r="AN61" i="123"/>
  <c r="AO18" i="123"/>
  <c r="AO22" i="123"/>
  <c r="AO28" i="123"/>
  <c r="AO39" i="123"/>
  <c r="AO40" i="123" s="1"/>
  <c r="AO51" i="123"/>
  <c r="AO61" i="123"/>
  <c r="AO43" i="123"/>
  <c r="AO55" i="123"/>
  <c r="AQ76" i="123"/>
  <c r="AQ81" i="123" s="1"/>
  <c r="AR18" i="123"/>
  <c r="AR22" i="123"/>
  <c r="AR28" i="123"/>
  <c r="AR39" i="123"/>
  <c r="AR40" i="123" s="1"/>
  <c r="AR43" i="123"/>
  <c r="AR51" i="123"/>
  <c r="AR55" i="123"/>
  <c r="AR61" i="123"/>
  <c r="AS18" i="123"/>
  <c r="AS22" i="123"/>
  <c r="AS28" i="123"/>
  <c r="AS39" i="123"/>
  <c r="AS40" i="123" s="1"/>
  <c r="AS51" i="123"/>
  <c r="AS61" i="123"/>
  <c r="AS43" i="123"/>
  <c r="AS55" i="123"/>
  <c r="AT18" i="123"/>
  <c r="AT22" i="123"/>
  <c r="AT28" i="123"/>
  <c r="AT39" i="123"/>
  <c r="AT40" i="123" s="1"/>
  <c r="AT43" i="123"/>
  <c r="AT51" i="123"/>
  <c r="AT55" i="123"/>
  <c r="AU75" i="123"/>
  <c r="AU76" i="123" s="1"/>
  <c r="AU81" i="123" s="1"/>
  <c r="AV73" i="123"/>
  <c r="AV72" i="123"/>
  <c r="AV65" i="123"/>
  <c r="AV66" i="123"/>
  <c r="AV67" i="123"/>
  <c r="AV68" i="123"/>
  <c r="F35" i="123"/>
  <c r="F46" i="123"/>
  <c r="F59" i="123"/>
  <c r="F13" i="123"/>
  <c r="D32" i="123"/>
  <c r="D40" i="123" s="1"/>
  <c r="D62" i="123" s="1"/>
  <c r="D8" i="134" s="1"/>
  <c r="E32" i="123"/>
  <c r="C32" i="123"/>
  <c r="L3" i="91"/>
  <c r="L4" i="91"/>
  <c r="L5" i="91"/>
  <c r="L6" i="91"/>
  <c r="L7" i="91"/>
  <c r="L8" i="91"/>
  <c r="E39" i="92"/>
  <c r="E38" i="92"/>
  <c r="E37" i="92"/>
  <c r="E36" i="92"/>
  <c r="E35" i="92"/>
  <c r="E34" i="92"/>
  <c r="E33" i="92"/>
  <c r="E32" i="92"/>
  <c r="E31" i="92"/>
  <c r="E40" i="92" s="1"/>
  <c r="E18" i="128" s="1"/>
  <c r="D39" i="92"/>
  <c r="D38" i="92"/>
  <c r="D37" i="92"/>
  <c r="D36" i="92"/>
  <c r="D35" i="92"/>
  <c r="D34" i="92"/>
  <c r="D33" i="92"/>
  <c r="D32" i="92"/>
  <c r="D31" i="92"/>
  <c r="D40" i="92" s="1"/>
  <c r="D18" i="128" s="1"/>
  <c r="C39" i="92"/>
  <c r="C38" i="92"/>
  <c r="C37" i="92"/>
  <c r="C36" i="92"/>
  <c r="C35" i="92"/>
  <c r="C34" i="92"/>
  <c r="C33" i="92"/>
  <c r="C32" i="92"/>
  <c r="C31" i="92"/>
  <c r="C40" i="92" s="1"/>
  <c r="C18" i="128" s="1"/>
  <c r="D11" i="92"/>
  <c r="C11" i="92"/>
  <c r="M24" i="134"/>
  <c r="L24" i="134"/>
  <c r="K24" i="134"/>
  <c r="J24" i="134"/>
  <c r="I24" i="134"/>
  <c r="H24" i="134"/>
  <c r="G24" i="134"/>
  <c r="J53" i="92"/>
  <c r="H53" i="92"/>
  <c r="J52" i="92"/>
  <c r="H52" i="92"/>
  <c r="J34" i="92"/>
  <c r="E133" i="123"/>
  <c r="D133" i="123"/>
  <c r="C133" i="123"/>
  <c r="E130" i="123"/>
  <c r="D130" i="123"/>
  <c r="C130" i="123"/>
  <c r="E127" i="123"/>
  <c r="D127" i="123"/>
  <c r="C127" i="123"/>
  <c r="E117" i="123"/>
  <c r="D117" i="123"/>
  <c r="C117" i="123"/>
  <c r="E78" i="123"/>
  <c r="E24" i="134" s="1"/>
  <c r="D78" i="123"/>
  <c r="D24" i="134" s="1"/>
  <c r="C78" i="123"/>
  <c r="C24" i="134" s="1"/>
  <c r="E4" i="100"/>
  <c r="F4" i="100" s="1"/>
  <c r="E5" i="100"/>
  <c r="F5" i="100" s="1"/>
  <c r="G5" i="100" s="1"/>
  <c r="K5" i="100"/>
  <c r="M5" i="100" s="1"/>
  <c r="E6" i="100"/>
  <c r="F6" i="100" s="1"/>
  <c r="B7" i="100"/>
  <c r="H7" i="100"/>
  <c r="K7" i="100"/>
  <c r="E9" i="100"/>
  <c r="E13" i="100" s="1"/>
  <c r="L9" i="100"/>
  <c r="M9" i="100" s="1"/>
  <c r="E10" i="100"/>
  <c r="F10" i="100" s="1"/>
  <c r="G10" i="100" s="1"/>
  <c r="K10" i="100"/>
  <c r="L10" i="100" s="1"/>
  <c r="L13" i="100" s="1"/>
  <c r="E11" i="100"/>
  <c r="F11" i="100" s="1"/>
  <c r="G11" i="100" s="1"/>
  <c r="K11" i="100"/>
  <c r="L11" i="100" s="1"/>
  <c r="E12" i="100"/>
  <c r="F12" i="100" s="1"/>
  <c r="G12" i="100" s="1"/>
  <c r="K12" i="100"/>
  <c r="L12" i="100" s="1"/>
  <c r="B13" i="100"/>
  <c r="H13" i="100"/>
  <c r="E15" i="100"/>
  <c r="G15" i="100" s="1"/>
  <c r="K15" i="100"/>
  <c r="L15" i="100" s="1"/>
  <c r="B16" i="100"/>
  <c r="C16" i="100"/>
  <c r="D16" i="100"/>
  <c r="H16" i="100"/>
  <c r="I16" i="100"/>
  <c r="J16" i="100"/>
  <c r="E19" i="100"/>
  <c r="E21" i="100" s="1"/>
  <c r="K19" i="100"/>
  <c r="E20" i="100"/>
  <c r="F20" i="100" s="1"/>
  <c r="G20" i="100" s="1"/>
  <c r="K20" i="100"/>
  <c r="B21" i="100"/>
  <c r="H21" i="100"/>
  <c r="E23" i="100"/>
  <c r="F23" i="100" s="1"/>
  <c r="K23" i="100"/>
  <c r="L23" i="100" s="1"/>
  <c r="M23" i="100" s="1"/>
  <c r="E27" i="100"/>
  <c r="F27" i="100" s="1"/>
  <c r="G27" i="100" s="1"/>
  <c r="E28" i="100"/>
  <c r="F28" i="100" s="1"/>
  <c r="K28" i="100"/>
  <c r="M28" i="100" s="1"/>
  <c r="M34" i="100" s="1"/>
  <c r="E29" i="100"/>
  <c r="F29" i="100" s="1"/>
  <c r="E30" i="100"/>
  <c r="F30" i="100" s="1"/>
  <c r="G30" i="100" s="1"/>
  <c r="E31" i="100"/>
  <c r="F31" i="100" s="1"/>
  <c r="G31" i="100" s="1"/>
  <c r="F32" i="100"/>
  <c r="G32" i="100" s="1"/>
  <c r="F33" i="100"/>
  <c r="G33" i="100" s="1"/>
  <c r="B34" i="100"/>
  <c r="H34" i="100"/>
  <c r="E36" i="100"/>
  <c r="F36" i="100" s="1"/>
  <c r="G36" i="100" s="1"/>
  <c r="M36" i="100"/>
  <c r="E37" i="100"/>
  <c r="F37" i="100" s="1"/>
  <c r="G37" i="100" s="1"/>
  <c r="E38" i="100"/>
  <c r="F38" i="100" s="1"/>
  <c r="E39" i="100"/>
  <c r="F39" i="100" s="1"/>
  <c r="G39" i="100" s="1"/>
  <c r="K39" i="100"/>
  <c r="M39" i="100" s="1"/>
  <c r="E40" i="100"/>
  <c r="F40" i="100" s="1"/>
  <c r="G40" i="100" s="1"/>
  <c r="E41" i="100"/>
  <c r="F41" i="100" s="1"/>
  <c r="G41" i="100" s="1"/>
  <c r="M41" i="100"/>
  <c r="E42" i="100"/>
  <c r="F42" i="100" s="1"/>
  <c r="G42" i="100" s="1"/>
  <c r="E43" i="100"/>
  <c r="F43" i="100" s="1"/>
  <c r="G43" i="100" s="1"/>
  <c r="G44" i="100"/>
  <c r="M44" i="100"/>
  <c r="B45" i="100"/>
  <c r="H45" i="100"/>
  <c r="L45" i="100"/>
  <c r="E47" i="100"/>
  <c r="F47" i="100" s="1"/>
  <c r="G47" i="100" s="1"/>
  <c r="K47" i="100"/>
  <c r="L47" i="100" s="1"/>
  <c r="B48" i="100"/>
  <c r="C48" i="100"/>
  <c r="D48" i="100"/>
  <c r="E48" i="100"/>
  <c r="I48" i="100"/>
  <c r="J48" i="100"/>
  <c r="G49" i="100"/>
  <c r="M49" i="100"/>
  <c r="G50" i="100"/>
  <c r="K50" i="100"/>
  <c r="L50" i="100" s="1"/>
  <c r="E51" i="100"/>
  <c r="F51" i="100" s="1"/>
  <c r="K51" i="100"/>
  <c r="L51" i="100" s="1"/>
  <c r="M51" i="100" s="1"/>
  <c r="E52" i="100"/>
  <c r="F52" i="100" s="1"/>
  <c r="G52" i="100" s="1"/>
  <c r="K52" i="100"/>
  <c r="L52" i="100" s="1"/>
  <c r="M52" i="100" s="1"/>
  <c r="B53" i="100"/>
  <c r="H53" i="100"/>
  <c r="E55" i="100"/>
  <c r="F55" i="100" s="1"/>
  <c r="G55" i="100" s="1"/>
  <c r="K55" i="100"/>
  <c r="L55" i="100" s="1"/>
  <c r="M55" i="100" s="1"/>
  <c r="E56" i="100"/>
  <c r="F56" i="100" s="1"/>
  <c r="G56" i="100" s="1"/>
  <c r="K56" i="100"/>
  <c r="L56" i="100" s="1"/>
  <c r="M56" i="100" s="1"/>
  <c r="C18" i="132"/>
  <c r="D18" i="132"/>
  <c r="E18" i="132"/>
  <c r="C22" i="132"/>
  <c r="D22" i="132"/>
  <c r="E22" i="132"/>
  <c r="C28" i="132"/>
  <c r="K7" i="134" s="1"/>
  <c r="D28" i="132"/>
  <c r="L7" i="134" s="1"/>
  <c r="E28" i="132"/>
  <c r="J28" i="132"/>
  <c r="C33" i="132"/>
  <c r="D33" i="132"/>
  <c r="E33" i="132"/>
  <c r="J33" i="132"/>
  <c r="C40" i="132"/>
  <c r="D40" i="132"/>
  <c r="E40" i="132"/>
  <c r="J40" i="132"/>
  <c r="C41" i="132"/>
  <c r="C63" i="132" s="1"/>
  <c r="D41" i="132"/>
  <c r="E41" i="132"/>
  <c r="J41" i="132"/>
  <c r="C44" i="132"/>
  <c r="D44" i="132"/>
  <c r="E44" i="132"/>
  <c r="J44" i="132"/>
  <c r="C52" i="132"/>
  <c r="D52" i="132"/>
  <c r="E52" i="132"/>
  <c r="J52" i="132"/>
  <c r="C56" i="132"/>
  <c r="D56" i="132"/>
  <c r="E56" i="132"/>
  <c r="C62" i="132"/>
  <c r="D62" i="132"/>
  <c r="E62" i="132"/>
  <c r="J62" i="132"/>
  <c r="E63" i="132"/>
  <c r="J64" i="132"/>
  <c r="J65" i="132"/>
  <c r="J66" i="132"/>
  <c r="J67" i="132"/>
  <c r="J68" i="132"/>
  <c r="C69" i="132"/>
  <c r="D69" i="132"/>
  <c r="E69" i="132"/>
  <c r="F69" i="132"/>
  <c r="J70" i="132"/>
  <c r="J71" i="132"/>
  <c r="J74" i="132"/>
  <c r="J75" i="132" s="1"/>
  <c r="C75" i="132"/>
  <c r="D75" i="132"/>
  <c r="E75" i="132"/>
  <c r="F75" i="132"/>
  <c r="C88" i="132"/>
  <c r="D88" i="132"/>
  <c r="E88" i="132"/>
  <c r="F88" i="132"/>
  <c r="J88" i="132"/>
  <c r="C91" i="132"/>
  <c r="D91" i="132"/>
  <c r="E91" i="132"/>
  <c r="E92" i="132" s="1"/>
  <c r="F91" i="132"/>
  <c r="F92" i="132"/>
  <c r="F125" i="132" s="1"/>
  <c r="F130" i="132" s="1"/>
  <c r="J91" i="132"/>
  <c r="C92" i="132"/>
  <c r="J92" i="132"/>
  <c r="C96" i="132"/>
  <c r="D96" i="132"/>
  <c r="D97" i="132" s="1"/>
  <c r="E96" i="132"/>
  <c r="E97" i="132" s="1"/>
  <c r="F96" i="132"/>
  <c r="F97" i="132"/>
  <c r="J96" i="132"/>
  <c r="C97" i="132"/>
  <c r="J97" i="132"/>
  <c r="C104" i="132"/>
  <c r="D104" i="132"/>
  <c r="E104" i="132"/>
  <c r="F104" i="132"/>
  <c r="J104" i="132"/>
  <c r="C115" i="132"/>
  <c r="D115" i="132"/>
  <c r="E115" i="132"/>
  <c r="F115" i="132"/>
  <c r="J115" i="132"/>
  <c r="C118" i="132"/>
  <c r="D118" i="132"/>
  <c r="E118" i="132"/>
  <c r="F118" i="132"/>
  <c r="J118" i="132"/>
  <c r="C121" i="132"/>
  <c r="D121" i="132"/>
  <c r="E121" i="132"/>
  <c r="F121" i="132"/>
  <c r="J121" i="132"/>
  <c r="C124" i="132"/>
  <c r="D124" i="132"/>
  <c r="E124" i="132"/>
  <c r="F124" i="132"/>
  <c r="J124" i="132"/>
  <c r="C28" i="123"/>
  <c r="C7" i="134" s="1"/>
  <c r="K4" i="128" s="1"/>
  <c r="L5" i="139" s="1"/>
  <c r="D28" i="123"/>
  <c r="D7" i="134" s="1"/>
  <c r="L4" i="128" s="1"/>
  <c r="M5" i="139" s="1"/>
  <c r="E28" i="123"/>
  <c r="C39" i="123"/>
  <c r="C40" i="123" s="1"/>
  <c r="D39" i="123"/>
  <c r="E39" i="123"/>
  <c r="C43" i="123"/>
  <c r="D43" i="123"/>
  <c r="E43" i="123"/>
  <c r="C51" i="123"/>
  <c r="D51" i="123"/>
  <c r="E51" i="123"/>
  <c r="C55" i="123"/>
  <c r="D55" i="123"/>
  <c r="E55" i="123"/>
  <c r="C61" i="123"/>
  <c r="D61" i="123"/>
  <c r="E61" i="123"/>
  <c r="R9" i="139"/>
  <c r="R10" i="139"/>
  <c r="R11" i="139"/>
  <c r="R19" i="139"/>
  <c r="C72" i="123"/>
  <c r="C17" i="134" s="1"/>
  <c r="K15" i="128" s="1"/>
  <c r="D72" i="123"/>
  <c r="D17" i="134" s="1"/>
  <c r="E72" i="123"/>
  <c r="E17" i="134" s="1"/>
  <c r="M15" i="128" s="1"/>
  <c r="I17" i="134"/>
  <c r="C73" i="123"/>
  <c r="C18" i="134" s="1"/>
  <c r="K16" i="128" s="1"/>
  <c r="L21" i="139" s="1"/>
  <c r="G18" i="134"/>
  <c r="D73" i="123"/>
  <c r="D18" i="134" s="1"/>
  <c r="L16" i="128" s="1"/>
  <c r="M21" i="139" s="1"/>
  <c r="E73" i="123"/>
  <c r="E18" i="134" s="1"/>
  <c r="R21" i="139"/>
  <c r="R22" i="139"/>
  <c r="R20" i="139"/>
  <c r="R18" i="139"/>
  <c r="C96" i="123"/>
  <c r="D96" i="123"/>
  <c r="E96" i="123"/>
  <c r="C101" i="123"/>
  <c r="D101" i="123"/>
  <c r="E101" i="123"/>
  <c r="C107" i="123"/>
  <c r="C108" i="123" s="1"/>
  <c r="D107" i="123"/>
  <c r="D108" i="123" s="1"/>
  <c r="E107" i="123"/>
  <c r="E108" i="123" s="1"/>
  <c r="L7" i="94"/>
  <c r="L8" i="94"/>
  <c r="C9" i="94"/>
  <c r="D9" i="94"/>
  <c r="E9" i="94"/>
  <c r="L10" i="94"/>
  <c r="L11" i="94"/>
  <c r="C12" i="94"/>
  <c r="D12" i="94"/>
  <c r="E12" i="94"/>
  <c r="T13" i="94"/>
  <c r="L13" i="94"/>
  <c r="Q13" i="94"/>
  <c r="W13" i="94"/>
  <c r="L14" i="94"/>
  <c r="C15" i="94"/>
  <c r="D15" i="94"/>
  <c r="E15" i="94"/>
  <c r="F15" i="94"/>
  <c r="L16" i="94"/>
  <c r="L17" i="94"/>
  <c r="L18" i="94"/>
  <c r="L28" i="94"/>
  <c r="L29" i="94"/>
  <c r="L30" i="94"/>
  <c r="L31" i="94"/>
  <c r="L32" i="94"/>
  <c r="L33" i="94"/>
  <c r="L34" i="94"/>
  <c r="L35" i="94"/>
  <c r="L27" i="94"/>
  <c r="L20" i="94"/>
  <c r="L21" i="94"/>
  <c r="L22" i="94"/>
  <c r="L23" i="94"/>
  <c r="L24" i="94"/>
  <c r="L25" i="94"/>
  <c r="C19" i="94"/>
  <c r="D19" i="94"/>
  <c r="E19" i="94"/>
  <c r="F19" i="94"/>
  <c r="C24" i="94"/>
  <c r="C26" i="94" s="1"/>
  <c r="C36" i="94"/>
  <c r="C37" i="94" s="1"/>
  <c r="D24" i="94"/>
  <c r="D26" i="94" s="1"/>
  <c r="E24" i="94"/>
  <c r="E26" i="94" s="1"/>
  <c r="E36" i="94"/>
  <c r="E37" i="94" s="1"/>
  <c r="D36" i="94"/>
  <c r="D37" i="94" s="1"/>
  <c r="M38" i="94"/>
  <c r="C15" i="95"/>
  <c r="C65" i="123" s="1"/>
  <c r="C11" i="134" s="1"/>
  <c r="K7" i="128" s="1"/>
  <c r="L9" i="139" s="1"/>
  <c r="L12" i="139" s="1"/>
  <c r="D15" i="95"/>
  <c r="D65" i="123" s="1"/>
  <c r="D11" i="134" s="1"/>
  <c r="E15" i="95"/>
  <c r="E65" i="123" s="1"/>
  <c r="E11" i="134" s="1"/>
  <c r="M7" i="128" s="1"/>
  <c r="N9" i="139" s="1"/>
  <c r="N12" i="139" s="1"/>
  <c r="C59" i="95"/>
  <c r="C68" i="123" s="1"/>
  <c r="C21" i="134" s="1"/>
  <c r="D59" i="95"/>
  <c r="D68" i="123" s="1"/>
  <c r="D21" i="134" s="1"/>
  <c r="H21" i="134"/>
  <c r="E59" i="95"/>
  <c r="E68" i="123" s="1"/>
  <c r="E21" i="134" s="1"/>
  <c r="M19" i="128" s="1"/>
  <c r="N13" i="139" s="1"/>
  <c r="N15" i="139" s="1"/>
  <c r="C7" i="97"/>
  <c r="D7" i="97"/>
  <c r="E7" i="97"/>
  <c r="C24" i="97"/>
  <c r="D24" i="97"/>
  <c r="E24" i="97"/>
  <c r="C34" i="97"/>
  <c r="D34" i="97"/>
  <c r="E34" i="97"/>
  <c r="C61" i="97"/>
  <c r="D61" i="97"/>
  <c r="E61" i="97"/>
  <c r="C64" i="97"/>
  <c r="D64" i="97"/>
  <c r="E64" i="97"/>
  <c r="C70" i="123"/>
  <c r="C15" i="134" s="1"/>
  <c r="E70" i="123"/>
  <c r="E15" i="134" s="1"/>
  <c r="C89" i="97"/>
  <c r="C91" i="97" s="1"/>
  <c r="C71" i="123" s="1"/>
  <c r="C16" i="134" s="1"/>
  <c r="D89" i="97"/>
  <c r="D91" i="97" s="1"/>
  <c r="D71" i="123" s="1"/>
  <c r="D16" i="134" s="1"/>
  <c r="E89" i="97"/>
  <c r="E91" i="97" s="1"/>
  <c r="E71" i="123" s="1"/>
  <c r="E16" i="134" s="1"/>
  <c r="H16" i="134"/>
  <c r="C97" i="97"/>
  <c r="C74" i="123" s="1"/>
  <c r="C19" i="134" s="1"/>
  <c r="D97" i="97"/>
  <c r="D74" i="123" s="1"/>
  <c r="D19" i="134" s="1"/>
  <c r="L17" i="128" s="1"/>
  <c r="M22" i="139" s="1"/>
  <c r="E97" i="97"/>
  <c r="E74" i="123" s="1"/>
  <c r="E19" i="134" s="1"/>
  <c r="F97" i="97"/>
  <c r="F98" i="97" s="1"/>
  <c r="E9" i="91"/>
  <c r="L9" i="91" s="1"/>
  <c r="L10" i="91"/>
  <c r="L11" i="91"/>
  <c r="L12" i="91"/>
  <c r="F13" i="91"/>
  <c r="L14" i="91"/>
  <c r="E23" i="91"/>
  <c r="F23" i="91"/>
  <c r="L24" i="91"/>
  <c r="L25" i="91"/>
  <c r="E26" i="91"/>
  <c r="L27" i="91"/>
  <c r="L28" i="91"/>
  <c r="E29" i="91"/>
  <c r="L31" i="91"/>
  <c r="E32" i="91"/>
  <c r="L33" i="91"/>
  <c r="J6" i="134"/>
  <c r="J14" i="134" s="1"/>
  <c r="J22" i="134" s="1"/>
  <c r="J27" i="134" s="1"/>
  <c r="E7" i="134"/>
  <c r="G7" i="134"/>
  <c r="H7" i="134"/>
  <c r="I7" i="134"/>
  <c r="J7" i="134"/>
  <c r="M7" i="134"/>
  <c r="K9" i="134"/>
  <c r="L9" i="134"/>
  <c r="M9" i="134"/>
  <c r="G11" i="134"/>
  <c r="H11" i="134"/>
  <c r="I11" i="134"/>
  <c r="J11" i="134"/>
  <c r="K11" i="134"/>
  <c r="L11" i="134"/>
  <c r="M11" i="134"/>
  <c r="J12" i="134"/>
  <c r="K12" i="134"/>
  <c r="L12" i="134"/>
  <c r="M12" i="134"/>
  <c r="J13" i="134"/>
  <c r="K13" i="134"/>
  <c r="L13" i="134"/>
  <c r="M13" i="134"/>
  <c r="G15" i="134"/>
  <c r="G20" i="134" s="1"/>
  <c r="H15" i="134"/>
  <c r="H20" i="134" s="1"/>
  <c r="I15" i="134"/>
  <c r="I20" i="134" s="1"/>
  <c r="J15" i="134"/>
  <c r="J20" i="134" s="1"/>
  <c r="K15" i="134"/>
  <c r="L15" i="134"/>
  <c r="M15" i="134"/>
  <c r="G16" i="134"/>
  <c r="I16" i="134"/>
  <c r="J16" i="134"/>
  <c r="K16" i="134"/>
  <c r="L16" i="134"/>
  <c r="M16" i="134"/>
  <c r="G17" i="134"/>
  <c r="H17" i="134"/>
  <c r="J17" i="134"/>
  <c r="K17" i="134"/>
  <c r="L17" i="134"/>
  <c r="M17" i="134"/>
  <c r="H18" i="134"/>
  <c r="I18" i="134"/>
  <c r="J18" i="134"/>
  <c r="K18" i="134"/>
  <c r="L18" i="134"/>
  <c r="M18" i="134"/>
  <c r="G19" i="134"/>
  <c r="H19" i="134"/>
  <c r="I19" i="134"/>
  <c r="J19" i="134"/>
  <c r="K19" i="134"/>
  <c r="L19" i="134"/>
  <c r="M19" i="134"/>
  <c r="G21" i="134"/>
  <c r="I21" i="134"/>
  <c r="J21" i="134"/>
  <c r="K21" i="134"/>
  <c r="L21" i="134"/>
  <c r="M21" i="134"/>
  <c r="C23" i="134"/>
  <c r="K27" i="128" s="1"/>
  <c r="D23" i="134"/>
  <c r="E23" i="134"/>
  <c r="M27" i="128" s="1"/>
  <c r="G23" i="134"/>
  <c r="H23" i="134"/>
  <c r="I23" i="134"/>
  <c r="J23" i="134"/>
  <c r="K23" i="134"/>
  <c r="L23" i="134"/>
  <c r="M23" i="134"/>
  <c r="Q23" i="134"/>
  <c r="C25" i="134"/>
  <c r="D25" i="134"/>
  <c r="E25" i="134"/>
  <c r="M32" i="128" s="1"/>
  <c r="G25" i="134"/>
  <c r="H25" i="134"/>
  <c r="I25" i="134"/>
  <c r="J25" i="134"/>
  <c r="K25" i="134"/>
  <c r="L25" i="134"/>
  <c r="M25" i="134"/>
  <c r="C30" i="134"/>
  <c r="D30" i="134"/>
  <c r="E30" i="134"/>
  <c r="G30" i="134"/>
  <c r="H30" i="134"/>
  <c r="I30" i="134"/>
  <c r="J30" i="134"/>
  <c r="K30" i="134"/>
  <c r="L30" i="134"/>
  <c r="M30" i="134"/>
  <c r="C3" i="92"/>
  <c r="D3" i="92"/>
  <c r="E3" i="92"/>
  <c r="C4" i="92"/>
  <c r="D4" i="92"/>
  <c r="E4" i="92"/>
  <c r="C5" i="92"/>
  <c r="D5" i="92"/>
  <c r="E5" i="92"/>
  <c r="C6" i="92"/>
  <c r="D6" i="92"/>
  <c r="E6" i="92"/>
  <c r="C7" i="92"/>
  <c r="D7" i="92"/>
  <c r="E7" i="92"/>
  <c r="C8" i="92"/>
  <c r="D8" i="92"/>
  <c r="E8" i="92"/>
  <c r="H9" i="92"/>
  <c r="J9" i="92"/>
  <c r="C10" i="92"/>
  <c r="D10" i="92"/>
  <c r="E10" i="92"/>
  <c r="C12" i="92"/>
  <c r="D12" i="92"/>
  <c r="E12" i="92"/>
  <c r="C13" i="92"/>
  <c r="D13" i="92"/>
  <c r="E13" i="92"/>
  <c r="H14" i="92"/>
  <c r="H20" i="92"/>
  <c r="H21" i="92" s="1"/>
  <c r="H30" i="92"/>
  <c r="J14" i="92"/>
  <c r="J20" i="92"/>
  <c r="J21" i="92" s="1"/>
  <c r="J30" i="92"/>
  <c r="J40" i="92"/>
  <c r="C16" i="92"/>
  <c r="C6" i="128" s="1"/>
  <c r="C18" i="139" s="1"/>
  <c r="D16" i="92"/>
  <c r="D17" i="92"/>
  <c r="D18" i="92"/>
  <c r="D19" i="92"/>
  <c r="E16" i="92"/>
  <c r="E6" i="128" s="1"/>
  <c r="E18" i="139" s="1"/>
  <c r="C17" i="92"/>
  <c r="E17" i="92"/>
  <c r="C18" i="92"/>
  <c r="E18" i="92"/>
  <c r="C19" i="92"/>
  <c r="E19" i="92"/>
  <c r="C22" i="92"/>
  <c r="C9" i="128" s="1"/>
  <c r="D22" i="92"/>
  <c r="D23" i="92"/>
  <c r="D10" i="128" s="1"/>
  <c r="D24" i="92"/>
  <c r="D13" i="128" s="1"/>
  <c r="D27" i="92"/>
  <c r="D14" i="128" s="1"/>
  <c r="D28" i="92"/>
  <c r="D15" i="128" s="1"/>
  <c r="D29" i="92"/>
  <c r="D16" i="128" s="1"/>
  <c r="E22" i="92"/>
  <c r="C23" i="92"/>
  <c r="C10" i="128" s="1"/>
  <c r="E23" i="92"/>
  <c r="E10" i="128" s="1"/>
  <c r="C24" i="92"/>
  <c r="C13" i="128" s="1"/>
  <c r="E24" i="92"/>
  <c r="E13" i="128" s="1"/>
  <c r="C27" i="92"/>
  <c r="C14" i="128" s="1"/>
  <c r="E27" i="92"/>
  <c r="E14" i="128" s="1"/>
  <c r="C28" i="92"/>
  <c r="C15" i="128" s="1"/>
  <c r="E28" i="92"/>
  <c r="E15" i="128" s="1"/>
  <c r="C29" i="92"/>
  <c r="C16" i="128" s="1"/>
  <c r="E29" i="92"/>
  <c r="E16" i="128" s="1"/>
  <c r="H32" i="92"/>
  <c r="H40" i="92" s="1"/>
  <c r="H38" i="92"/>
  <c r="C41" i="92"/>
  <c r="D41" i="92"/>
  <c r="E41" i="92"/>
  <c r="C42" i="92"/>
  <c r="D42" i="92"/>
  <c r="E42" i="92"/>
  <c r="H43" i="92"/>
  <c r="J43" i="92"/>
  <c r="C44" i="92"/>
  <c r="C20" i="128" s="1"/>
  <c r="C10" i="139" s="1"/>
  <c r="D44" i="92"/>
  <c r="D20" i="128" s="1"/>
  <c r="E44" i="92"/>
  <c r="E20" i="128" s="1"/>
  <c r="E10" i="139" s="1"/>
  <c r="C45" i="92"/>
  <c r="C21" i="128" s="1"/>
  <c r="C11" i="139" s="1"/>
  <c r="D45" i="92"/>
  <c r="D21" i="128" s="1"/>
  <c r="D11" i="139" s="1"/>
  <c r="E45" i="92"/>
  <c r="H46" i="92"/>
  <c r="J46" i="92"/>
  <c r="C47" i="92"/>
  <c r="C23" i="128" s="1"/>
  <c r="D47" i="92"/>
  <c r="E47" i="92"/>
  <c r="E23" i="128" s="1"/>
  <c r="E22" i="139" s="1"/>
  <c r="C48" i="92"/>
  <c r="D48" i="92"/>
  <c r="D24" i="128" s="1"/>
  <c r="D23" i="139" s="1"/>
  <c r="E48" i="92"/>
  <c r="E24" i="128" s="1"/>
  <c r="E23" i="139" s="1"/>
  <c r="H49" i="92"/>
  <c r="J49" i="92"/>
  <c r="C51" i="92"/>
  <c r="C27" i="128" s="1"/>
  <c r="C25" i="139" s="1"/>
  <c r="D51" i="92"/>
  <c r="D27" i="128" s="1"/>
  <c r="D25" i="139" s="1"/>
  <c r="D52" i="92"/>
  <c r="D28" i="128" s="1"/>
  <c r="D26" i="139" s="1"/>
  <c r="E51" i="92"/>
  <c r="E27" i="128" s="1"/>
  <c r="E25" i="139" s="1"/>
  <c r="K51" i="92"/>
  <c r="C52" i="92"/>
  <c r="C28" i="128" s="1"/>
  <c r="C26" i="139" s="1"/>
  <c r="E52" i="92"/>
  <c r="E28" i="128" s="1"/>
  <c r="E26" i="139" s="1"/>
  <c r="C53" i="92"/>
  <c r="C30" i="128" s="1"/>
  <c r="D53" i="92"/>
  <c r="D30" i="128" s="1"/>
  <c r="E53" i="92"/>
  <c r="E30" i="128" s="1"/>
  <c r="C54" i="92"/>
  <c r="C32" i="128" s="1"/>
  <c r="D54" i="92"/>
  <c r="D32" i="128" s="1"/>
  <c r="E54" i="92"/>
  <c r="E32" i="128" s="1"/>
  <c r="R13" i="139"/>
  <c r="C15" i="139"/>
  <c r="D15" i="139"/>
  <c r="E15" i="139"/>
  <c r="F15" i="139"/>
  <c r="I15" i="139"/>
  <c r="R15" i="139"/>
  <c r="I16" i="139"/>
  <c r="I24" i="139"/>
  <c r="I28" i="139"/>
  <c r="L28" i="139"/>
  <c r="M28" i="139"/>
  <c r="N28" i="139"/>
  <c r="R28" i="139"/>
  <c r="K28" i="128"/>
  <c r="L28" i="128"/>
  <c r="M28" i="128"/>
  <c r="D70" i="123"/>
  <c r="D15" i="134" s="1"/>
  <c r="D20" i="134" s="1"/>
  <c r="D61" i="95"/>
  <c r="G9" i="134"/>
  <c r="C63" i="123"/>
  <c r="C9" i="134" s="1"/>
  <c r="K6" i="128" s="1"/>
  <c r="L7" i="139" s="1"/>
  <c r="I9" i="134"/>
  <c r="E63" i="123"/>
  <c r="E9" i="134" s="1"/>
  <c r="M6" i="128" s="1"/>
  <c r="N7" i="139" s="1"/>
  <c r="J9" i="134"/>
  <c r="C23" i="132"/>
  <c r="K6" i="134" s="1"/>
  <c r="D63" i="123"/>
  <c r="D9" i="134" s="1"/>
  <c r="L6" i="128" s="1"/>
  <c r="M7" i="139" s="1"/>
  <c r="H9" i="134"/>
  <c r="F19" i="100"/>
  <c r="F21" i="100" s="1"/>
  <c r="F9" i="100"/>
  <c r="G38" i="92"/>
  <c r="F38" i="92"/>
  <c r="K38" i="92" s="1"/>
  <c r="G19" i="92"/>
  <c r="K19" i="92" s="1"/>
  <c r="E53" i="100"/>
  <c r="E34" i="100"/>
  <c r="E7" i="100"/>
  <c r="F15" i="100"/>
  <c r="F16" i="100" s="1"/>
  <c r="E16" i="100"/>
  <c r="F19" i="92"/>
  <c r="G9" i="100"/>
  <c r="G13" i="100" s="1"/>
  <c r="G19" i="100"/>
  <c r="M45" i="100"/>
  <c r="G47" i="92"/>
  <c r="K47" i="92" s="1"/>
  <c r="N15" i="138" s="1"/>
  <c r="L53" i="100"/>
  <c r="G44" i="92"/>
  <c r="K44" i="92" s="1"/>
  <c r="F44" i="92"/>
  <c r="F20" i="128" s="1"/>
  <c r="F10" i="139" s="1"/>
  <c r="F41" i="92"/>
  <c r="K21" i="100"/>
  <c r="L16" i="100"/>
  <c r="J15" i="143"/>
  <c r="J16" i="143" s="1"/>
  <c r="H15" i="143"/>
  <c r="H16" i="143" s="1"/>
  <c r="F15" i="143"/>
  <c r="F16" i="143" s="1"/>
  <c r="D15" i="143"/>
  <c r="D16" i="143" s="1"/>
  <c r="I15" i="143"/>
  <c r="I16" i="143" s="1"/>
  <c r="G15" i="143"/>
  <c r="G16" i="143" s="1"/>
  <c r="E15" i="143"/>
  <c r="E16" i="143" s="1"/>
  <c r="C15" i="143"/>
  <c r="C16" i="143" s="1"/>
  <c r="E13" i="91"/>
  <c r="E36" i="91" s="1"/>
  <c r="M47" i="100" l="1"/>
  <c r="L48" i="100"/>
  <c r="L58" i="100" s="1"/>
  <c r="G38" i="100"/>
  <c r="F45" i="100"/>
  <c r="G21" i="100"/>
  <c r="B19" i="142"/>
  <c r="N9" i="138" s="1"/>
  <c r="F26" i="92"/>
  <c r="B17" i="142"/>
  <c r="N7" i="138" s="1"/>
  <c r="F24" i="92"/>
  <c r="F13" i="128" s="1"/>
  <c r="G24" i="92"/>
  <c r="K24" i="92" s="1"/>
  <c r="E61" i="95"/>
  <c r="F25" i="134"/>
  <c r="F42" i="92"/>
  <c r="G6" i="100"/>
  <c r="G23" i="100"/>
  <c r="K34" i="100"/>
  <c r="K48" i="100"/>
  <c r="M48" i="100" s="1"/>
  <c r="G13" i="92"/>
  <c r="K13" i="92" s="1"/>
  <c r="F34" i="100"/>
  <c r="K13" i="100"/>
  <c r="L29" i="91"/>
  <c r="E102" i="123"/>
  <c r="J63" i="132"/>
  <c r="D63" i="132"/>
  <c r="M53" i="100"/>
  <c r="M12" i="100"/>
  <c r="M11" i="100"/>
  <c r="M10" i="100"/>
  <c r="J15" i="92"/>
  <c r="J50" i="92" s="1"/>
  <c r="J55" i="92" s="1"/>
  <c r="H15" i="92"/>
  <c r="H50" i="92" s="1"/>
  <c r="H55" i="92" s="1"/>
  <c r="E98" i="97"/>
  <c r="C38" i="94"/>
  <c r="L12" i="94"/>
  <c r="G6" i="92"/>
  <c r="K6" i="92" s="1"/>
  <c r="F43" i="92"/>
  <c r="F19" i="128" s="1"/>
  <c r="F21" i="139" s="1"/>
  <c r="G3" i="92"/>
  <c r="K3" i="92" s="1"/>
  <c r="C43" i="92"/>
  <c r="C19" i="128" s="1"/>
  <c r="C21" i="139" s="1"/>
  <c r="E40" i="123"/>
  <c r="AB23" i="123"/>
  <c r="AA23" i="123"/>
  <c r="Z23" i="123"/>
  <c r="U23" i="123"/>
  <c r="V23" i="123"/>
  <c r="M102" i="123"/>
  <c r="O102" i="123"/>
  <c r="O137" i="123" s="1"/>
  <c r="F7" i="100"/>
  <c r="G4" i="100"/>
  <c r="G7" i="100" s="1"/>
  <c r="C76" i="132"/>
  <c r="C80" i="132" s="1"/>
  <c r="D23" i="132"/>
  <c r="AG76" i="123"/>
  <c r="AG81" i="123" s="1"/>
  <c r="H38" i="94"/>
  <c r="D66" i="97"/>
  <c r="E137" i="123"/>
  <c r="E142" i="123" s="1"/>
  <c r="M13" i="100"/>
  <c r="B24" i="100"/>
  <c r="P102" i="123"/>
  <c r="P137" i="123" s="1"/>
  <c r="F23" i="132"/>
  <c r="J61" i="95"/>
  <c r="G38" i="94"/>
  <c r="Q55" i="92"/>
  <c r="L55" i="92"/>
  <c r="O3" i="128"/>
  <c r="L20" i="134"/>
  <c r="K14" i="134"/>
  <c r="M20" i="134"/>
  <c r="K20" i="134"/>
  <c r="E38" i="94"/>
  <c r="L5" i="128"/>
  <c r="M6" i="139" s="1"/>
  <c r="U25" i="134"/>
  <c r="N32" i="138" s="1"/>
  <c r="I40" i="92"/>
  <c r="C17" i="128"/>
  <c r="E25" i="128"/>
  <c r="E24" i="139"/>
  <c r="E20" i="92"/>
  <c r="E7" i="128" s="1"/>
  <c r="D14" i="134"/>
  <c r="D22" i="134" s="1"/>
  <c r="D27" i="134" s="1"/>
  <c r="D46" i="92"/>
  <c r="M30" i="128"/>
  <c r="B36" i="142"/>
  <c r="J69" i="132"/>
  <c r="M58" i="100"/>
  <c r="D9" i="139"/>
  <c r="D8" i="139"/>
  <c r="M4" i="128"/>
  <c r="N5" i="139" s="1"/>
  <c r="L14" i="128"/>
  <c r="M19" i="139" s="1"/>
  <c r="L19" i="94"/>
  <c r="C125" i="132"/>
  <c r="C130" i="132" s="1"/>
  <c r="L20" i="100"/>
  <c r="M20" i="100"/>
  <c r="L19" i="100"/>
  <c r="L21" i="100" s="1"/>
  <c r="L24" i="100" s="1"/>
  <c r="M19" i="100"/>
  <c r="H24" i="100"/>
  <c r="F135" i="123"/>
  <c r="G48" i="92" s="1"/>
  <c r="K48" i="92" s="1"/>
  <c r="Y136" i="123"/>
  <c r="G29" i="92"/>
  <c r="K29" i="92" s="1"/>
  <c r="F29" i="92"/>
  <c r="F16" i="128" s="1"/>
  <c r="E45" i="100"/>
  <c r="E58" i="100" s="1"/>
  <c r="D98" i="97"/>
  <c r="M50" i="100"/>
  <c r="G18" i="92"/>
  <c r="F13" i="100"/>
  <c r="F24" i="100" s="1"/>
  <c r="G16" i="100"/>
  <c r="E24" i="100"/>
  <c r="F48" i="100"/>
  <c r="G48" i="100" s="1"/>
  <c r="K45" i="100"/>
  <c r="L13" i="91"/>
  <c r="L19" i="128"/>
  <c r="M13" i="139" s="1"/>
  <c r="M15" i="139" s="1"/>
  <c r="E23" i="132"/>
  <c r="F28" i="128"/>
  <c r="F27" i="139"/>
  <c r="M8" i="128"/>
  <c r="N10" i="139" s="1"/>
  <c r="C66" i="123"/>
  <c r="C61" i="95"/>
  <c r="C22" i="128"/>
  <c r="L32" i="128"/>
  <c r="L27" i="128"/>
  <c r="L26" i="91"/>
  <c r="M17" i="128"/>
  <c r="N22" i="139" s="1"/>
  <c r="K17" i="128"/>
  <c r="L22" i="139" s="1"/>
  <c r="M14" i="128"/>
  <c r="N19" i="139" s="1"/>
  <c r="K14" i="128"/>
  <c r="L19" i="139" s="1"/>
  <c r="K19" i="128"/>
  <c r="L13" i="139" s="1"/>
  <c r="L15" i="139" s="1"/>
  <c r="L7" i="128"/>
  <c r="M9" i="139" s="1"/>
  <c r="M12" i="139" s="1"/>
  <c r="D38" i="94"/>
  <c r="L15" i="94"/>
  <c r="L9" i="94"/>
  <c r="C102" i="123"/>
  <c r="C137" i="123" s="1"/>
  <c r="C142" i="123" s="1"/>
  <c r="D102" i="123"/>
  <c r="D137" i="123" s="1"/>
  <c r="D142" i="123" s="1"/>
  <c r="M16" i="128"/>
  <c r="N21" i="139" s="1"/>
  <c r="L15" i="128"/>
  <c r="M20" i="139" s="1"/>
  <c r="M23" i="139" s="1"/>
  <c r="J125" i="132"/>
  <c r="J130" i="132" s="1"/>
  <c r="D92" i="132"/>
  <c r="D125" i="132" s="1"/>
  <c r="D130" i="132" s="1"/>
  <c r="H58" i="100"/>
  <c r="B58" i="100"/>
  <c r="C9" i="139"/>
  <c r="C8" i="139"/>
  <c r="E9" i="139"/>
  <c r="E8" i="139"/>
  <c r="AK23" i="123"/>
  <c r="O23" i="123"/>
  <c r="N23" i="123"/>
  <c r="M23" i="123"/>
  <c r="N102" i="123"/>
  <c r="N137" i="123" s="1"/>
  <c r="Q102" i="123"/>
  <c r="E23" i="123"/>
  <c r="E6" i="134" s="1"/>
  <c r="M10" i="128" s="1"/>
  <c r="F38" i="94"/>
  <c r="F63" i="123" s="1"/>
  <c r="B34" i="142" s="1"/>
  <c r="I15" i="92"/>
  <c r="F41" i="132"/>
  <c r="U18" i="134"/>
  <c r="U19" i="134"/>
  <c r="Q20" i="134"/>
  <c r="B36" i="138"/>
  <c r="E28" i="142"/>
  <c r="C28" i="142"/>
  <c r="C12" i="139"/>
  <c r="N33" i="138"/>
  <c r="N7" i="128"/>
  <c r="O8" i="139" s="1"/>
  <c r="E49" i="92"/>
  <c r="K30" i="128"/>
  <c r="D20" i="92"/>
  <c r="D7" i="128" s="1"/>
  <c r="D19" i="139" s="1"/>
  <c r="D9" i="92"/>
  <c r="D3" i="128" s="1"/>
  <c r="D4" i="139" s="1"/>
  <c r="L9" i="128"/>
  <c r="M11" i="139" s="1"/>
  <c r="E9" i="128"/>
  <c r="E17" i="128" s="1"/>
  <c r="E30" i="92"/>
  <c r="D9" i="128"/>
  <c r="D17" i="128" s="1"/>
  <c r="D30" i="92"/>
  <c r="D6" i="128"/>
  <c r="D18" i="139" s="1"/>
  <c r="D21" i="92"/>
  <c r="D14" i="92"/>
  <c r="D4" i="128" s="1"/>
  <c r="E62" i="123"/>
  <c r="C62" i="123"/>
  <c r="C8" i="134" s="1"/>
  <c r="K5" i="128" s="1"/>
  <c r="L6" i="139" s="1"/>
  <c r="P108" i="123"/>
  <c r="Y107" i="123"/>
  <c r="Y108" i="123" s="1"/>
  <c r="L30" i="128"/>
  <c r="C22" i="139"/>
  <c r="C24" i="128"/>
  <c r="C23" i="139" s="1"/>
  <c r="C49" i="92"/>
  <c r="D23" i="128"/>
  <c r="D25" i="128" s="1"/>
  <c r="D49" i="92"/>
  <c r="E21" i="128"/>
  <c r="E22" i="128" s="1"/>
  <c r="E46" i="92"/>
  <c r="D10" i="139"/>
  <c r="D12" i="139" s="1"/>
  <c r="D22" i="128"/>
  <c r="AV75" i="123"/>
  <c r="F20" i="92"/>
  <c r="F7" i="128" s="1"/>
  <c r="F19" i="139" s="1"/>
  <c r="D76" i="123"/>
  <c r="D81" i="123" s="1"/>
  <c r="G28" i="92"/>
  <c r="K28" i="92" s="1"/>
  <c r="B22" i="142"/>
  <c r="G35" i="92"/>
  <c r="K35" i="92" s="1"/>
  <c r="F11" i="92"/>
  <c r="U12" i="134"/>
  <c r="E69" i="123"/>
  <c r="AO23" i="123"/>
  <c r="AH23" i="123"/>
  <c r="AE23" i="123"/>
  <c r="AC23" i="123"/>
  <c r="S23" i="123"/>
  <c r="R23" i="123"/>
  <c r="Q23" i="123"/>
  <c r="AF76" i="123"/>
  <c r="AF81" i="123" s="1"/>
  <c r="AV69" i="123"/>
  <c r="F28" i="92"/>
  <c r="F15" i="128" s="1"/>
  <c r="F11" i="128"/>
  <c r="C23" i="123"/>
  <c r="F130" i="123"/>
  <c r="B12" i="142" s="1"/>
  <c r="G31" i="92"/>
  <c r="K31" i="92" s="1"/>
  <c r="B24" i="142"/>
  <c r="I29" i="139"/>
  <c r="C28" i="139"/>
  <c r="R23" i="139"/>
  <c r="R29" i="139" s="1"/>
  <c r="R12" i="139"/>
  <c r="R16" i="139" s="1"/>
  <c r="K52" i="92"/>
  <c r="B27" i="142" s="1"/>
  <c r="D43" i="92"/>
  <c r="D19" i="128" s="1"/>
  <c r="D21" i="139" s="1"/>
  <c r="E43" i="92"/>
  <c r="E19" i="128" s="1"/>
  <c r="E21" i="139" s="1"/>
  <c r="E14" i="92"/>
  <c r="C14" i="92"/>
  <c r="E9" i="92"/>
  <c r="E3" i="128" s="1"/>
  <c r="C9" i="92"/>
  <c r="C3" i="128" s="1"/>
  <c r="K32" i="128"/>
  <c r="C20" i="92"/>
  <c r="U30" i="134"/>
  <c r="F92" i="123"/>
  <c r="F96" i="123" s="1"/>
  <c r="G4" i="92"/>
  <c r="F4" i="92"/>
  <c r="H36" i="91"/>
  <c r="L23" i="91"/>
  <c r="L36" i="91" s="1"/>
  <c r="L13" i="128"/>
  <c r="M18" i="139" s="1"/>
  <c r="M29" i="139" s="1"/>
  <c r="E75" i="123"/>
  <c r="J66" i="97"/>
  <c r="J99" i="97" s="1"/>
  <c r="C98" i="97"/>
  <c r="E66" i="97"/>
  <c r="C66" i="97"/>
  <c r="C75" i="123"/>
  <c r="E20" i="134"/>
  <c r="C20" i="134"/>
  <c r="F75" i="123"/>
  <c r="M13" i="128"/>
  <c r="N18" i="139" s="1"/>
  <c r="N29" i="139" s="1"/>
  <c r="D75" i="123"/>
  <c r="U17" i="134"/>
  <c r="B38" i="142"/>
  <c r="F16" i="134"/>
  <c r="U16" i="134" s="1"/>
  <c r="N25" i="138" s="1"/>
  <c r="U11" i="134"/>
  <c r="D69" i="123"/>
  <c r="N10" i="128"/>
  <c r="O11" i="139" s="1"/>
  <c r="U13" i="134"/>
  <c r="N28" i="138" s="1"/>
  <c r="F69" i="123"/>
  <c r="F61" i="95"/>
  <c r="L37" i="94"/>
  <c r="L26" i="94"/>
  <c r="Y117" i="123"/>
  <c r="AV43" i="123"/>
  <c r="F43" i="123" s="1"/>
  <c r="AD23" i="123"/>
  <c r="AV22" i="123"/>
  <c r="F22" i="123" s="1"/>
  <c r="T23" i="123"/>
  <c r="F39" i="92"/>
  <c r="G41" i="92"/>
  <c r="K41" i="92" s="1"/>
  <c r="K43" i="92" s="1"/>
  <c r="U24" i="134"/>
  <c r="N30" i="128" s="1"/>
  <c r="O26" i="139" s="1"/>
  <c r="AT23" i="123"/>
  <c r="AR23" i="123"/>
  <c r="AJ23" i="123"/>
  <c r="AM23" i="123"/>
  <c r="AV32" i="123"/>
  <c r="F32" i="123" s="1"/>
  <c r="AV39" i="123"/>
  <c r="F39" i="123" s="1"/>
  <c r="AV61" i="123"/>
  <c r="F61" i="123" s="1"/>
  <c r="F56" i="123"/>
  <c r="O62" i="123"/>
  <c r="O76" i="123" s="1"/>
  <c r="O81" i="123" s="1"/>
  <c r="W102" i="123"/>
  <c r="W137" i="123" s="1"/>
  <c r="V102" i="123"/>
  <c r="V137" i="123" s="1"/>
  <c r="Y96" i="123"/>
  <c r="G32" i="92"/>
  <c r="K32" i="92" s="1"/>
  <c r="G33" i="92"/>
  <c r="K33" i="92" s="1"/>
  <c r="F48" i="92"/>
  <c r="B11" i="143"/>
  <c r="Y130" i="123"/>
  <c r="F34" i="92"/>
  <c r="Q137" i="123"/>
  <c r="B20" i="142"/>
  <c r="N10" i="138" s="1"/>
  <c r="S102" i="123"/>
  <c r="S137" i="123" s="1"/>
  <c r="R102" i="123"/>
  <c r="R137" i="123" s="1"/>
  <c r="U102" i="123"/>
  <c r="U137" i="123" s="1"/>
  <c r="T102" i="123"/>
  <c r="T137" i="123" s="1"/>
  <c r="X102" i="123"/>
  <c r="X137" i="123" s="1"/>
  <c r="B41" i="142"/>
  <c r="O24" i="139"/>
  <c r="F23" i="134"/>
  <c r="U23" i="134" s="1"/>
  <c r="N31" i="138" s="1"/>
  <c r="B42" i="142"/>
  <c r="AV55" i="123"/>
  <c r="F55" i="123" s="1"/>
  <c r="AM62" i="123"/>
  <c r="N62" i="123"/>
  <c r="Y62" i="123"/>
  <c r="Y76" i="123" s="1"/>
  <c r="Y81" i="123" s="1"/>
  <c r="F30" i="123"/>
  <c r="AA62" i="123"/>
  <c r="AA76" i="123" s="1"/>
  <c r="AA81" i="123" s="1"/>
  <c r="AS62" i="123"/>
  <c r="AR62" i="123"/>
  <c r="AO62" i="123"/>
  <c r="AK62" i="123"/>
  <c r="AI62" i="123"/>
  <c r="AH62" i="123"/>
  <c r="AT62" i="123"/>
  <c r="AN62" i="123"/>
  <c r="AJ62" i="123"/>
  <c r="R62" i="123"/>
  <c r="Q62" i="123"/>
  <c r="AL62" i="123"/>
  <c r="T62" i="123"/>
  <c r="P23" i="123"/>
  <c r="AS23" i="123"/>
  <c r="AN23" i="123"/>
  <c r="AL23" i="123"/>
  <c r="AI23" i="123"/>
  <c r="F63" i="132"/>
  <c r="Q8" i="134" s="1"/>
  <c r="Q6" i="134"/>
  <c r="N19" i="128"/>
  <c r="O13" i="139" s="1"/>
  <c r="O15" i="139" s="1"/>
  <c r="N34" i="138"/>
  <c r="L20" i="139"/>
  <c r="L23" i="139" s="1"/>
  <c r="K18" i="128"/>
  <c r="F9" i="134"/>
  <c r="U9" i="134" s="1"/>
  <c r="P7" i="139" s="1"/>
  <c r="O6" i="128" s="1"/>
  <c r="O9" i="139"/>
  <c r="E28" i="139"/>
  <c r="D28" i="139"/>
  <c r="N20" i="139"/>
  <c r="N23" i="139" s="1"/>
  <c r="M18" i="128"/>
  <c r="G51" i="100"/>
  <c r="G53" i="100" s="1"/>
  <c r="F53" i="100"/>
  <c r="E125" i="132"/>
  <c r="E130" i="132" s="1"/>
  <c r="G45" i="100"/>
  <c r="C46" i="92"/>
  <c r="C30" i="92"/>
  <c r="K53" i="100"/>
  <c r="K58" i="100" s="1"/>
  <c r="G29" i="100"/>
  <c r="G28" i="100"/>
  <c r="K16" i="100"/>
  <c r="M15" i="100"/>
  <c r="AE62" i="123"/>
  <c r="AE76" i="123" s="1"/>
  <c r="AE81" i="123" s="1"/>
  <c r="AD62" i="123"/>
  <c r="AC62" i="123"/>
  <c r="AB62" i="123"/>
  <c r="U62" i="123"/>
  <c r="U76" i="123" s="1"/>
  <c r="U81" i="123" s="1"/>
  <c r="S62" i="123"/>
  <c r="M62" i="123"/>
  <c r="V62" i="123"/>
  <c r="M137" i="123"/>
  <c r="Y133" i="123"/>
  <c r="M6" i="100"/>
  <c r="M7" i="100" s="1"/>
  <c r="F27" i="92"/>
  <c r="F14" i="128" s="1"/>
  <c r="AV18" i="123"/>
  <c r="N17" i="138"/>
  <c r="F53" i="92"/>
  <c r="Z62" i="123"/>
  <c r="Z76" i="123" s="1"/>
  <c r="Z81" i="123" s="1"/>
  <c r="P62" i="123"/>
  <c r="F103" i="123"/>
  <c r="F16" i="92" s="1"/>
  <c r="G45" i="92"/>
  <c r="F45" i="92"/>
  <c r="F123" i="123"/>
  <c r="Y127" i="123"/>
  <c r="F99" i="123"/>
  <c r="Y101" i="123"/>
  <c r="F101" i="123" s="1"/>
  <c r="G10" i="92"/>
  <c r="F10" i="92"/>
  <c r="F109" i="123"/>
  <c r="F117" i="123"/>
  <c r="F12" i="128"/>
  <c r="F25" i="92"/>
  <c r="G23" i="92"/>
  <c r="K23" i="92" s="1"/>
  <c r="F23" i="92"/>
  <c r="F10" i="128" s="1"/>
  <c r="AV51" i="123"/>
  <c r="F51" i="123" s="1"/>
  <c r="AV28" i="123"/>
  <c r="F28" i="123" s="1"/>
  <c r="F66" i="97"/>
  <c r="D28" i="142"/>
  <c r="W62" i="123"/>
  <c r="W76" i="123" s="1"/>
  <c r="W81" i="123" s="1"/>
  <c r="X62" i="123"/>
  <c r="X76" i="123" s="1"/>
  <c r="X81" i="123" s="1"/>
  <c r="V76" i="123" l="1"/>
  <c r="V81" i="123" s="1"/>
  <c r="AC76" i="123"/>
  <c r="AC81" i="123" s="1"/>
  <c r="AK76" i="123"/>
  <c r="AK81" i="123" s="1"/>
  <c r="F136" i="123"/>
  <c r="B11" i="142" s="1"/>
  <c r="G24" i="100"/>
  <c r="J76" i="132"/>
  <c r="J80" i="132" s="1"/>
  <c r="H39" i="94"/>
  <c r="E21" i="92"/>
  <c r="D99" i="97"/>
  <c r="E99" i="97"/>
  <c r="I50" i="92"/>
  <c r="I55" i="92" s="1"/>
  <c r="C9" i="140" s="1"/>
  <c r="S76" i="123"/>
  <c r="S81" i="123" s="1"/>
  <c r="AB76" i="123"/>
  <c r="AB81" i="123" s="1"/>
  <c r="Q76" i="123"/>
  <c r="Q81" i="123" s="1"/>
  <c r="AO76" i="123"/>
  <c r="AO81" i="123" s="1"/>
  <c r="D15" i="92"/>
  <c r="D50" i="92" s="1"/>
  <c r="D55" i="92" s="1"/>
  <c r="R76" i="123"/>
  <c r="R81" i="123" s="1"/>
  <c r="N16" i="128"/>
  <c r="O21" i="139" s="1"/>
  <c r="X18" i="134"/>
  <c r="D76" i="132"/>
  <c r="D80" i="132" s="1"/>
  <c r="L6" i="134"/>
  <c r="M76" i="123"/>
  <c r="M81" i="123" s="1"/>
  <c r="L8" i="134"/>
  <c r="N76" i="123"/>
  <c r="N81" i="123" s="1"/>
  <c r="M8" i="134"/>
  <c r="AR76" i="123"/>
  <c r="AR81" i="123" s="1"/>
  <c r="N15" i="128"/>
  <c r="O20" i="139" s="1"/>
  <c r="X17" i="134"/>
  <c r="N17" i="128"/>
  <c r="O22" i="139" s="1"/>
  <c r="X19" i="134"/>
  <c r="K8" i="128"/>
  <c r="L10" i="139" s="1"/>
  <c r="C12" i="134"/>
  <c r="P16" i="139"/>
  <c r="P31" i="139" s="1"/>
  <c r="K22" i="134"/>
  <c r="K27" i="134" s="1"/>
  <c r="L18" i="128"/>
  <c r="N31" i="128"/>
  <c r="D20" i="139"/>
  <c r="M3" i="128"/>
  <c r="M26" i="128" s="1"/>
  <c r="B35" i="142"/>
  <c r="K49" i="92"/>
  <c r="N16" i="138"/>
  <c r="F108" i="123"/>
  <c r="G16" i="92"/>
  <c r="N14" i="138" s="1"/>
  <c r="E76" i="132"/>
  <c r="E80" i="132" s="1"/>
  <c r="M6" i="134"/>
  <c r="M14" i="134" s="1"/>
  <c r="M22" i="134" s="1"/>
  <c r="M27" i="134" s="1"/>
  <c r="K18" i="92"/>
  <c r="K20" i="92" s="1"/>
  <c r="K21" i="92" s="1"/>
  <c r="G20" i="92"/>
  <c r="G21" i="92" s="1"/>
  <c r="F58" i="100"/>
  <c r="D22" i="139"/>
  <c r="D24" i="139" s="1"/>
  <c r="D29" i="139" s="1"/>
  <c r="D30" i="139" s="1"/>
  <c r="N32" i="128"/>
  <c r="AH76" i="123"/>
  <c r="AH81" i="123" s="1"/>
  <c r="AM76" i="123"/>
  <c r="AM81" i="123" s="1"/>
  <c r="E11" i="139"/>
  <c r="E12" i="139" s="1"/>
  <c r="C69" i="123"/>
  <c r="M21" i="100"/>
  <c r="C24" i="139"/>
  <c r="D8" i="128"/>
  <c r="C6" i="134"/>
  <c r="C76" i="123"/>
  <c r="C81" i="123" s="1"/>
  <c r="E76" i="123"/>
  <c r="E81" i="123" s="1"/>
  <c r="E8" i="134"/>
  <c r="AD76" i="123"/>
  <c r="AD81" i="123" s="1"/>
  <c r="G43" i="92"/>
  <c r="T76" i="123"/>
  <c r="T81" i="123" s="1"/>
  <c r="AJ76" i="123"/>
  <c r="AJ81" i="123" s="1"/>
  <c r="O28" i="139"/>
  <c r="C25" i="128"/>
  <c r="R31" i="139"/>
  <c r="I31" i="139"/>
  <c r="I30" i="139"/>
  <c r="C4" i="139"/>
  <c r="C4" i="128"/>
  <c r="C5" i="139" s="1"/>
  <c r="C15" i="92"/>
  <c r="D5" i="139"/>
  <c r="D6" i="139" s="1"/>
  <c r="D16" i="139" s="1"/>
  <c r="D31" i="139" s="1"/>
  <c r="D5" i="128"/>
  <c r="D26" i="128" s="1"/>
  <c r="C7" i="128"/>
  <c r="C21" i="92"/>
  <c r="C50" i="92" s="1"/>
  <c r="C55" i="92" s="1"/>
  <c r="E4" i="139"/>
  <c r="E4" i="128"/>
  <c r="E5" i="139" s="1"/>
  <c r="E15" i="92"/>
  <c r="E50" i="92" s="1"/>
  <c r="E55" i="92" s="1"/>
  <c r="F102" i="123"/>
  <c r="G5" i="92"/>
  <c r="K5" i="92" s="1"/>
  <c r="F5" i="92"/>
  <c r="F9" i="92" s="1"/>
  <c r="F3" i="128" s="1"/>
  <c r="F4" i="139" s="1"/>
  <c r="G9" i="92"/>
  <c r="K4" i="92"/>
  <c r="C99" i="97"/>
  <c r="K13" i="128"/>
  <c r="L18" i="139" s="1"/>
  <c r="L29" i="139" s="1"/>
  <c r="N14" i="128"/>
  <c r="O19" i="139" s="1"/>
  <c r="O12" i="139"/>
  <c r="N26" i="138"/>
  <c r="N11" i="128"/>
  <c r="L38" i="94"/>
  <c r="AT76" i="123"/>
  <c r="AT81" i="123" s="1"/>
  <c r="G49" i="92"/>
  <c r="AI76" i="123"/>
  <c r="AI81" i="123" s="1"/>
  <c r="AN76" i="123"/>
  <c r="AN81" i="123" s="1"/>
  <c r="F24" i="128"/>
  <c r="F49" i="92"/>
  <c r="AS76" i="123"/>
  <c r="AS81" i="123" s="1"/>
  <c r="AL76" i="123"/>
  <c r="AL81" i="123" s="1"/>
  <c r="P76" i="123"/>
  <c r="P81" i="123" s="1"/>
  <c r="F76" i="132"/>
  <c r="F80" i="132" s="1"/>
  <c r="Q14" i="134"/>
  <c r="Q22" i="134" s="1"/>
  <c r="Q27" i="134" s="1"/>
  <c r="F21" i="128"/>
  <c r="F46" i="92"/>
  <c r="L3" i="128"/>
  <c r="F6" i="128"/>
  <c r="F21" i="92"/>
  <c r="B10" i="142" s="1"/>
  <c r="B13" i="142" s="1"/>
  <c r="AV40" i="123"/>
  <c r="M16" i="100"/>
  <c r="M24" i="100" s="1"/>
  <c r="K24" i="100"/>
  <c r="F70" i="123"/>
  <c r="F99" i="97"/>
  <c r="B23" i="142"/>
  <c r="B14" i="142"/>
  <c r="B25" i="142" s="1"/>
  <c r="B8" i="143"/>
  <c r="B15" i="143" s="1"/>
  <c r="B16" i="143" s="1"/>
  <c r="B32" i="142"/>
  <c r="F7" i="134"/>
  <c r="U7" i="134" s="1"/>
  <c r="B15" i="142"/>
  <c r="N5" i="138" s="1"/>
  <c r="G22" i="92"/>
  <c r="F22" i="92"/>
  <c r="K10" i="92"/>
  <c r="G12" i="92"/>
  <c r="K12" i="92" s="1"/>
  <c r="F12" i="92"/>
  <c r="F14" i="92" s="1"/>
  <c r="G36" i="92"/>
  <c r="F36" i="92"/>
  <c r="F40" i="92" s="1"/>
  <c r="F18" i="128" s="1"/>
  <c r="F9" i="139" s="1"/>
  <c r="F127" i="123"/>
  <c r="B7" i="142" s="1"/>
  <c r="N13" i="138" s="1"/>
  <c r="K45" i="92"/>
  <c r="K46" i="92" s="1"/>
  <c r="G46" i="92"/>
  <c r="Y102" i="123"/>
  <c r="Y137" i="123" s="1"/>
  <c r="F30" i="128"/>
  <c r="F26" i="139" s="1"/>
  <c r="F28" i="139" s="1"/>
  <c r="K53" i="92"/>
  <c r="AV23" i="123"/>
  <c r="F18" i="123"/>
  <c r="G34" i="100"/>
  <c r="G58" i="100" s="1"/>
  <c r="E8" i="128"/>
  <c r="E19" i="139"/>
  <c r="E20" i="139" s="1"/>
  <c r="E29" i="139" s="1"/>
  <c r="N27" i="138"/>
  <c r="N6" i="128"/>
  <c r="O7" i="139" s="1"/>
  <c r="N18" i="128" l="1"/>
  <c r="O23" i="139"/>
  <c r="L14" i="134"/>
  <c r="L22" i="134" s="1"/>
  <c r="L27" i="134" s="1"/>
  <c r="E6" i="139"/>
  <c r="E16" i="139" s="1"/>
  <c r="N4" i="139"/>
  <c r="N16" i="139" s="1"/>
  <c r="N31" i="139" s="1"/>
  <c r="E5" i="128"/>
  <c r="E26" i="128" s="1"/>
  <c r="M5" i="128"/>
  <c r="N6" i="139" s="1"/>
  <c r="E14" i="134"/>
  <c r="E22" i="134" s="1"/>
  <c r="E27" i="134" s="1"/>
  <c r="M29" i="128"/>
  <c r="M34" i="128"/>
  <c r="C14" i="134"/>
  <c r="C22" i="134" s="1"/>
  <c r="C27" i="134" s="1"/>
  <c r="C6" i="139"/>
  <c r="C16" i="139" s="1"/>
  <c r="C31" i="139" s="1"/>
  <c r="D29" i="128"/>
  <c r="D34" i="128"/>
  <c r="C8" i="128"/>
  <c r="C19" i="139"/>
  <c r="C20" i="139" s="1"/>
  <c r="C29" i="139" s="1"/>
  <c r="C30" i="139" s="1"/>
  <c r="C5" i="128"/>
  <c r="K9" i="92"/>
  <c r="F23" i="139"/>
  <c r="F24" i="139" s="1"/>
  <c r="F25" i="128"/>
  <c r="K14" i="92"/>
  <c r="AV81" i="123"/>
  <c r="F4" i="128"/>
  <c r="F15" i="92"/>
  <c r="F30" i="92"/>
  <c r="F9" i="128"/>
  <c r="F17" i="128" s="1"/>
  <c r="F15" i="134"/>
  <c r="B37" i="142"/>
  <c r="F40" i="123"/>
  <c r="F62" i="123" s="1"/>
  <c r="AV62" i="123"/>
  <c r="AV76" i="123" s="1"/>
  <c r="F18" i="139"/>
  <c r="F20" i="139" s="1"/>
  <c r="F8" i="128"/>
  <c r="L10" i="128"/>
  <c r="F11" i="139"/>
  <c r="F12" i="139" s="1"/>
  <c r="F22" i="128"/>
  <c r="E30" i="139"/>
  <c r="N30" i="139"/>
  <c r="F23" i="123"/>
  <c r="K36" i="92"/>
  <c r="K40" i="92" s="1"/>
  <c r="G40" i="92"/>
  <c r="G14" i="92"/>
  <c r="G15" i="92" s="1"/>
  <c r="K22" i="92"/>
  <c r="K30" i="92" s="1"/>
  <c r="F8" i="139" s="1"/>
  <c r="G30" i="92"/>
  <c r="N4" i="128"/>
  <c r="O5" i="139" s="1"/>
  <c r="N22" i="138"/>
  <c r="L26" i="128"/>
  <c r="M4" i="139"/>
  <c r="M16" i="139" s="1"/>
  <c r="M31" i="139" s="1"/>
  <c r="F137" i="123"/>
  <c r="F142" i="123" s="1"/>
  <c r="N17" i="139" l="1"/>
  <c r="E29" i="128"/>
  <c r="E34" i="128"/>
  <c r="K3" i="128"/>
  <c r="E17" i="139"/>
  <c r="E31" i="139"/>
  <c r="C26" i="128"/>
  <c r="L30" i="139"/>
  <c r="K15" i="92"/>
  <c r="F29" i="139"/>
  <c r="K50" i="92"/>
  <c r="G50" i="92"/>
  <c r="G55" i="92" s="1"/>
  <c r="C8" i="140" s="1"/>
  <c r="B33" i="142"/>
  <c r="F8" i="134"/>
  <c r="U8" i="134" s="1"/>
  <c r="U15" i="134"/>
  <c r="N24" i="138" s="1"/>
  <c r="F20" i="134"/>
  <c r="F50" i="92"/>
  <c r="F55" i="92" s="1"/>
  <c r="B6" i="142"/>
  <c r="L34" i="128"/>
  <c r="L29" i="128"/>
  <c r="B31" i="142"/>
  <c r="F6" i="134"/>
  <c r="F76" i="123"/>
  <c r="F81" i="123" s="1"/>
  <c r="F5" i="139"/>
  <c r="F6" i="139" s="1"/>
  <c r="F16" i="139" s="1"/>
  <c r="F5" i="128"/>
  <c r="F26" i="128" s="1"/>
  <c r="F29" i="128" s="1"/>
  <c r="F34" i="128" s="1"/>
  <c r="K26" i="128" l="1"/>
  <c r="L4" i="139"/>
  <c r="L16" i="139" s="1"/>
  <c r="K10" i="128"/>
  <c r="C34" i="128"/>
  <c r="C29" i="128"/>
  <c r="F31" i="139"/>
  <c r="B44" i="142"/>
  <c r="K55" i="92"/>
  <c r="U6" i="134"/>
  <c r="F14" i="134"/>
  <c r="F22" i="134" s="1"/>
  <c r="F27" i="134" s="1"/>
  <c r="N3" i="138"/>
  <c r="N19" i="138" s="1"/>
  <c r="B9" i="142"/>
  <c r="B28" i="142" s="1"/>
  <c r="N23" i="138"/>
  <c r="N5" i="128"/>
  <c r="O6" i="139" s="1"/>
  <c r="N13" i="128"/>
  <c r="O18" i="139" s="1"/>
  <c r="O29" i="139" s="1"/>
  <c r="U20" i="134"/>
  <c r="C7" i="140"/>
  <c r="C10" i="140"/>
  <c r="D3" i="138" l="1"/>
  <c r="D19" i="138" s="1"/>
  <c r="C3" i="138"/>
  <c r="L31" i="139"/>
  <c r="L17" i="139"/>
  <c r="C17" i="139"/>
  <c r="K34" i="128"/>
  <c r="K29" i="128"/>
  <c r="N21" i="138"/>
  <c r="N35" i="138" s="1"/>
  <c r="N3" i="128"/>
  <c r="U14" i="134"/>
  <c r="C19" i="138" l="1"/>
  <c r="C36" i="138" s="1"/>
  <c r="D36" i="138" s="1"/>
  <c r="E36" i="138" s="1"/>
  <c r="F36" i="138" s="1"/>
  <c r="G36" i="138" s="1"/>
  <c r="H36" i="138" s="1"/>
  <c r="I36" i="138" s="1"/>
  <c r="J36" i="138" s="1"/>
  <c r="K36" i="138" s="1"/>
  <c r="L36" i="138" s="1"/>
  <c r="M36" i="138" s="1"/>
  <c r="N36" i="138" s="1"/>
  <c r="O4" i="139"/>
  <c r="O16" i="139" s="1"/>
  <c r="O31" i="139" s="1"/>
  <c r="N26" i="128"/>
  <c r="N29" i="128" s="1"/>
  <c r="N34" i="128" s="1"/>
  <c r="N29" i="138"/>
  <c r="U22" i="134"/>
  <c r="U27" i="134" s="1"/>
  <c r="O26" i="128"/>
  <c r="O29" i="128" s="1"/>
  <c r="O34" i="128" s="1"/>
</calcChain>
</file>

<file path=xl/sharedStrings.xml><?xml version="1.0" encoding="utf-8"?>
<sst xmlns="http://schemas.openxmlformats.org/spreadsheetml/2006/main" count="1637" uniqueCount="893">
  <si>
    <t xml:space="preserve">   Jelzőrendszeres 50e, doborgazi tábor 70e rászoruló gy kar 75e, idősek otthoni ellátásért</t>
  </si>
  <si>
    <t>K I A D Á S O K</t>
  </si>
  <si>
    <t>Személyi juttatások</t>
  </si>
  <si>
    <t>Dologi kiadás</t>
  </si>
  <si>
    <t>Ellátottak juttatása</t>
  </si>
  <si>
    <t>Beruházás</t>
  </si>
  <si>
    <t xml:space="preserve">         Működési kiadások összesen</t>
  </si>
  <si>
    <t xml:space="preserve">          Felhalmozási kiadások</t>
  </si>
  <si>
    <t xml:space="preserve">                KIADÁSOK ÖSSZESEN</t>
  </si>
  <si>
    <t>KIADÁSOK</t>
  </si>
  <si>
    <t>Rónafő</t>
  </si>
  <si>
    <t>Gyerekek</t>
  </si>
  <si>
    <t xml:space="preserve"> fő</t>
  </si>
  <si>
    <t>nap</t>
  </si>
  <si>
    <t>Ft/fő/nap</t>
  </si>
  <si>
    <t xml:space="preserve">Ft </t>
  </si>
  <si>
    <t>áfa</t>
  </si>
  <si>
    <t>2013. évi terv</t>
  </si>
  <si>
    <t>I.1.bc.</t>
  </si>
  <si>
    <t>I.1.bd.</t>
  </si>
  <si>
    <t>Zöldterület gazdálkodással kapcsolatos feladatok</t>
  </si>
  <si>
    <t>Közvilágítás fenntartásának támogatása</t>
  </si>
  <si>
    <t>Közutak fenntartásának támogatása</t>
  </si>
  <si>
    <t>II.1.1.1.</t>
  </si>
  <si>
    <t>II.1.2.1.</t>
  </si>
  <si>
    <t>II.1.1.2.</t>
  </si>
  <si>
    <t>II.1.2.2</t>
  </si>
  <si>
    <t xml:space="preserve">                                            közvetlen segítők</t>
  </si>
  <si>
    <t xml:space="preserve">                                                közvetlen segítők</t>
  </si>
  <si>
    <r>
      <t xml:space="preserve">                          8 hónap  </t>
    </r>
    <r>
      <rPr>
        <sz val="12"/>
        <rFont val="Times"/>
        <family val="1"/>
        <charset val="238"/>
      </rPr>
      <t xml:space="preserve">  óvodapedagógus</t>
    </r>
  </si>
  <si>
    <r>
      <t xml:space="preserve">                         4 hónap      </t>
    </r>
    <r>
      <rPr>
        <sz val="12"/>
        <rFont val="Times"/>
        <family val="1"/>
        <charset val="238"/>
      </rPr>
      <t xml:space="preserve">      óvodapedagógus</t>
    </r>
  </si>
  <si>
    <t xml:space="preserve">                                            működtetés</t>
  </si>
  <si>
    <t xml:space="preserve">                                          működtetés</t>
  </si>
  <si>
    <t>II.2.8.1.</t>
  </si>
  <si>
    <t>II.2.8.2.</t>
  </si>
  <si>
    <t xml:space="preserve">           Óvodás gyerek össz.</t>
  </si>
  <si>
    <t xml:space="preserve"> - menzás tízórai</t>
  </si>
  <si>
    <t xml:space="preserve"> - napközis</t>
  </si>
  <si>
    <t xml:space="preserve">     Iskolás gyerekek össz.</t>
  </si>
  <si>
    <t>Felnőttek</t>
  </si>
  <si>
    <t>Alkalmazott összesen</t>
  </si>
  <si>
    <t>Vendég</t>
  </si>
  <si>
    <t xml:space="preserve">       Munkahelyi vendéglátás </t>
  </si>
  <si>
    <t xml:space="preserve"> Kiadások összesen</t>
  </si>
  <si>
    <r>
      <t xml:space="preserve">               </t>
    </r>
    <r>
      <rPr>
        <b/>
        <sz val="9"/>
        <rFont val="Times"/>
        <family val="1"/>
        <charset val="238"/>
      </rPr>
      <t xml:space="preserve">   Óvodás össz:</t>
    </r>
  </si>
  <si>
    <t xml:space="preserve">                        Iskolás összesen</t>
  </si>
  <si>
    <t xml:space="preserve">  Munkahelyi vendéglátás</t>
  </si>
  <si>
    <t xml:space="preserve">  Bevételek összesen</t>
  </si>
  <si>
    <t xml:space="preserve">               tízórais       50 %-os</t>
  </si>
  <si>
    <t xml:space="preserve">                                  teljes</t>
  </si>
  <si>
    <t xml:space="preserve">                                tízórais</t>
  </si>
  <si>
    <t xml:space="preserve">              ingyenes:     egésznapos</t>
  </si>
  <si>
    <t>ebből:</t>
  </si>
  <si>
    <t>2013. évi</t>
  </si>
  <si>
    <t xml:space="preserve">2013. évi </t>
  </si>
  <si>
    <t>Óvoda</t>
  </si>
  <si>
    <t>Eltérés</t>
  </si>
  <si>
    <t>Bölcsődés gyerekek össz.:</t>
  </si>
  <si>
    <t>Munkaadókat terhelő járulék</t>
  </si>
  <si>
    <t>Eredeti ei.</t>
  </si>
  <si>
    <t>Bölcsőde</t>
  </si>
  <si>
    <t>Bölcsődés gyerekek össz.</t>
  </si>
  <si>
    <t>Tartalék</t>
  </si>
  <si>
    <t>Önkormányzat</t>
  </si>
  <si>
    <t>Értékpapír vásárlás</t>
  </si>
  <si>
    <t>Felújítás</t>
  </si>
  <si>
    <t>Összesen</t>
  </si>
  <si>
    <t>Kiadások</t>
  </si>
  <si>
    <t>Táppénz hozzájárulás</t>
  </si>
  <si>
    <t>Élelmiszer</t>
  </si>
  <si>
    <t>Üzemanyag</t>
  </si>
  <si>
    <t>Reprezentáció</t>
  </si>
  <si>
    <t>Kifizetői adó (szja)</t>
  </si>
  <si>
    <t>Tényleges</t>
  </si>
  <si>
    <t>terv</t>
  </si>
  <si>
    <t xml:space="preserve">  Külső személyi juttatások </t>
  </si>
  <si>
    <t>Szociális adó</t>
  </si>
  <si>
    <t xml:space="preserve">EHO </t>
  </si>
  <si>
    <t>Munkaruha, védőeszköz</t>
  </si>
  <si>
    <t>Intézmény finanszírozás</t>
  </si>
  <si>
    <t xml:space="preserve">                          BEVÉTELEK ÖSSZESEN</t>
  </si>
  <si>
    <t>Ápolási díj</t>
  </si>
  <si>
    <t>Ft/fő</t>
  </si>
  <si>
    <t>fő</t>
  </si>
  <si>
    <t>Ft</t>
  </si>
  <si>
    <t xml:space="preserve">Óvodai nevelés </t>
  </si>
  <si>
    <t>Lakásfenntartási támogatás</t>
  </si>
  <si>
    <t xml:space="preserve">    ÁLLAMI TÁMOGATÁS ÖSSZESEN</t>
  </si>
  <si>
    <t>BEVÉTELEK</t>
  </si>
  <si>
    <t>Iparűzési adó</t>
  </si>
  <si>
    <t>Gépjármű adó</t>
  </si>
  <si>
    <t>Gyermekvédelmi támogatás</t>
  </si>
  <si>
    <t>Pénzmaradvány</t>
  </si>
  <si>
    <t>Megnevezés</t>
  </si>
  <si>
    <t>Műv.ház</t>
  </si>
  <si>
    <t>Szociális juttatások</t>
  </si>
  <si>
    <t>Gyógyszer, vegyszer</t>
  </si>
  <si>
    <t>Bevételek</t>
  </si>
  <si>
    <t>Kölcsön nyújtás</t>
  </si>
  <si>
    <t>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</si>
  <si>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</si>
  <si>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</si>
  <si>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</si>
  <si>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</si>
  <si>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</si>
  <si>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</si>
  <si>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</si>
  <si>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</si>
  <si>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</si>
  <si>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</si>
  <si>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</si>
  <si>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</si>
  <si>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bevételek</t>
  </si>
  <si>
    <t>Bevételek összesen:</t>
  </si>
  <si>
    <t>Járulékok</t>
  </si>
  <si>
    <t>Dologi jellegű kiadások</t>
  </si>
  <si>
    <t>Beruházások</t>
  </si>
  <si>
    <t>Felújtások</t>
  </si>
  <si>
    <t>Támogatásértékű kiadások</t>
  </si>
  <si>
    <t>Kiadások összesen:</t>
  </si>
  <si>
    <t>Egyenleg</t>
  </si>
  <si>
    <t>Értékpapír kibocsátás, értékesítés</t>
  </si>
  <si>
    <t xml:space="preserve">                   Finanszírozási célú bevételek</t>
  </si>
  <si>
    <t xml:space="preserve">             Finanszírozási célú kiadások</t>
  </si>
  <si>
    <t>MŰKÖDÉSI  BEVÉTELEK ÖSSZESEN</t>
  </si>
  <si>
    <t>MŰKÖDÉSI KIADÁSOK ÖSSZ.</t>
  </si>
  <si>
    <t>Hiány:</t>
  </si>
  <si>
    <t>Többlet:</t>
  </si>
  <si>
    <t xml:space="preserve">                    Finanszírozási célú bevételek</t>
  </si>
  <si>
    <t>FELHALMOZÁSI BEVÉTELEK ÖSSZESEN</t>
  </si>
  <si>
    <t>FELHALMOZÁSI KIADÁSOK ÖSSZ.</t>
  </si>
  <si>
    <t xml:space="preserve">                MIND ÖSSZESEN</t>
  </si>
  <si>
    <t xml:space="preserve">                       MIND ÖSSZESEN</t>
  </si>
  <si>
    <t xml:space="preserve">ebből: </t>
  </si>
  <si>
    <t>önként vállalt</t>
  </si>
  <si>
    <t>Létszám  ( fő)</t>
  </si>
  <si>
    <t xml:space="preserve">önként </t>
  </si>
  <si>
    <t>vállalt</t>
  </si>
  <si>
    <t>feladat</t>
  </si>
  <si>
    <t>Létszám (fő)</t>
  </si>
  <si>
    <t>Könyvtári, közművelődés feladatok támogatása</t>
  </si>
  <si>
    <t>Mszolnok</t>
  </si>
  <si>
    <t>Foglalkoztatást helyettesítő támogatás</t>
  </si>
  <si>
    <t>K1101</t>
  </si>
  <si>
    <t>Alapilletmények, pótlékok, illetmény-, keresetkiegészítés</t>
  </si>
  <si>
    <t>K1102</t>
  </si>
  <si>
    <t>Jutalom</t>
  </si>
  <si>
    <t>K1103</t>
  </si>
  <si>
    <t>Céljuttatás, prémium</t>
  </si>
  <si>
    <t>K1104</t>
  </si>
  <si>
    <t>Túlóra, helyettesítés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</si>
  <si>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</si>
  <si>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</si>
  <si>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</si>
  <si>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</si>
  <si>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</si>
  <si>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</si>
  <si>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</si>
  <si>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</si>
  <si>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</si>
  <si>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</t>
  </si>
  <si>
    <t>K1113</t>
  </si>
  <si>
    <t>K121</t>
  </si>
  <si>
    <t>K122</t>
  </si>
  <si>
    <t>K123</t>
  </si>
  <si>
    <t>Választott tisztségviselők juttatásai</t>
  </si>
  <si>
    <t>Munkavégzésre irányuló egyéb jogviszony</t>
  </si>
  <si>
    <t xml:space="preserve">      Foglalkoztatottak személyi juttatásai</t>
  </si>
  <si>
    <t>K11</t>
  </si>
  <si>
    <t>K12</t>
  </si>
  <si>
    <t>K1</t>
  </si>
  <si>
    <t>K21</t>
  </si>
  <si>
    <t>K24</t>
  </si>
  <si>
    <t>K25</t>
  </si>
  <si>
    <t>K27</t>
  </si>
  <si>
    <t>K2</t>
  </si>
  <si>
    <t>MUNKAADÓKAT TERHELŐ JÁR., ADÓK</t>
  </si>
  <si>
    <t>SZEMÉLYI JUTTATÁSOK ÖSSZESEN</t>
  </si>
  <si>
    <t>K31</t>
  </si>
  <si>
    <t>K3111</t>
  </si>
  <si>
    <t>K3112</t>
  </si>
  <si>
    <t>Könyv, folyóirat, tev-t segítő információhordozó</t>
  </si>
  <si>
    <t>K311</t>
  </si>
  <si>
    <t xml:space="preserve">                Szakmai anyag beszerzés</t>
  </si>
  <si>
    <t>Irodaszer, nyomtatvány</t>
  </si>
  <si>
    <t>Sokszorosítási feladatokkal összefüggő anyagok</t>
  </si>
  <si>
    <t>Egyéb anyag, készletbeszerzés</t>
  </si>
  <si>
    <t>K3121</t>
  </si>
  <si>
    <t>K3122</t>
  </si>
  <si>
    <t>K3123</t>
  </si>
  <si>
    <t>K3124</t>
  </si>
  <si>
    <t>K3125</t>
  </si>
  <si>
    <t>K3126</t>
  </si>
  <si>
    <t>K312</t>
  </si>
  <si>
    <t xml:space="preserve">               Üzemeltetési anyagok beszerzése</t>
  </si>
  <si>
    <t>Foglalkoztatottak egyéb személyi juttatása (biztosítási díj)</t>
  </si>
  <si>
    <t>Egyéb külső személyi juttatások (prémium évek, egysz.fogl.,repi)</t>
  </si>
  <si>
    <t xml:space="preserve">                 KÉSZLETBESZERZÉS</t>
  </si>
  <si>
    <t>K321</t>
  </si>
  <si>
    <t>Informatikai szolgáltatások igénybevétele</t>
  </si>
  <si>
    <t xml:space="preserve">K322 </t>
  </si>
  <si>
    <t>K32</t>
  </si>
  <si>
    <t xml:space="preserve">               KOMMUNIKÁCIÓS SZOLGÁLTATÁSOK</t>
  </si>
  <si>
    <t>K331</t>
  </si>
  <si>
    <t>K333</t>
  </si>
  <si>
    <t>Bérleit díjak</t>
  </si>
  <si>
    <t>K334</t>
  </si>
  <si>
    <t>Karbantartás, kisjavítási szolgáltatások</t>
  </si>
  <si>
    <t>K335</t>
  </si>
  <si>
    <t>Közvetített szolgáltatások</t>
  </si>
  <si>
    <t>K336</t>
  </si>
  <si>
    <t>K337</t>
  </si>
  <si>
    <t>K 33</t>
  </si>
  <si>
    <t xml:space="preserve">              SZOLGÁLTATÁSI KIADÁSOK</t>
  </si>
  <si>
    <t>k332</t>
  </si>
  <si>
    <t>Vásárolt élelmezés</t>
  </si>
  <si>
    <t>K341</t>
  </si>
  <si>
    <t>K342</t>
  </si>
  <si>
    <t>K343</t>
  </si>
  <si>
    <t>Kiküldetési kiadások</t>
  </si>
  <si>
    <t>Reklám és propaganda kiadások</t>
  </si>
  <si>
    <t>K34</t>
  </si>
  <si>
    <t xml:space="preserve">             KIKÜLDETÉSEK, REKLÁM  KIADÁSOK</t>
  </si>
  <si>
    <t>K351</t>
  </si>
  <si>
    <t>K352</t>
  </si>
  <si>
    <t>K353</t>
  </si>
  <si>
    <t>K354</t>
  </si>
  <si>
    <t>K355</t>
  </si>
  <si>
    <t>Működési célú előzetesen felszámított áfa</t>
  </si>
  <si>
    <t>Fizetendő általános forgalmi adó</t>
  </si>
  <si>
    <t>Kamatkiadások</t>
  </si>
  <si>
    <t>Egyéb pénzügyi műveletek kiadásai (árfolyam veszteség)</t>
  </si>
  <si>
    <t>Egyéb dologi kiadások (hatósági díjak, ajánlati bizt., kés.kamat)</t>
  </si>
  <si>
    <t>K35</t>
  </si>
  <si>
    <t xml:space="preserve">   KÜLÖNFÉLE BEFIZETÉSEK ÉS EGYÉB DOLOGI KIAD.</t>
  </si>
  <si>
    <t>K3</t>
  </si>
  <si>
    <t xml:space="preserve">DOLOGI KIADÁSOK </t>
  </si>
  <si>
    <t>K61</t>
  </si>
  <si>
    <t>K62</t>
  </si>
  <si>
    <t>K63</t>
  </si>
  <si>
    <t>K64</t>
  </si>
  <si>
    <t xml:space="preserve">       Immateriális javak beszerzése</t>
  </si>
  <si>
    <t xml:space="preserve">          Ingatlanok beszerzése, létesítése</t>
  </si>
  <si>
    <t xml:space="preserve">          Informatikai eszközök beszerzése</t>
  </si>
  <si>
    <t>K65</t>
  </si>
  <si>
    <t xml:space="preserve">       Részesedés vásárlás</t>
  </si>
  <si>
    <t>K67</t>
  </si>
  <si>
    <t xml:space="preserve">       Beruházások előzetesen felszámított általános forgalmi adója</t>
  </si>
  <si>
    <t xml:space="preserve">        Egyéb tárgyi eszközök beszerzése</t>
  </si>
  <si>
    <t>K6</t>
  </si>
  <si>
    <t xml:space="preserve">                    BERUHÁZÁSOK </t>
  </si>
  <si>
    <t>K71</t>
  </si>
  <si>
    <t xml:space="preserve">          Ingatlanok felújítása</t>
  </si>
  <si>
    <t>K74</t>
  </si>
  <si>
    <t xml:space="preserve">         Felújítások általános forgalmi adója</t>
  </si>
  <si>
    <t>K7</t>
  </si>
  <si>
    <t xml:space="preserve">                  FELÚJÍTÁSOK</t>
  </si>
  <si>
    <t>K86</t>
  </si>
  <si>
    <t>K87</t>
  </si>
  <si>
    <t>K88</t>
  </si>
  <si>
    <t>Egyéb felhalmozási clú támogatások ÁH-n kívülre</t>
  </si>
  <si>
    <t>K8</t>
  </si>
  <si>
    <t xml:space="preserve">     EGYÉB FELHALMOZÁSI CÉLÚ KIADÁSOK</t>
  </si>
  <si>
    <t>FELHALMOZÁSI KIADÁSOK ÖSSZESEN</t>
  </si>
  <si>
    <t>Előirányzatok</t>
  </si>
  <si>
    <t>eredeti</t>
  </si>
  <si>
    <t>módosított</t>
  </si>
  <si>
    <t>K4</t>
  </si>
  <si>
    <t>K502</t>
  </si>
  <si>
    <t>Elvonások és befizetések</t>
  </si>
  <si>
    <t>K506</t>
  </si>
  <si>
    <t>Egyéb működési célú támogatások ÁH-n belülre</t>
  </si>
  <si>
    <t>K508</t>
  </si>
  <si>
    <t>Működési célú kölcsönök ÁH-n kívülre</t>
  </si>
  <si>
    <t>K511</t>
  </si>
  <si>
    <t>Egyéb működési célú támogatások ÁH-n kívülre</t>
  </si>
  <si>
    <t>K512</t>
  </si>
  <si>
    <t>Tartalékok</t>
  </si>
  <si>
    <t>K5</t>
  </si>
  <si>
    <t>EGYÉB MŰKÖDÉSI CÉLÚ KIADÁSOK</t>
  </si>
  <si>
    <t>K42</t>
  </si>
  <si>
    <t>Családtámogatások</t>
  </si>
  <si>
    <t>K44</t>
  </si>
  <si>
    <t>Betegséggel kapcsolatos ellátások</t>
  </si>
  <si>
    <t>Helyi megállapítású közgyógyellátás</t>
  </si>
  <si>
    <t>K421</t>
  </si>
  <si>
    <t>K441</t>
  </si>
  <si>
    <t>K443</t>
  </si>
  <si>
    <t>Rovat</t>
  </si>
  <si>
    <t>K45</t>
  </si>
  <si>
    <t>Foglalkoztatással kapcsolatos  ellátások</t>
  </si>
  <si>
    <t>K46</t>
  </si>
  <si>
    <t>Lakhatással kapcsolatos ellátások</t>
  </si>
  <si>
    <t>Természetben nyújtott lakásfenntartási tám.</t>
  </si>
  <si>
    <t>K47</t>
  </si>
  <si>
    <t>Intézményi ellátottak pénzbeli juttatásai</t>
  </si>
  <si>
    <t>K48</t>
  </si>
  <si>
    <t>Egyéb nem intézményi ellátások</t>
  </si>
  <si>
    <t>Étkeztetési díj átvállalás</t>
  </si>
  <si>
    <t xml:space="preserve">   ELLÁTOTTAK JUTTATÁSAI</t>
  </si>
  <si>
    <t>Eredeti</t>
  </si>
  <si>
    <t>Módosított</t>
  </si>
  <si>
    <t>Önkorm.</t>
  </si>
  <si>
    <t>Jegyzői hatáskörű</t>
  </si>
  <si>
    <t>Gáz vagy áramfogyasztástmérő készülékek</t>
  </si>
  <si>
    <t>K915</t>
  </si>
  <si>
    <t>Működési célú pénzeszköz átadás ÁH-n belülre</t>
  </si>
  <si>
    <t>Működési kölcsönnyújtás ÁH-nkívülre</t>
  </si>
  <si>
    <t>Működési célú pénzeszköz átadás ÁH-n kívülre</t>
  </si>
  <si>
    <t>ELLÁTOTTAK JUTTATÁSAI</t>
  </si>
  <si>
    <t>BERUHÁZÁSOK</t>
  </si>
  <si>
    <t>FELÚJÍTÁSOK</t>
  </si>
  <si>
    <t>EGYÉB FELHALMOZÁSI KIADÁSOK</t>
  </si>
  <si>
    <t>Felhalmozási kölcsönök nyújtása ÁH-n kívülre</t>
  </si>
  <si>
    <t>Lakásépítés támogatása</t>
  </si>
  <si>
    <t>Felhalmozási célú pénzeszköz átadás ÁH-n kívülre</t>
  </si>
  <si>
    <t xml:space="preserve">                    KIADÁSOK ÖSSZESEN</t>
  </si>
  <si>
    <t>K912</t>
  </si>
  <si>
    <t>Belföldi értékpapír vásárlás</t>
  </si>
  <si>
    <t>K916</t>
  </si>
  <si>
    <t>Pénzeszközök betétkénti elhelyezése</t>
  </si>
  <si>
    <t>B1</t>
  </si>
  <si>
    <t>Önkormányzatok működési támogatása</t>
  </si>
  <si>
    <t>Egyéb működési célú támogatások ÁH-n belülről</t>
  </si>
  <si>
    <t>Közös Hivatal fennt-hoz átvett pénzeszköz Mudvar Önk-tól</t>
  </si>
  <si>
    <t xml:space="preserve">                                           védőnői szolgálat</t>
  </si>
  <si>
    <t>OEP-től átvett pénzeszköz ifjúság eü.feladatok</t>
  </si>
  <si>
    <t>MŰKÖDÉSI CÉLÚ TÁM. ÁH-N BELÜLRŐL</t>
  </si>
  <si>
    <t>Felhalmozási célú önkormányzati támogatások</t>
  </si>
  <si>
    <t>B11</t>
  </si>
  <si>
    <t>B16</t>
  </si>
  <si>
    <t>Egyéb felhalmozási célú támogatások ÁH-n belülről</t>
  </si>
  <si>
    <t>B25</t>
  </si>
  <si>
    <t>B2</t>
  </si>
  <si>
    <t>B21</t>
  </si>
  <si>
    <t>FELHALM-I CÉLÚ TÁM. ÁH-N BELÜLRŐL</t>
  </si>
  <si>
    <t>B31</t>
  </si>
  <si>
    <r>
      <t xml:space="preserve">Jövedelem adók </t>
    </r>
    <r>
      <rPr>
        <sz val="12"/>
        <rFont val="Times"/>
        <family val="1"/>
        <charset val="238"/>
      </rPr>
      <t>( termőföld bérbeadás)</t>
    </r>
  </si>
  <si>
    <t>B34</t>
  </si>
  <si>
    <r>
      <t>Vagyoni típusú adók (</t>
    </r>
    <r>
      <rPr>
        <sz val="12"/>
        <rFont val="Times"/>
        <family val="1"/>
        <charset val="238"/>
      </rPr>
      <t xml:space="preserve"> építmény, telekadó)</t>
    </r>
  </si>
  <si>
    <t>B351</t>
  </si>
  <si>
    <r>
      <rPr>
        <b/>
        <sz val="12"/>
        <rFont val="Times"/>
        <family val="1"/>
        <charset val="238"/>
      </rPr>
      <t xml:space="preserve">Értékesítési és forgalmi adók </t>
    </r>
    <r>
      <rPr>
        <sz val="12"/>
        <rFont val="Times"/>
        <family val="1"/>
        <charset val="238"/>
      </rPr>
      <t>(iparűzési adó)</t>
    </r>
  </si>
  <si>
    <t>B354</t>
  </si>
  <si>
    <t>B355</t>
  </si>
  <si>
    <t>Gépjárműadók</t>
  </si>
  <si>
    <r>
      <rPr>
        <b/>
        <sz val="12"/>
        <rFont val="Times"/>
        <family val="1"/>
        <charset val="238"/>
      </rPr>
      <t>Egyéb adók</t>
    </r>
    <r>
      <rPr>
        <sz val="12"/>
        <rFont val="Times"/>
        <family val="1"/>
        <charset val="238"/>
      </rPr>
      <t xml:space="preserve">  (talajterhelési díj)</t>
    </r>
  </si>
  <si>
    <t xml:space="preserve">                       (bírság, pótlék)</t>
  </si>
  <si>
    <t>B3</t>
  </si>
  <si>
    <t>KÖZHATALMI BEVÉTELEK</t>
  </si>
  <si>
    <t>B4</t>
  </si>
  <si>
    <t>MŰKÖDÉSI BEVÉTELEK</t>
  </si>
  <si>
    <t>B401</t>
  </si>
  <si>
    <t>B402</t>
  </si>
  <si>
    <t>B403</t>
  </si>
  <si>
    <t>B404</t>
  </si>
  <si>
    <t>B405</t>
  </si>
  <si>
    <t>B406</t>
  </si>
  <si>
    <t>Készletértékesítés bevétele</t>
  </si>
  <si>
    <t>Tulajdonosi bevételek (bérleti díjak)</t>
  </si>
  <si>
    <t>Ellátási díjak</t>
  </si>
  <si>
    <t>B407</t>
  </si>
  <si>
    <t>Áfa visszatérülése</t>
  </si>
  <si>
    <t>B408</t>
  </si>
  <si>
    <t>Kamatbevételek</t>
  </si>
  <si>
    <t>B410</t>
  </si>
  <si>
    <t>Egyéb működési bevételek</t>
  </si>
  <si>
    <t>B52</t>
  </si>
  <si>
    <t>B54</t>
  </si>
  <si>
    <t>Ingatlanok értékesítése</t>
  </si>
  <si>
    <t>Részesedések értékesítése</t>
  </si>
  <si>
    <t>B5</t>
  </si>
  <si>
    <t>FELHALMOZÁSI  BEVÉTELEK</t>
  </si>
  <si>
    <t>B62</t>
  </si>
  <si>
    <t>Működési célú kölcsönök visszatérülése ÁH-n kívülről</t>
  </si>
  <si>
    <t>B63</t>
  </si>
  <si>
    <t>Egyéb működési célú átvett pénzeszközök ÁH-n kívülről</t>
  </si>
  <si>
    <t>B6</t>
  </si>
  <si>
    <t>B7</t>
  </si>
  <si>
    <t>FELHALM-I  ÁTVETT PÉNZE. ÁH kívülről</t>
  </si>
  <si>
    <t>MŰK-I CÉLÚ ÁTVETT PÉNZE. ÁH kívülről</t>
  </si>
  <si>
    <t>B72</t>
  </si>
  <si>
    <t>Felhalmozási kölcsönök visszatérülése</t>
  </si>
  <si>
    <t>B73</t>
  </si>
  <si>
    <t>Egyéb felhalmozási célú átvett pénzeszközök ÁH-n kívülről</t>
  </si>
  <si>
    <t xml:space="preserve">  KIADÁSOK HALMOZOTT ÖSSZEGE</t>
  </si>
  <si>
    <t xml:space="preserve">     BEVÉTELEK HALMOZOTT ÖSSZEGE</t>
  </si>
  <si>
    <t>Belföldi értékpapírok bevételei</t>
  </si>
  <si>
    <t>B812</t>
  </si>
  <si>
    <t>B813</t>
  </si>
  <si>
    <t>Maradvány igénybevétele</t>
  </si>
  <si>
    <t>B816</t>
  </si>
  <si>
    <t>B817</t>
  </si>
  <si>
    <t>Betétek megszüntetése</t>
  </si>
  <si>
    <t>Mód.-tt ei.</t>
  </si>
  <si>
    <t xml:space="preserve"> 2014. évi</t>
  </si>
  <si>
    <t>Mód-tt ei.</t>
  </si>
  <si>
    <t>Ellátottak juttatásai</t>
  </si>
  <si>
    <t xml:space="preserve">      ÖNKORMÁNYZAT</t>
  </si>
  <si>
    <t xml:space="preserve">         HALMOZOTT KIADÁSOK ÖSSZ</t>
  </si>
  <si>
    <t>B111</t>
  </si>
  <si>
    <t>B112</t>
  </si>
  <si>
    <t>B113</t>
  </si>
  <si>
    <t>B114</t>
  </si>
  <si>
    <t>B115</t>
  </si>
  <si>
    <t>B116</t>
  </si>
  <si>
    <t>Helyi önkorm.működésének általános támogatása</t>
  </si>
  <si>
    <t>Települési önk.egyes köznevelési feladatainak támogatása</t>
  </si>
  <si>
    <t>Települési önk.szociális, gyermekjóléti, gyermekétkezt.fa tám.</t>
  </si>
  <si>
    <t>Települési önk.kulturális feladatainak támogatása</t>
  </si>
  <si>
    <t>Működési célú központosított előirányzatok</t>
  </si>
  <si>
    <t>Helyi önkormányzatok kiegészítő támogatása</t>
  </si>
  <si>
    <t>Kiszámlázott általános forgalmi adó</t>
  </si>
  <si>
    <t>Hivatal</t>
  </si>
  <si>
    <t xml:space="preserve">Eredeti </t>
  </si>
  <si>
    <t>Szolgáltatások ellenértéke (igazg.szolg.díj, vendégétkezés)</t>
  </si>
  <si>
    <t>Módosított ei.</t>
  </si>
  <si>
    <t>Működési célú átvét ÁH- n belülről</t>
  </si>
  <si>
    <t>Ónkormányzatok felhalmozási támogatása</t>
  </si>
  <si>
    <t>Felhalmozási célú átvét ÁH-n belülről</t>
  </si>
  <si>
    <t>Közhatalmi bevételek</t>
  </si>
  <si>
    <t>Felhalmozási bevételek ÁH-n belülről</t>
  </si>
  <si>
    <t xml:space="preserve">B5 </t>
  </si>
  <si>
    <t>Felhalmozási bevételek</t>
  </si>
  <si>
    <t>Működési kölcsönnyújtás ÁH-n kívülre</t>
  </si>
  <si>
    <t xml:space="preserve">  KÖLTSÉGVETÉSI BEVÉTELEK</t>
  </si>
  <si>
    <t xml:space="preserve">      KÖLTSÉGVETÉSI KIADÁSOK</t>
  </si>
  <si>
    <t>Egyéb működési célú kiadások</t>
  </si>
  <si>
    <t>Egyéb felhalmozási célú kiadások</t>
  </si>
  <si>
    <t xml:space="preserve">  HALMOZOTT BEVÉTELEK</t>
  </si>
  <si>
    <t xml:space="preserve">             HALMOZOTT KIADÁSOK</t>
  </si>
  <si>
    <t>TERV</t>
  </si>
  <si>
    <t>Működési bevételek ÁH-n belülről</t>
  </si>
  <si>
    <t>Működési célú kölcsönök visszatér. ÁH-n kívülről</t>
  </si>
  <si>
    <t>Egyéb működési célú átvett pénze. ÁH-n kívülről</t>
  </si>
  <si>
    <t>Működési célú pénze.átvét ÁH-n kívülről</t>
  </si>
  <si>
    <t>Felhalmozási célú pénze.átvét ÁH-n kívülről</t>
  </si>
  <si>
    <t>Egyéb felhalm-i célú átvett pénze. ÁH-n kívülről</t>
  </si>
  <si>
    <r>
      <rPr>
        <sz val="12"/>
        <rFont val="Times"/>
        <family val="1"/>
        <charset val="238"/>
      </rPr>
      <t>Jövedelem adók</t>
    </r>
    <r>
      <rPr>
        <b/>
        <sz val="12"/>
        <rFont val="Times"/>
        <family val="1"/>
        <charset val="238"/>
      </rPr>
      <t xml:space="preserve"> ( termőföld bérbeadás)</t>
    </r>
  </si>
  <si>
    <r>
      <rPr>
        <sz val="12"/>
        <rFont val="Times"/>
        <family val="1"/>
        <charset val="238"/>
      </rPr>
      <t xml:space="preserve">Vagyoni típusú adók </t>
    </r>
    <r>
      <rPr>
        <b/>
        <sz val="12"/>
        <rFont val="Times"/>
        <family val="1"/>
        <charset val="238"/>
      </rPr>
      <t>( építmény, telekadó)</t>
    </r>
  </si>
  <si>
    <r>
      <rPr>
        <sz val="12"/>
        <rFont val="Times"/>
        <family val="1"/>
        <charset val="238"/>
      </rPr>
      <t xml:space="preserve">Értékesítési és forgalmi adók </t>
    </r>
    <r>
      <rPr>
        <b/>
        <sz val="12"/>
        <rFont val="Times"/>
        <family val="1"/>
        <charset val="238"/>
      </rPr>
      <t>(iparűzési adó)</t>
    </r>
  </si>
  <si>
    <r>
      <rPr>
        <sz val="12"/>
        <rFont val="Times"/>
        <family val="1"/>
        <charset val="238"/>
      </rPr>
      <t xml:space="preserve">Egyéb adók </t>
    </r>
    <r>
      <rPr>
        <b/>
        <sz val="12"/>
        <rFont val="Times"/>
        <family val="1"/>
        <charset val="238"/>
      </rPr>
      <t xml:space="preserve"> (talajterhelési díj)</t>
    </r>
  </si>
  <si>
    <t>Mód-tt</t>
  </si>
  <si>
    <t>Tény</t>
  </si>
  <si>
    <t>önként</t>
  </si>
  <si>
    <t>B8</t>
  </si>
  <si>
    <t>K9</t>
  </si>
  <si>
    <t>Előző évi működési maradvány igénybevétele</t>
  </si>
  <si>
    <t xml:space="preserve">        EGYÉB MŰKÖÉDÉSI KIADÁSOK</t>
  </si>
  <si>
    <t xml:space="preserve">      ELLÁTOTTAK JUTTATÁSAI</t>
  </si>
  <si>
    <t xml:space="preserve">   ÁLLAMI TÁMOGATÁSOK</t>
  </si>
  <si>
    <t>Egyéb kommunikációs szolgáltatások  (telefondíj)</t>
  </si>
  <si>
    <t>Közüzemi díjak (gáz, áram, víz)</t>
  </si>
  <si>
    <t>Közfoglalkoztatás</t>
  </si>
  <si>
    <t>Leader pályázat parképítés</t>
  </si>
  <si>
    <t xml:space="preserve">                  ÓVODA</t>
  </si>
  <si>
    <t>I.1.a.</t>
  </si>
  <si>
    <t xml:space="preserve">      Helyi önkormányzatok működésének általános tám.</t>
  </si>
  <si>
    <t>I.</t>
  </si>
  <si>
    <t xml:space="preserve">           Köznevelési feladatok (óvoda)</t>
  </si>
  <si>
    <t>II.</t>
  </si>
  <si>
    <t xml:space="preserve">      II.</t>
  </si>
  <si>
    <t xml:space="preserve">              Kedvezményes étkezés</t>
  </si>
  <si>
    <t>Pénzbeli szociális feladatok</t>
  </si>
  <si>
    <t>III.</t>
  </si>
  <si>
    <t xml:space="preserve">             Szociális és gyermekjóléti feladatok</t>
  </si>
  <si>
    <t>IV.</t>
  </si>
  <si>
    <t xml:space="preserve">             Kulturális feladatok támogatása</t>
  </si>
  <si>
    <t>Köztemető fenntartás támogatása</t>
  </si>
  <si>
    <t xml:space="preserve">Egyéb önkormányzati feladatok támogatása </t>
  </si>
  <si>
    <t>I.1.c.</t>
  </si>
  <si>
    <t>I.1.ba.</t>
  </si>
  <si>
    <t>I.1.bb.</t>
  </si>
  <si>
    <t xml:space="preserve">              beszámítás</t>
  </si>
  <si>
    <t>Gyermekétkeztetés támogatása (bértámogatás)</t>
  </si>
  <si>
    <t xml:space="preserve">              Lakott külterület</t>
  </si>
  <si>
    <t xml:space="preserve">             Település üzemeltetés támogatása</t>
  </si>
  <si>
    <t>I.1.b.</t>
  </si>
  <si>
    <t xml:space="preserve">            Önkormányzati hivatal működésének támogatása</t>
  </si>
  <si>
    <t>tényleges</t>
  </si>
  <si>
    <t>Arany János Tehetséggondozó Program</t>
  </si>
  <si>
    <t>Felsőoktatásban résztvevők támogatása</t>
  </si>
  <si>
    <t>8. osztályos tanulók támogatása (16. fő)</t>
  </si>
  <si>
    <t xml:space="preserve">                Tankönyv támogatás</t>
  </si>
  <si>
    <t>K471</t>
  </si>
  <si>
    <t>K472</t>
  </si>
  <si>
    <t>Beiskolázási segély, táboroztatás</t>
  </si>
  <si>
    <t>Szakmai tev-t segítő szolgáltatások  (közszolg.,száml.szellemi)</t>
  </si>
  <si>
    <t>Egyéb szolgáltatások (száll.,posta, hull.,munkaeü., bank)</t>
  </si>
  <si>
    <t>Vendégétkezés</t>
  </si>
  <si>
    <t>Újrónafő részére értékesített készétel</t>
  </si>
  <si>
    <t>Bölcsőde részére értékesített készétel</t>
  </si>
  <si>
    <t>Iskolai étkezési díjak</t>
  </si>
  <si>
    <t>Óvodai étkezési díjak</t>
  </si>
  <si>
    <t>Alkalmazottak térítése</t>
  </si>
  <si>
    <t>Ruházati költségtérítés  (2013. SZÉP kártya)</t>
  </si>
  <si>
    <t>Táppénz hozzájárulás  (2012. SZÉP kártya kif.adó)</t>
  </si>
  <si>
    <t>Közcélú foglalkoztatás</t>
  </si>
  <si>
    <t>Működési célú központosított előirányzatok  (kompenzáció)</t>
  </si>
  <si>
    <t>plussz küzfoglalk.</t>
  </si>
  <si>
    <t>Pályázat (IKSZT)</t>
  </si>
  <si>
    <t xml:space="preserve">              Testvértelepülési támogatás</t>
  </si>
  <si>
    <t xml:space="preserve">                 Költségvetési  főösszeg</t>
  </si>
  <si>
    <t xml:space="preserve">                   beszámítás</t>
  </si>
  <si>
    <t>Közös Hivatal fennt-hoz átvett pénzeszköz …... Önk-tól</t>
  </si>
  <si>
    <t>Össz.:</t>
  </si>
  <si>
    <t>Nem közfoglalkoztatott</t>
  </si>
  <si>
    <t>Közfoglalkoztatott</t>
  </si>
  <si>
    <t>alakulását bemutató mérleg</t>
  </si>
  <si>
    <t>Működési bevételek összesen</t>
  </si>
  <si>
    <t>Felh.c.pénzeszköz átvétel ÁH-n kív.</t>
  </si>
  <si>
    <t>Önkorm.lakások és helyis.értékesít.</t>
  </si>
  <si>
    <t>Felhalmozási bev. összesen</t>
  </si>
  <si>
    <t>Helyi adók</t>
  </si>
  <si>
    <t xml:space="preserve">   Iparűzési adó</t>
  </si>
  <si>
    <t xml:space="preserve">   Idegenforgalmi adó</t>
  </si>
  <si>
    <t xml:space="preserve">   Telekadó</t>
  </si>
  <si>
    <t>Talajterhelési díj</t>
  </si>
  <si>
    <t>Kölcsönök visszatérülése</t>
  </si>
  <si>
    <t>Bevételek összesen</t>
  </si>
  <si>
    <t>Bevétel mindösszesen</t>
  </si>
  <si>
    <t>Dologi kiadások</t>
  </si>
  <si>
    <t>Segélyezés, ellátottak jutt.</t>
  </si>
  <si>
    <t>KIADÁSOK MINDÖSSZESEN:</t>
  </si>
  <si>
    <t>A Stabilitási tv. 45.§ (1) bekezdés a) pontja szerinti saját bevételek részletezése a Stabilitási tv. 3.§ (1) bekezdése alapján adósságot</t>
  </si>
  <si>
    <t>adatok ezer Ft-ban</t>
  </si>
  <si>
    <t>Bevétel</t>
  </si>
  <si>
    <t>Osztalékok,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</si>
  <si>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</si>
  <si>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</si>
  <si>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</si>
  <si>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privitizációból származó bevétel</t>
  </si>
  <si>
    <t>Kezességvállalással kapcsolatos megtérülés</t>
  </si>
  <si>
    <t>Saját bevételek összesen</t>
  </si>
  <si>
    <t>Saját bevételek 50%-a</t>
  </si>
  <si>
    <t>Gyermekétkeztetés támogatás (üzemeltetés)</t>
  </si>
  <si>
    <t>Üdülőhelyi feladatok támogatása</t>
  </si>
  <si>
    <t>V.</t>
  </si>
  <si>
    <t>Önkormányzatok felhalmozási támogatása</t>
  </si>
  <si>
    <t xml:space="preserve">  Nagytérségi Hulladékgazdálkodási projekt</t>
  </si>
  <si>
    <t>Fogorvosi alapellátás</t>
  </si>
  <si>
    <t>Levél SE</t>
  </si>
  <si>
    <t>Horgász Egyesület</t>
  </si>
  <si>
    <t>Levél Barátai Egyesület</t>
  </si>
  <si>
    <t>Levéli Alkotókör</t>
  </si>
  <si>
    <t>Nyugdíjás Egyesület</t>
  </si>
  <si>
    <t>Nyugdíjas Találkozó</t>
  </si>
  <si>
    <t>Talizmán</t>
  </si>
  <si>
    <t>Általános tartalék</t>
  </si>
  <si>
    <t xml:space="preserve">   Működési tartalék</t>
  </si>
  <si>
    <t xml:space="preserve">   Felhalmozási tartalék</t>
  </si>
  <si>
    <t>Céltartalék</t>
  </si>
  <si>
    <t>Levél</t>
  </si>
  <si>
    <t>Közép- és felős oktatási tanulók szoc.t.</t>
  </si>
  <si>
    <t>Nyugdíjasok karácsonyi juttatása</t>
  </si>
  <si>
    <t>Pénzeszköz átadás Közös Hivatal</t>
  </si>
  <si>
    <t>Nem veszélyes hulladék kezelése, ártalmatlanítása</t>
  </si>
  <si>
    <t>Út, autópálya építése</t>
  </si>
  <si>
    <t>Televiziós műsor szolgáltatása és támogatása</t>
  </si>
  <si>
    <t>Egyéb kiadói tevékenység</t>
  </si>
  <si>
    <t>Iskolai intézményi étkeztetés</t>
  </si>
  <si>
    <t>Az önkormányzati vagyonnal való gazdálkodással kapcsolatos feladatok</t>
  </si>
  <si>
    <t>Állat egészségügy</t>
  </si>
  <si>
    <t>Zöldterület kezelés</t>
  </si>
  <si>
    <t>Egyéb kommunikációs szolgáltatások  (telefondíj, műsoridő)</t>
  </si>
  <si>
    <t>Bérleti és lízingdíj</t>
  </si>
  <si>
    <t>Egyéb anyag, készletbeszerzés (kisértékű tárgyi eszk.,virágosítás)</t>
  </si>
  <si>
    <t>Egyéb szolgáltatások (lomtalanítás, Hír-Levél nyomtatás, gyepmesteri szolg., tüo kész ell. Postaktg., biztosítási díj)</t>
  </si>
  <si>
    <t>Család és nővédelmi eü. Gondozás</t>
  </si>
  <si>
    <t>Szakmai tevékenységet segítő szolgáltatások  (gyermekorvos)</t>
  </si>
  <si>
    <t>Ifjuság-egészségügyi gondozás</t>
  </si>
  <si>
    <t>Foglalkoztatottak egyéb személyi juttatása (biztosítási díj,megbízási díj)</t>
  </si>
  <si>
    <t>Nemzetközi kulúrális együttműködés</t>
  </si>
  <si>
    <t>Könyvtári szolgáltatások</t>
  </si>
  <si>
    <t>Közművelődés-közösségi és társadalmi részvétel fejlesztése</t>
  </si>
  <si>
    <t>Alapilletmények, pótlékok, illetmények-, keresetkieg. Részmunkaidős</t>
  </si>
  <si>
    <t>Jutalom részmunkaidős</t>
  </si>
  <si>
    <t>Szabadidősport-tevékenység és támogatása</t>
  </si>
  <si>
    <t>Köztemető fenntartás és működtetés</t>
  </si>
  <si>
    <t>Béren kívüli juttatások részmunkaidős</t>
  </si>
  <si>
    <t>Közvilágítás</t>
  </si>
  <si>
    <t>Fizikoterápiás szolgáltatás</t>
  </si>
  <si>
    <t>Tűz és katasztrófavédelmi tevékenység</t>
  </si>
  <si>
    <t>Köznevelési int. Tanulók nappali nevelésének, oktatásának szakmai feladatai 1-4. évf.</t>
  </si>
  <si>
    <t>Köznevelési int. 1.4. évf. tanulók nevelésével, oktatásával összefüggő működtetési feladatok</t>
  </si>
  <si>
    <t>Köznevelési int. 5-8.évf. tanulók nevelésével, oktatásával összefüggő működtetési feladatok</t>
  </si>
  <si>
    <t>Tüzelőanyag</t>
  </si>
  <si>
    <t>Város-, községgazdálkodási egyéb szolgáltatások</t>
  </si>
  <si>
    <t>Kiemelt állami és önkormányzati rendezvények</t>
  </si>
  <si>
    <t>Háziorvosi alapellátás</t>
  </si>
  <si>
    <t>K3113</t>
  </si>
  <si>
    <t>Egyéb szakmai anyag</t>
  </si>
  <si>
    <t>Önkormányzatok és önkormányzati hivatalok jogalkotó és általános igazgatási tevékenysége</t>
  </si>
  <si>
    <t>Alapilletmények, pótlékok, illetmény-, keresetkiegészítés részmunkaidős</t>
  </si>
  <si>
    <t>Idegenforgalmi adó</t>
  </si>
  <si>
    <t>Kommunális adó</t>
  </si>
  <si>
    <t xml:space="preserve">                                         háziorvosi szolgálat</t>
  </si>
  <si>
    <t>Polgárőr Egyesület</t>
  </si>
  <si>
    <t>Tűzoltó Egyesület</t>
  </si>
  <si>
    <t>Szolgáltatások ellenértéke</t>
  </si>
  <si>
    <t>Értékesítési és forgalmi adók (iparűzési adó)</t>
  </si>
  <si>
    <t>Egyéb adók  (talajterhelési díj)</t>
  </si>
  <si>
    <t>Egyéb szociális pébzeli ellátások, támogatások</t>
  </si>
  <si>
    <t>Hallgatói és oktatói ösztöndíjak, egyéb juttatások</t>
  </si>
  <si>
    <t>Civil szervezetek működési támogatása</t>
  </si>
  <si>
    <t>Civil szervezetek programtámogatása</t>
  </si>
  <si>
    <t>Fejezeti és általános tartalékok elszámolása</t>
  </si>
  <si>
    <t>K 502</t>
  </si>
  <si>
    <t>Szennyvíz gyűjtése, tisztítása</t>
  </si>
  <si>
    <t>Az önkormányzati vagyonnal való gazd. Kapcsolatos feladatok</t>
  </si>
  <si>
    <t>Köznevelési intézményben 1-4. évfolyamán tanulók nevelésével, oktatásával összefüggő működtetési feladatok</t>
  </si>
  <si>
    <t>Köznevelési intézmény 5-8. évfolyamán tanulók nevelésével, oktatásával összefüggő működtetési feladatok</t>
  </si>
  <si>
    <t>Önkormányzatok elszámolásai a központi költségvetéssel</t>
  </si>
  <si>
    <t>ÖSSZESEN</t>
  </si>
  <si>
    <t xml:space="preserve"> ingyenes étkezők</t>
  </si>
  <si>
    <t>félnapos</t>
  </si>
  <si>
    <t>egész napos</t>
  </si>
  <si>
    <t>csak ebéd</t>
  </si>
  <si>
    <t>100%-os térítési díj</t>
  </si>
  <si>
    <t xml:space="preserve">nap </t>
  </si>
  <si>
    <t>3-szor étkezők:</t>
  </si>
  <si>
    <t xml:space="preserve">     100%-os</t>
  </si>
  <si>
    <t xml:space="preserve">      50%-os</t>
  </si>
  <si>
    <t xml:space="preserve">     ingyenes étkezők</t>
  </si>
  <si>
    <t>Csak ebéd</t>
  </si>
  <si>
    <t xml:space="preserve">   100%-os térítési díj</t>
  </si>
  <si>
    <t xml:space="preserve">    50 %-os</t>
  </si>
  <si>
    <t xml:space="preserve">    ingyenes étkezők</t>
  </si>
  <si>
    <t>Levél Községi Önkormányzat</t>
  </si>
  <si>
    <t xml:space="preserve">    Kultúrház</t>
  </si>
  <si>
    <t xml:space="preserve">    Háziorvosi rendelő</t>
  </si>
  <si>
    <t xml:space="preserve">    Önkormányzat</t>
  </si>
  <si>
    <t xml:space="preserve">    Zöldterület kezelés</t>
  </si>
  <si>
    <t xml:space="preserve">    Temető</t>
  </si>
  <si>
    <t>Levélfalvi Manók Napköziotthonos Óvoda</t>
  </si>
  <si>
    <t>Működési célú támogatás ÁH-n belülről</t>
  </si>
  <si>
    <t>Felhalmozási célú támogatás ÁH-n belülről</t>
  </si>
  <si>
    <t>Termőföld bérbeadás</t>
  </si>
  <si>
    <t>Telekadó</t>
  </si>
  <si>
    <t>Gépjárműadó</t>
  </si>
  <si>
    <t>Felhalmozási átvett pénzeszköz ÁH-on kívülről</t>
  </si>
  <si>
    <t>B</t>
  </si>
  <si>
    <t xml:space="preserve">   Kommunális adó</t>
  </si>
  <si>
    <t>Felújítások</t>
  </si>
  <si>
    <t xml:space="preserve">   Termőföld bérbeadás</t>
  </si>
  <si>
    <t>Működési célú támogatá ÁH-n belülről</t>
  </si>
  <si>
    <t>Működési célú átvett pénzeszköz ÁH-n kívülről</t>
  </si>
  <si>
    <t>Címrendi szám</t>
  </si>
  <si>
    <t>Intézmény neve</t>
  </si>
  <si>
    <t>1 1</t>
  </si>
  <si>
    <t>1 1 1</t>
  </si>
  <si>
    <t>1 1 2</t>
  </si>
  <si>
    <t>LEVÉL KÖZSÉG ÖSSZESEN:</t>
  </si>
  <si>
    <t>Szakmai anyag ( tempera, krepp papír, barkácsoláshoz)</t>
  </si>
  <si>
    <t>Játékok</t>
  </si>
  <si>
    <t>K917</t>
  </si>
  <si>
    <t>Pénzügyi lízing kiadásai</t>
  </si>
  <si>
    <t>Kerékpárutak üzemeltetése, fenntartása</t>
  </si>
  <si>
    <t>Város- és községgazdálkodás egyéb szolgáltatások</t>
  </si>
  <si>
    <t>018010 Önkormányzatok elszámolásai a központi költségvetéssel</t>
  </si>
  <si>
    <t>K914</t>
  </si>
  <si>
    <t>Államháztartáson belüli megelőlegzések visszafizetése</t>
  </si>
  <si>
    <t>Állampolgársági ügyletek</t>
  </si>
  <si>
    <t>Önkormányzatok funkcióira nem sorolható bevételei áh.-n kívülről</t>
  </si>
  <si>
    <t>Egyéb működési célú peszk. Átadás áh. Belülre</t>
  </si>
  <si>
    <t>Fejlesztési célú peszk. Átadás áh. Belülre</t>
  </si>
  <si>
    <t>Tagdíjak</t>
  </si>
  <si>
    <t>Levéli Általános Iskola Diákjaiért Alapítvány</t>
  </si>
  <si>
    <t>Csiga Biga Palota Alapítvány</t>
  </si>
  <si>
    <t>HungaRocky Táncegyesület</t>
  </si>
  <si>
    <t xml:space="preserve">                                            </t>
  </si>
  <si>
    <t>Óvodapedagógus elismert létszáma elismert összeg+ kiegészítő támogatás</t>
  </si>
  <si>
    <t>Pénzügyi lízing</t>
  </si>
  <si>
    <t>Államháztartáson belüli megelőlegzések visszafiz.</t>
  </si>
  <si>
    <t>Államháztartáson belüli megelőlegzések</t>
  </si>
  <si>
    <t>ingyenes</t>
  </si>
  <si>
    <t>Út felújítás</t>
  </si>
  <si>
    <t>Rendezési terv</t>
  </si>
  <si>
    <t>Települési támogatás, lakásfenntartási támogatás, temetési segély</t>
  </si>
  <si>
    <t>Köztemetés, ápolási támogatás</t>
  </si>
  <si>
    <t>018030 Támogatási célú finanszírozási műveletek</t>
  </si>
  <si>
    <t>011130 Önkormányzati jogalkotás</t>
  </si>
  <si>
    <t>Igazgatási, szolgáltatási díj</t>
  </si>
  <si>
    <t>Intézmény finanszírozás(óvoda)</t>
  </si>
  <si>
    <t>Igazgatási szolgáltatási díjak</t>
  </si>
  <si>
    <t>Elvonások, befizetések</t>
  </si>
  <si>
    <t>óvodás egész napos 100 %-ot fizető</t>
  </si>
  <si>
    <t>Óvodás gyerekek</t>
  </si>
  <si>
    <t>Iskolás gyerekek</t>
  </si>
  <si>
    <t xml:space="preserve">keletkeztető ügyletből származó tárgyévi, valamint az adósságot keletkeztető ügyletek futamidejének végéig </t>
  </si>
  <si>
    <t>2026-2027</t>
  </si>
  <si>
    <t xml:space="preserve">A működési és fejlesztési célú bevételek és kiadások 2018-2021. évi </t>
  </si>
  <si>
    <t>Költségvetési engedélyezett létszámhely 2018. év</t>
  </si>
  <si>
    <t>2018. évi költségvetési előirányzat költségvetési szervenként</t>
  </si>
  <si>
    <t>2018. évi előirányzat</t>
  </si>
  <si>
    <t>2018. évi terv</t>
  </si>
  <si>
    <t>032020 Tűz és katasztrófavédelmi tevékenység</t>
  </si>
  <si>
    <t>Egyéb civil szervezetek támogatása</t>
  </si>
  <si>
    <t>Levéli Református Egyház támogatás</t>
  </si>
  <si>
    <t>Vadász utca csapadékvíz elvezetés</t>
  </si>
  <si>
    <t>Járda felújítás(pályázati támogatás önrész 4.104.815 Ft)</t>
  </si>
  <si>
    <t>Árok felíújítás</t>
  </si>
  <si>
    <t>Tanulmányterv Fő utca parkoló elhelyezésére</t>
  </si>
  <si>
    <t>Közvilágítás korszerűsítése</t>
  </si>
  <si>
    <t>Kultúrház udvar térkövezés</t>
  </si>
  <si>
    <t>Kultúrház udvarán fedett tároló építés</t>
  </si>
  <si>
    <t>Óova udvarán 200 m2 burkolt út építése (KRESZ pálya)</t>
  </si>
  <si>
    <t>Laptop (pénzügy)</t>
  </si>
  <si>
    <t>Számítógép (3 db hivatal)</t>
  </si>
  <si>
    <t>Erő- és munkagépek utakhoz (pályázati önrész 2.009.775 Ft)</t>
  </si>
  <si>
    <t>Önrész "helyi termékértékesítést szolgáló piacok infrastrukturális fejlesztése közétkeztetés fejlesztése pályázat</t>
  </si>
  <si>
    <t>Projektmenedzsment "helyi termékértékesítést szolgáló piacok infrastrukturális fejlesztése közétkeztetés fejlesztése pályázat</t>
  </si>
  <si>
    <t>Kamerarendszer bővítése (LEADER pályázat önrész)</t>
  </si>
  <si>
    <t>Kistraktor beszerzés</t>
  </si>
  <si>
    <t>Kultúrház hang és fénytechnika bővítés</t>
  </si>
  <si>
    <t>Pályázati önrész (közösségi kemence)</t>
  </si>
  <si>
    <t>Közösségi sátor(ponyva)</t>
  </si>
  <si>
    <t>Fő u. 25. lakások elektromos bővítése</t>
  </si>
  <si>
    <t>Hivatal emeleti idora bejárati ajtó felújítés</t>
  </si>
  <si>
    <t>Fő u. 2 hátsó épület külső pucolás</t>
  </si>
  <si>
    <t>Fő u. 2 hátsó kapu elektromos nyitóberendezéssel történő felszerelése</t>
  </si>
  <si>
    <t>Fő u. 2 villamos bővítése kábelezéssel</t>
  </si>
  <si>
    <t>Eneregetikai felújítás Iskola II.+Hivatal</t>
  </si>
  <si>
    <t>Energetikai felújításhoz kapcsolódó közbesz. Elj. Műszaki ell. Tájékoztatási feladatok, képzés</t>
  </si>
  <si>
    <t>Energetikai felújítás projekt tervezése feladatok</t>
  </si>
  <si>
    <t>Mérleg</t>
  </si>
  <si>
    <t>2 db irodaszék, italhűtő, tányér, evőeszköz, mosogatógép, gurulós felmosószett</t>
  </si>
  <si>
    <t>2018. évi</t>
  </si>
  <si>
    <t>Terv  2018.</t>
  </si>
  <si>
    <t xml:space="preserve">2018. évi </t>
  </si>
  <si>
    <t>018030Támogatási célú finanszírozási műveletek</t>
  </si>
  <si>
    <t xml:space="preserve"> 2018. évi</t>
  </si>
  <si>
    <t>Maradvány felhasználás</t>
  </si>
  <si>
    <t>Pénzmaradvány felhasználéás</t>
  </si>
  <si>
    <t>Pénzmaradvány igénybevétele</t>
  </si>
  <si>
    <t>2018. terv</t>
  </si>
  <si>
    <t>I. módosítás</t>
  </si>
  <si>
    <t>teljesítés</t>
  </si>
  <si>
    <t>K 5021</t>
  </si>
  <si>
    <t>A helyi önkormányzatok előző évi elszámolásából származó kiadások</t>
  </si>
  <si>
    <t>Általános forgalmi adó visszatérítése</t>
  </si>
  <si>
    <t>2018. évi módosított ei.</t>
  </si>
  <si>
    <t>módosított ei.</t>
  </si>
  <si>
    <t>I. módosított ei.</t>
  </si>
  <si>
    <t xml:space="preserve">             Kiegészítő támogatások</t>
  </si>
  <si>
    <t xml:space="preserve">  Bartók Béla utca aszfaltburkolatos munkák</t>
  </si>
  <si>
    <t xml:space="preserve">  Energetikai páláyzat önrész</t>
  </si>
  <si>
    <t>Interaktív információs eszköz vásárlás</t>
  </si>
  <si>
    <t>Játszótéri eszközöz cseréje</t>
  </si>
  <si>
    <t>Belterületi járdafelújítások</t>
  </si>
  <si>
    <t>Laptop vásárlás építügy</t>
  </si>
  <si>
    <t>E-szig vásárlás</t>
  </si>
  <si>
    <t>Telefonfkészülék iskola 1-4. évf.</t>
  </si>
  <si>
    <t>Nyilászáró ajtó Hivatal emeleti bejárati ajtó</t>
  </si>
  <si>
    <t>Mindösszesen</t>
  </si>
  <si>
    <t>2018. I. módosítás</t>
  </si>
  <si>
    <t>2108. évi</t>
  </si>
  <si>
    <t>II. módosítás</t>
  </si>
  <si>
    <t>K9122</t>
  </si>
  <si>
    <t>Befektetési célú belföldi értékpapírok vásárlása</t>
  </si>
  <si>
    <t>Elszámolásból származó bevételek</t>
  </si>
  <si>
    <r>
      <t>Vagyoni típusú adók (</t>
    </r>
    <r>
      <rPr>
        <sz val="12"/>
        <rFont val="Times"/>
        <family val="1"/>
        <charset val="238"/>
      </rPr>
      <t xml:space="preserve"> építmény, telekadó,kommunális adó)</t>
    </r>
  </si>
  <si>
    <t>B411</t>
  </si>
  <si>
    <t>2018. évi teljesítés</t>
  </si>
  <si>
    <t>2018. évi II. módosított ei.</t>
  </si>
  <si>
    <t>II. módosított ei.</t>
  </si>
  <si>
    <t>K513</t>
  </si>
  <si>
    <t xml:space="preserve"> Vadász utca</t>
  </si>
  <si>
    <t xml:space="preserve"> Átcsoportosítás felújításra</t>
  </si>
  <si>
    <t xml:space="preserve"> Horgász utca árok építése</t>
  </si>
  <si>
    <t>Erasmus pályázatból laptop vásárlás</t>
  </si>
  <si>
    <t>Receptnyomtató</t>
  </si>
  <si>
    <t>SSD kártya, billentyűzet+egér</t>
  </si>
  <si>
    <t>Elektromos kerékpár</t>
  </si>
  <si>
    <t>Kemenzceház tervezési ktg</t>
  </si>
  <si>
    <t>3 db pavilon vásárlás</t>
  </si>
  <si>
    <t>Mobiltelefon (pogármester)</t>
  </si>
  <si>
    <t>Sátor</t>
  </si>
  <si>
    <t>Mobiltelefon (eü)</t>
  </si>
  <si>
    <t>Forgószék 2 db (kultúr)</t>
  </si>
  <si>
    <t>Látásvizsgáló</t>
  </si>
  <si>
    <t>Pupillalámpa</t>
  </si>
  <si>
    <t>Pimpongasztal (GYÖK Padlás projekt)</t>
  </si>
  <si>
    <t>Bartók Béla utca aszfaltburkolatos útfelújítás</t>
  </si>
  <si>
    <t>Átcsoportosítás beruházásról felújításra</t>
  </si>
  <si>
    <t>Martasztfalt</t>
  </si>
  <si>
    <t>II. módosított ei</t>
  </si>
  <si>
    <t xml:space="preserve">             Elszámolásból származó bevétel</t>
  </si>
  <si>
    <t>2018. II. módosítás</t>
  </si>
  <si>
    <t>Elszámoásból származó bevételek</t>
  </si>
  <si>
    <t>II. módosítot ei.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</si>
  <si>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</si>
  <si>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</si>
  <si>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</si>
  <si>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</si>
  <si>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</si>
  <si>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</si>
  <si>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</si>
  <si>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</si>
  <si>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</si>
  <si>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</si>
  <si>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</si>
  <si>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</si>
  <si>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</si>
  <si>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</si>
  <si>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</si>
  <si>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</si>
  <si>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</si>
  <si>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</si>
  <si>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(=B*0,09)</t>
  </si>
  <si>
    <t>G)        Vállalkozási tevékenység felhasználható maradványa (=B-F)</t>
  </si>
  <si>
    <t>Előző időszak</t>
  </si>
  <si>
    <t>Módosítások (+/-)</t>
  </si>
  <si>
    <t>Tárgyi időszak</t>
  </si>
  <si>
    <t>A/I/1 Vagyoni értékű jogok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</si>
  <si>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</si>
  <si>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</si>
  <si>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</si>
  <si>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</si>
  <si>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</si>
  <si>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</si>
  <si>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</si>
  <si>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</si>
  <si>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A/III/2 Tartós hitelviszonyt megtestesítő értékpapírok (&gt;=A/III/2a+A/III/2/b)</t>
  </si>
  <si>
    <t>A/III/2a - ebből: államkötvények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</si>
  <si>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</si>
  <si>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</si>
  <si>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</si>
  <si>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</si>
  <si>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</si>
  <si>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B/II/2 Forgatási célú hitelviszonyt megtestesítő értékpapírok (&gt;=B/II/2a+…+B/II/2e)</t>
  </si>
  <si>
    <t>B/II/2e - ebből: befektetési jegyek</t>
  </si>
  <si>
    <t>B/II Értékpapírok (=B/II/1+B/II/2)</t>
  </si>
  <si>
    <t>B) NEMZETI VAGYONBA TARTOZÓ FORGÓESZKÖZÖK (= B/I+B/II)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</si>
  <si>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</si>
  <si>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</si>
  <si>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</si>
  <si>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</si>
  <si>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</si>
  <si>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</si>
  <si>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</si>
  <si>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</si>
  <si>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</si>
  <si>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</si>
  <si>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</si>
  <si>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D/I/4c - ebből: költségvetési évben esedékes követelések ellátási díjakra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</si>
  <si>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</si>
  <si>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</si>
  <si>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</si>
  <si>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</si>
  <si>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D/II/4 Költségvetési évet követően esedékes követelések működési bevételre (=D/II/4a+…+D/II/4i)</t>
  </si>
  <si>
    <t>D/II/4e - ebből: költségvetési évet követően esedékes követelések általános forgalmi adó visszatérítésére</t>
  </si>
  <si>
    <t>D/II/7 Költségvetési évet követően esedékes követelések felhalmozási célú átvett pénzeszközre (&gt;=D/II/7a+D/II/7b+D/II/7c)</t>
  </si>
  <si>
    <t>D/II/7c - ebből: költségvetési évet követően esedékes követelések felhalmozási célú visszatérítendő támogatások, kölcsönök visszatérülésére államháztartáson kívülről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</si>
  <si>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</si>
  <si>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</si>
  <si>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</si>
  <si>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</si>
  <si>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</si>
  <si>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</si>
  <si>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</si>
  <si>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</si>
  <si>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</si>
  <si>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</si>
  <si>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E) EGYÉB SAJÁTOS ELSZÁMOLÁSOK (=E/I+E/II+E/III)</t>
  </si>
  <si>
    <t>ESZKÖZÖK ÖSSZESEN (=A+B+C+D+E+F)</t>
  </si>
  <si>
    <t>G/I  Nemzeti vagyon induláskori értéke</t>
  </si>
  <si>
    <t>G/II Nemzeti vagyon változásai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</si>
  <si>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</si>
  <si>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</si>
  <si>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</si>
  <si>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</si>
  <si>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</si>
  <si>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</si>
  <si>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</si>
  <si>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</si>
  <si>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</si>
  <si>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</si>
  <si>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</si>
  <si>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</si>
  <si>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</si>
  <si>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</si>
  <si>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</si>
  <si>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</si>
  <si>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</si>
  <si>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</si>
  <si>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G/III Egyéb eszközök induláskori értéke és változásai</t>
  </si>
  <si>
    <t>C/III. Forintszámlák</t>
  </si>
  <si>
    <t>C) PÉNZESZKÖZÖK</t>
  </si>
  <si>
    <t>Önkormányzat vagyonmérleg</t>
  </si>
  <si>
    <t>Óvoda vagyonmérleg</t>
  </si>
  <si>
    <t>Maradványkimutatás Óvoda</t>
  </si>
  <si>
    <t>Maradványkimutatás Önkormányzat</t>
  </si>
  <si>
    <t>2018. I. 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</si>
</sst>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\ _F_t_-;\-* #,##0.0\ _F_t_-;_-* &quot;-&quot;??\ _F_t_-;_-@_-"/>
    <numFmt numFmtId="167" formatCode="#,###"/>
  </numFmts>
  <fonts count="14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Times"/>
      <family val="1"/>
      <charset val="238"/>
    </font>
    <font>
      <b/>
      <sz val="8"/>
      <name val="Times"/>
      <family val="1"/>
      <charset val="238"/>
    </font>
    <font>
      <b/>
      <sz val="9"/>
      <name val="Times"/>
      <family val="1"/>
      <charset val="238"/>
    </font>
    <font>
      <sz val="9"/>
      <name val="Times"/>
      <family val="1"/>
      <charset val="238"/>
    </font>
    <font>
      <b/>
      <sz val="10"/>
      <name val="Times"/>
      <family val="1"/>
      <charset val="238"/>
    </font>
    <font>
      <b/>
      <sz val="12"/>
      <name val="Times"/>
      <family val="1"/>
      <charset val="238"/>
    </font>
    <font>
      <sz val="12"/>
      <name val="Times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name val="Times"/>
      <family val="1"/>
      <charset val="238"/>
    </font>
    <font>
      <sz val="11"/>
      <name val="Times"/>
      <family val="1"/>
      <charset val="238"/>
    </font>
    <font>
      <b/>
      <sz val="14"/>
      <name val="Times"/>
      <family val="1"/>
      <charset val="238"/>
    </font>
    <font>
      <sz val="12"/>
      <color indexed="8"/>
      <name val="Times"/>
      <family val="1"/>
      <charset val="238"/>
    </font>
    <font>
      <sz val="10"/>
      <name val="Times"/>
      <family val="1"/>
      <charset val="238"/>
    </font>
    <font>
      <b/>
      <sz val="10"/>
      <name val="Times"/>
      <family val="1"/>
    </font>
    <font>
      <sz val="12"/>
      <name val="Times"/>
      <family val="1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sz val="14"/>
      <name val="Times"/>
      <family val="1"/>
      <charset val="238"/>
    </font>
    <font>
      <b/>
      <i/>
      <sz val="9"/>
      <name val="Times"/>
      <family val="1"/>
      <charset val="238"/>
    </font>
    <font>
      <b/>
      <sz val="12"/>
      <name val="Times New Roman"/>
      <family val="1"/>
      <charset val="238"/>
    </font>
    <font>
      <b/>
      <u/>
      <sz val="10"/>
      <name val="Times"/>
      <family val="1"/>
      <charset val="238"/>
    </font>
    <font>
      <b/>
      <u/>
      <sz val="9"/>
      <name val="Times"/>
      <family val="1"/>
      <charset val="238"/>
    </font>
    <font>
      <b/>
      <i/>
      <sz val="12"/>
      <name val="Times"/>
      <family val="1"/>
      <charset val="238"/>
    </font>
    <font>
      <b/>
      <sz val="14"/>
      <name val="Times New Roman"/>
      <family val="1"/>
      <charset val="238"/>
    </font>
    <font>
      <sz val="12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0"/>
      <color indexed="8"/>
      <name val="Times"/>
      <family val="1"/>
      <charset val="238"/>
    </font>
    <font>
      <b/>
      <i/>
      <sz val="9"/>
      <color indexed="8"/>
      <name val="Times"/>
      <family val="1"/>
      <charset val="238"/>
    </font>
    <font>
      <i/>
      <sz val="12"/>
      <color indexed="10"/>
      <name val="Times"/>
      <family val="1"/>
      <charset val="238"/>
    </font>
    <font>
      <sz val="10"/>
      <name val="Times"/>
      <family val="1"/>
    </font>
    <font>
      <sz val="11"/>
      <color indexed="10"/>
      <name val="Times"/>
      <family val="1"/>
      <charset val="238"/>
    </font>
    <font>
      <b/>
      <sz val="16"/>
      <name val="Times"/>
      <family val="1"/>
      <charset val="238"/>
    </font>
    <font>
      <sz val="10"/>
      <color indexed="10"/>
      <name val="Times"/>
      <family val="1"/>
      <charset val="238"/>
    </font>
    <font>
      <sz val="10"/>
      <name val="Arial CE"/>
      <charset val="238"/>
    </font>
    <font>
      <b/>
      <sz val="12"/>
      <name val="Times"/>
      <family val="1"/>
    </font>
    <font>
      <sz val="12"/>
      <name val="Times New Roman CE"/>
      <charset val="238"/>
    </font>
    <font>
      <b/>
      <i/>
      <sz val="11"/>
      <name val="Times"/>
      <family val="1"/>
      <charset val="238"/>
    </font>
    <font>
      <b/>
      <sz val="14"/>
      <color indexed="8"/>
      <name val="Times"/>
      <family val="1"/>
      <charset val="238"/>
    </font>
    <font>
      <i/>
      <sz val="10"/>
      <name val="Times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Arial CE"/>
      <charset val="238"/>
    </font>
    <font>
      <sz val="14"/>
      <color indexed="10"/>
      <name val="Times"/>
      <family val="1"/>
      <charset val="238"/>
    </font>
    <font>
      <sz val="12"/>
      <name val="Times"/>
      <family val="1"/>
      <charset val="238"/>
    </font>
    <font>
      <sz val="14"/>
      <name val="Times"/>
      <family val="1"/>
      <charset val="238"/>
    </font>
    <font>
      <sz val="11"/>
      <name val="Times"/>
      <family val="1"/>
      <charset val="238"/>
    </font>
    <font>
      <b/>
      <sz val="12"/>
      <name val="Times"/>
      <family val="1"/>
      <charset val="238"/>
    </font>
    <font>
      <b/>
      <sz val="14"/>
      <name val="Times"/>
      <family val="1"/>
      <charset val="238"/>
    </font>
    <font>
      <b/>
      <sz val="10"/>
      <name val="Times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"/>
      <family val="1"/>
      <charset val="238"/>
    </font>
    <font>
      <sz val="12"/>
      <name val="Times New Roman"/>
      <family val="1"/>
      <charset val="238"/>
    </font>
    <font>
      <sz val="11"/>
      <name val="Arial CE"/>
      <charset val="238"/>
    </font>
    <font>
      <i/>
      <sz val="11"/>
      <name val="Times"/>
      <family val="1"/>
      <charset val="238"/>
    </font>
    <font>
      <b/>
      <sz val="9"/>
      <name val="Times"/>
      <family val="1"/>
      <charset val="238"/>
    </font>
    <font>
      <sz val="16"/>
      <name val="Times"/>
      <family val="1"/>
      <charset val="238"/>
    </font>
    <font>
      <b/>
      <sz val="10"/>
      <name val="Arial CE"/>
      <charset val="238"/>
    </font>
    <font>
      <b/>
      <i/>
      <sz val="11"/>
      <name val="Times New Roman"/>
      <family val="1"/>
      <charset val="238"/>
    </font>
    <font>
      <sz val="10"/>
      <name val="Times"/>
      <family val="1"/>
      <charset val="238"/>
    </font>
    <font>
      <sz val="11"/>
      <name val="Times New Roman"/>
      <family val="1"/>
      <charset val="238"/>
    </font>
    <font>
      <sz val="11"/>
      <color indexed="8"/>
      <name val="Times"/>
      <family val="1"/>
      <charset val="238"/>
    </font>
    <font>
      <sz val="12"/>
      <color indexed="8"/>
      <name val="Times New Roman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name val="Times"/>
      <family val="1"/>
    </font>
    <font>
      <b/>
      <sz val="11"/>
      <name val="Times"/>
      <family val="1"/>
    </font>
    <font>
      <sz val="11"/>
      <name val="Times"/>
      <family val="1"/>
    </font>
    <font>
      <sz val="14"/>
      <name val="Times"/>
      <family val="1"/>
    </font>
    <font>
      <i/>
      <sz val="12"/>
      <name val="Times"/>
      <family val="1"/>
    </font>
    <font>
      <b/>
      <sz val="10"/>
      <name val="Times"/>
      <family val="1"/>
      <charset val="238"/>
    </font>
    <font>
      <sz val="12"/>
      <name val="Times"/>
      <family val="1"/>
      <charset val="238"/>
    </font>
    <font>
      <sz val="11"/>
      <name val="Times"/>
      <family val="1"/>
      <charset val="238"/>
    </font>
    <font>
      <sz val="12"/>
      <color indexed="8"/>
      <name val="Times"/>
      <family val="1"/>
      <charset val="238"/>
    </font>
    <font>
      <b/>
      <sz val="16"/>
      <color indexed="10"/>
      <name val="Times"/>
      <family val="1"/>
      <charset val="238"/>
    </font>
    <font>
      <b/>
      <sz val="14"/>
      <color indexed="10"/>
      <name val="Times"/>
      <family val="1"/>
      <charset val="238"/>
    </font>
    <font>
      <b/>
      <sz val="12"/>
      <color indexed="8"/>
      <name val="Times"/>
      <family val="1"/>
      <charset val="238"/>
    </font>
    <font>
      <b/>
      <sz val="12"/>
      <color indexed="10"/>
      <name val="Times"/>
      <family val="1"/>
      <charset val="238"/>
    </font>
    <font>
      <sz val="12"/>
      <color indexed="10"/>
      <name val="Times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Times"/>
      <family val="1"/>
      <charset val="238"/>
    </font>
    <font>
      <sz val="11"/>
      <color indexed="8"/>
      <name val="Times"/>
      <family val="1"/>
      <charset val="238"/>
    </font>
    <font>
      <b/>
      <sz val="14"/>
      <color indexed="60"/>
      <name val="Times"/>
      <family val="1"/>
      <charset val="238"/>
    </font>
    <font>
      <sz val="12"/>
      <color indexed="60"/>
      <name val="Times"/>
      <family val="1"/>
      <charset val="238"/>
    </font>
    <font>
      <b/>
      <sz val="12"/>
      <color indexed="60"/>
      <name val="Times"/>
      <family val="1"/>
      <charset val="238"/>
    </font>
    <font>
      <sz val="14"/>
      <color indexed="10"/>
      <name val="Times"/>
      <family val="1"/>
      <charset val="238"/>
    </font>
    <font>
      <sz val="14"/>
      <color indexed="8"/>
      <name val="Times"/>
      <family val="1"/>
      <charset val="238"/>
    </font>
    <font>
      <b/>
      <sz val="14"/>
      <color indexed="8"/>
      <name val="Times"/>
      <family val="1"/>
      <charset val="238"/>
    </font>
    <font>
      <b/>
      <sz val="11"/>
      <color indexed="10"/>
      <name val="Times"/>
      <family val="1"/>
      <charset val="238"/>
    </font>
    <font>
      <b/>
      <sz val="14"/>
      <color indexed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"/>
      <charset val="238"/>
    </font>
    <font>
      <sz val="14"/>
      <name val="Times"/>
      <charset val="238"/>
    </font>
    <font>
      <sz val="14"/>
      <color indexed="8"/>
      <name val="Times"/>
      <charset val="238"/>
    </font>
    <font>
      <b/>
      <sz val="14"/>
      <name val="Times"/>
      <charset val="238"/>
    </font>
    <font>
      <sz val="11"/>
      <name val="Times"/>
      <charset val="238"/>
    </font>
    <font>
      <b/>
      <sz val="12"/>
      <name val="Times"/>
      <charset val="238"/>
    </font>
    <font>
      <sz val="14"/>
      <color indexed="10"/>
      <name val="Times"/>
      <charset val="238"/>
    </font>
    <font>
      <sz val="10"/>
      <color indexed="10"/>
      <name val="Arial CE"/>
      <charset val="238"/>
    </font>
    <font>
      <sz val="10"/>
      <name val="Arial CE"/>
      <charset val="238"/>
    </font>
    <font>
      <sz val="10"/>
      <color indexed="60"/>
      <name val="Arial CE"/>
      <charset val="238"/>
    </font>
    <font>
      <b/>
      <sz val="11"/>
      <name val="Times"/>
      <charset val="238"/>
    </font>
    <font>
      <b/>
      <sz val="9"/>
      <name val="Times"/>
      <charset val="238"/>
    </font>
    <font>
      <sz val="10"/>
      <color indexed="10"/>
      <name val="Times"/>
      <charset val="238"/>
    </font>
    <font>
      <sz val="12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color rgb="FF0070C0"/>
      <name val="Arial CE"/>
      <charset val="238"/>
    </font>
    <font>
      <sz val="10"/>
      <color rgb="FF0070C0"/>
      <name val="Times"/>
      <family val="1"/>
      <charset val="238"/>
    </font>
    <font>
      <b/>
      <sz val="11"/>
      <color rgb="FF0070C0"/>
      <name val="Times"/>
      <family val="1"/>
      <charset val="238"/>
    </font>
    <font>
      <sz val="10"/>
      <color rgb="FF0070C0"/>
      <name val="Arial CE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sz val="10"/>
      <color rgb="FF0070C0"/>
      <name val="Times"/>
      <charset val="238"/>
    </font>
    <font>
      <sz val="11"/>
      <color rgb="FF0070C0"/>
      <name val="Times"/>
      <charset val="238"/>
    </font>
    <font>
      <sz val="10"/>
      <color rgb="FF0070C0"/>
      <name val="Times New Roman"/>
      <family val="1"/>
      <charset val="238"/>
    </font>
    <font>
      <sz val="14"/>
      <name val="Arial CE"/>
      <charset val="238"/>
    </font>
    <font>
      <sz val="14"/>
      <color theme="1"/>
      <name val="Times"/>
      <family val="1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85"/>
        <bgColor indexed="64"/>
      </patternFill>
    </fill>
    <fill>
      <patternFill patternType="solid">
        <fgColor indexed="49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7" borderId="1" applyNumberFormat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16" borderId="5" applyNumberFormat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" fillId="17" borderId="7" applyNumberFormat="0" applyFont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0" fillId="4" borderId="0" applyNumberFormat="0" applyBorder="0" applyAlignment="0" applyProtection="0"/>
    <xf numFmtId="0" fontId="21" fillId="22" borderId="8" applyNumberFormat="0" applyAlignment="0" applyProtection="0"/>
    <xf numFmtId="0" fontId="22" fillId="0" borderId="0" applyNumberFormat="0" applyFill="0" applyBorder="0" applyAlignment="0" applyProtection="0"/>
    <xf numFmtId="0" fontId="112" fillId="0" borderId="0"/>
    <xf numFmtId="0" fontId="1" fillId="0" borderId="0"/>
    <xf numFmtId="0" fontId="54" fillId="0" borderId="0"/>
    <xf numFmtId="0" fontId="129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25" fillId="23" borderId="0" applyNumberFormat="0" applyBorder="0" applyAlignment="0" applyProtection="0"/>
    <xf numFmtId="0" fontId="26" fillId="22" borderId="1" applyNumberFormat="0" applyAlignment="0" applyProtection="0"/>
  </cellStyleXfs>
  <cellXfs count="1037">
    <xf numFmtId="0" fontId="0" fillId="0" borderId="0" xfId="0"/>
    <xf numFmtId="0" fontId="6" fillId="0" borderId="10" xfId="0" applyFont="1" applyBorder="1"/>
    <xf numFmtId="0" fontId="9" fillId="0" borderId="10" xfId="0" applyFont="1" applyBorder="1"/>
    <xf numFmtId="165" fontId="8" fillId="24" borderId="10" xfId="26" applyNumberFormat="1" applyFont="1" applyFill="1" applyBorder="1"/>
    <xf numFmtId="3" fontId="28" fillId="0" borderId="10" xfId="0" applyNumberFormat="1" applyFont="1" applyBorder="1"/>
    <xf numFmtId="0" fontId="28" fillId="0" borderId="10" xfId="0" applyFont="1" applyBorder="1"/>
    <xf numFmtId="0" fontId="3" fillId="0" borderId="10" xfId="0" applyFont="1" applyBorder="1"/>
    <xf numFmtId="165" fontId="9" fillId="25" borderId="10" xfId="26" applyNumberFormat="1" applyFont="1" applyFill="1" applyBorder="1"/>
    <xf numFmtId="0" fontId="27" fillId="26" borderId="10" xfId="0" applyFont="1" applyFill="1" applyBorder="1"/>
    <xf numFmtId="165" fontId="9" fillId="24" borderId="10" xfId="26" applyNumberFormat="1" applyFont="1" applyFill="1" applyBorder="1"/>
    <xf numFmtId="0" fontId="31" fillId="0" borderId="10" xfId="0" applyFont="1" applyBorder="1"/>
    <xf numFmtId="165" fontId="31" fillId="25" borderId="10" xfId="26" applyNumberFormat="1" applyFont="1" applyFill="1" applyBorder="1"/>
    <xf numFmtId="165" fontId="7" fillId="25" borderId="10" xfId="26" applyNumberFormat="1" applyFont="1" applyFill="1" applyBorder="1"/>
    <xf numFmtId="165" fontId="29" fillId="25" borderId="10" xfId="26" applyNumberFormat="1" applyFont="1" applyFill="1" applyBorder="1"/>
    <xf numFmtId="0" fontId="4" fillId="25" borderId="10" xfId="0" applyFont="1" applyFill="1" applyBorder="1"/>
    <xf numFmtId="3" fontId="5" fillId="25" borderId="10" xfId="0" applyNumberFormat="1" applyFont="1" applyFill="1" applyBorder="1" applyAlignment="1" applyProtection="1">
      <alignment horizontal="right" vertical="center" wrapText="1"/>
    </xf>
    <xf numFmtId="3" fontId="37" fillId="25" borderId="10" xfId="0" applyNumberFormat="1" applyFont="1" applyFill="1" applyBorder="1" applyAlignment="1" applyProtection="1">
      <alignment horizontal="right" vertical="center" wrapText="1"/>
    </xf>
    <xf numFmtId="0" fontId="3" fillId="25" borderId="10" xfId="0" applyFont="1" applyFill="1" applyBorder="1" applyAlignment="1">
      <alignment horizontal="right"/>
    </xf>
    <xf numFmtId="0" fontId="37" fillId="25" borderId="10" xfId="0" applyFont="1" applyFill="1" applyBorder="1"/>
    <xf numFmtId="3" fontId="4" fillId="25" borderId="10" xfId="0" applyNumberFormat="1" applyFont="1" applyFill="1" applyBorder="1"/>
    <xf numFmtId="3" fontId="6" fillId="25" borderId="10" xfId="0" applyNumberFormat="1" applyFont="1" applyFill="1" applyBorder="1" applyAlignment="1" applyProtection="1">
      <alignment horizontal="right" vertical="center" wrapText="1"/>
    </xf>
    <xf numFmtId="3" fontId="4" fillId="25" borderId="10" xfId="0" applyNumberFormat="1" applyFont="1" applyFill="1" applyBorder="1" applyAlignment="1" applyProtection="1">
      <alignment horizontal="right" vertical="center" wrapText="1"/>
      <protection locked="0"/>
    </xf>
    <xf numFmtId="165" fontId="6" fillId="25" borderId="10" xfId="26" applyNumberFormat="1" applyFont="1" applyFill="1" applyBorder="1"/>
    <xf numFmtId="165" fontId="5" fillId="25" borderId="10" xfId="26" applyNumberFormat="1" applyFont="1" applyFill="1" applyBorder="1"/>
    <xf numFmtId="165" fontId="7" fillId="26" borderId="10" xfId="26" applyNumberFormat="1" applyFont="1" applyFill="1" applyBorder="1"/>
    <xf numFmtId="167" fontId="5" fillId="26" borderId="10" xfId="0" applyNumberFormat="1" applyFont="1" applyFill="1" applyBorder="1"/>
    <xf numFmtId="167" fontId="8" fillId="26" borderId="10" xfId="0" applyNumberFormat="1" applyFont="1" applyFill="1" applyBorder="1"/>
    <xf numFmtId="0" fontId="8" fillId="24" borderId="10" xfId="0" applyFont="1" applyFill="1" applyBorder="1" applyAlignment="1">
      <alignment horizontal="center"/>
    </xf>
    <xf numFmtId="165" fontId="29" fillId="26" borderId="10" xfId="26" applyNumberFormat="1" applyFont="1" applyFill="1" applyBorder="1"/>
    <xf numFmtId="0" fontId="7" fillId="26" borderId="10" xfId="0" applyFont="1" applyFill="1" applyBorder="1"/>
    <xf numFmtId="0" fontId="9" fillId="25" borderId="10" xfId="0" applyFont="1" applyFill="1" applyBorder="1"/>
    <xf numFmtId="0" fontId="7" fillId="25" borderId="10" xfId="0" applyFont="1" applyFill="1" applyBorder="1" applyAlignment="1">
      <alignment horizontal="center"/>
    </xf>
    <xf numFmtId="0" fontId="7" fillId="25" borderId="10" xfId="0" applyFont="1" applyFill="1" applyBorder="1"/>
    <xf numFmtId="165" fontId="9" fillId="0" borderId="10" xfId="26" applyNumberFormat="1" applyFont="1" applyBorder="1"/>
    <xf numFmtId="0" fontId="7" fillId="0" borderId="10" xfId="0" applyFont="1" applyBorder="1" applyAlignment="1">
      <alignment horizontal="center"/>
    </xf>
    <xf numFmtId="0" fontId="3" fillId="0" borderId="10" xfId="41" applyFont="1" applyBorder="1"/>
    <xf numFmtId="0" fontId="9" fillId="0" borderId="10" xfId="41" applyFont="1" applyBorder="1"/>
    <xf numFmtId="0" fontId="9" fillId="25" borderId="10" xfId="41" applyFont="1" applyFill="1" applyBorder="1"/>
    <xf numFmtId="0" fontId="3" fillId="25" borderId="10" xfId="41" applyFont="1" applyFill="1" applyBorder="1"/>
    <xf numFmtId="0" fontId="9" fillId="0" borderId="10" xfId="41" applyFont="1" applyFill="1" applyBorder="1" applyAlignment="1">
      <alignment horizontal="left"/>
    </xf>
    <xf numFmtId="0" fontId="9" fillId="0" borderId="10" xfId="41" applyFont="1" applyFill="1" applyBorder="1"/>
    <xf numFmtId="0" fontId="36" fillId="26" borderId="10" xfId="41" applyFont="1" applyFill="1" applyBorder="1"/>
    <xf numFmtId="3" fontId="28" fillId="0" borderId="10" xfId="0" applyNumberFormat="1" applyFont="1" applyFill="1" applyBorder="1"/>
    <xf numFmtId="3" fontId="28" fillId="25" borderId="10" xfId="0" applyNumberFormat="1" applyFont="1" applyFill="1" applyBorder="1"/>
    <xf numFmtId="0" fontId="27" fillId="25" borderId="10" xfId="0" applyFont="1" applyFill="1" applyBorder="1"/>
    <xf numFmtId="0" fontId="7" fillId="0" borderId="10" xfId="0" applyFont="1" applyBorder="1"/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9" fillId="0" borderId="10" xfId="0" applyFont="1" applyBorder="1"/>
    <xf numFmtId="165" fontId="7" fillId="26" borderId="10" xfId="26" applyNumberFormat="1" applyFont="1" applyFill="1" applyBorder="1" applyAlignment="1">
      <alignment horizontal="center"/>
    </xf>
    <xf numFmtId="0" fontId="28" fillId="25" borderId="10" xfId="0" applyFont="1" applyFill="1" applyBorder="1"/>
    <xf numFmtId="0" fontId="5" fillId="0" borderId="10" xfId="0" applyFont="1" applyBorder="1"/>
    <xf numFmtId="0" fontId="40" fillId="0" borderId="10" xfId="0" applyFont="1" applyBorder="1"/>
    <xf numFmtId="0" fontId="6" fillId="0" borderId="14" xfId="0" applyFont="1" applyBorder="1"/>
    <xf numFmtId="0" fontId="28" fillId="25" borderId="14" xfId="0" applyFont="1" applyFill="1" applyBorder="1"/>
    <xf numFmtId="165" fontId="9" fillId="24" borderId="14" xfId="26" applyNumberFormat="1" applyFont="1" applyFill="1" applyBorder="1"/>
    <xf numFmtId="0" fontId="6" fillId="0" borderId="10" xfId="0" applyFont="1" applyFill="1" applyBorder="1"/>
    <xf numFmtId="0" fontId="5" fillId="0" borderId="10" xfId="0" applyFont="1" applyFill="1" applyBorder="1"/>
    <xf numFmtId="165" fontId="6" fillId="0" borderId="10" xfId="26" applyNumberFormat="1" applyFont="1" applyBorder="1"/>
    <xf numFmtId="165" fontId="5" fillId="0" borderId="10" xfId="26" applyNumberFormat="1" applyFont="1" applyBorder="1"/>
    <xf numFmtId="165" fontId="6" fillId="0" borderId="14" xfId="26" applyNumberFormat="1" applyFont="1" applyBorder="1"/>
    <xf numFmtId="165" fontId="5" fillId="0" borderId="10" xfId="26" applyNumberFormat="1" applyFont="1" applyFill="1" applyBorder="1"/>
    <xf numFmtId="0" fontId="6" fillId="27" borderId="10" xfId="0" applyFont="1" applyFill="1" applyBorder="1"/>
    <xf numFmtId="165" fontId="28" fillId="25" borderId="10" xfId="26" applyNumberFormat="1" applyFont="1" applyFill="1" applyBorder="1"/>
    <xf numFmtId="0" fontId="27" fillId="0" borderId="10" xfId="0" applyFont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165" fontId="31" fillId="0" borderId="10" xfId="26" applyNumberFormat="1" applyFont="1" applyBorder="1"/>
    <xf numFmtId="0" fontId="31" fillId="0" borderId="0" xfId="0" applyFont="1"/>
    <xf numFmtId="167" fontId="28" fillId="26" borderId="10" xfId="0" applyNumberFormat="1" applyFont="1" applyFill="1" applyBorder="1"/>
    <xf numFmtId="165" fontId="31" fillId="0" borderId="0" xfId="0" applyNumberFormat="1" applyFont="1"/>
    <xf numFmtId="165" fontId="31" fillId="0" borderId="0" xfId="26" applyNumberFormat="1" applyFont="1"/>
    <xf numFmtId="165" fontId="27" fillId="25" borderId="10" xfId="26" applyNumberFormat="1" applyFont="1" applyFill="1" applyBorder="1"/>
    <xf numFmtId="165" fontId="27" fillId="28" borderId="10" xfId="26" applyNumberFormat="1" applyFont="1" applyFill="1" applyBorder="1"/>
    <xf numFmtId="0" fontId="29" fillId="26" borderId="15" xfId="0" applyFont="1" applyFill="1" applyBorder="1" applyAlignment="1">
      <alignment horizontal="center"/>
    </xf>
    <xf numFmtId="0" fontId="29" fillId="26" borderId="14" xfId="0" applyFont="1" applyFill="1" applyBorder="1" applyAlignment="1">
      <alignment horizontal="center"/>
    </xf>
    <xf numFmtId="0" fontId="6" fillId="25" borderId="10" xfId="0" applyFont="1" applyFill="1" applyBorder="1"/>
    <xf numFmtId="165" fontId="7" fillId="28" borderId="10" xfId="26" applyNumberFormat="1" applyFont="1" applyFill="1" applyBorder="1"/>
    <xf numFmtId="165" fontId="29" fillId="28" borderId="10" xfId="26" applyNumberFormat="1" applyFont="1" applyFill="1" applyBorder="1"/>
    <xf numFmtId="167" fontId="9" fillId="0" borderId="10" xfId="0" applyNumberFormat="1" applyFont="1" applyFill="1" applyBorder="1" applyAlignment="1">
      <alignment horizontal="left" vertical="center" wrapText="1"/>
    </xf>
    <xf numFmtId="0" fontId="9" fillId="0" borderId="13" xfId="0" applyFont="1" applyBorder="1"/>
    <xf numFmtId="0" fontId="9" fillId="0" borderId="16" xfId="0" applyFont="1" applyFill="1" applyBorder="1"/>
    <xf numFmtId="167" fontId="9" fillId="0" borderId="13" xfId="0" applyNumberFormat="1" applyFont="1" applyFill="1" applyBorder="1" applyAlignment="1" applyProtection="1">
      <alignment vertical="center" wrapText="1"/>
    </xf>
    <xf numFmtId="165" fontId="8" fillId="27" borderId="10" xfId="26" applyNumberFormat="1" applyFont="1" applyFill="1" applyBorder="1"/>
    <xf numFmtId="0" fontId="9" fillId="25" borderId="10" xfId="0" applyFont="1" applyFill="1" applyBorder="1" applyAlignment="1" applyProtection="1">
      <alignment horizontal="left" vertical="center" wrapText="1"/>
      <protection locked="0"/>
    </xf>
    <xf numFmtId="0" fontId="8" fillId="25" borderId="10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alignment horizontal="left" vertical="center" wrapText="1"/>
      <protection locked="0"/>
    </xf>
    <xf numFmtId="0" fontId="8" fillId="0" borderId="13" xfId="0" applyFont="1" applyBorder="1"/>
    <xf numFmtId="0" fontId="9" fillId="0" borderId="13" xfId="0" applyFont="1" applyFill="1" applyBorder="1"/>
    <xf numFmtId="0" fontId="8" fillId="25" borderId="13" xfId="0" applyFont="1" applyFill="1" applyBorder="1"/>
    <xf numFmtId="0" fontId="9" fillId="25" borderId="13" xfId="0" applyFont="1" applyFill="1" applyBorder="1"/>
    <xf numFmtId="165" fontId="8" fillId="26" borderId="10" xfId="26" applyNumberFormat="1" applyFont="1" applyFill="1" applyBorder="1" applyAlignment="1">
      <alignment horizontal="center"/>
    </xf>
    <xf numFmtId="165" fontId="7" fillId="25" borderId="0" xfId="26" applyNumberFormat="1" applyFont="1" applyFill="1" applyBorder="1"/>
    <xf numFmtId="165" fontId="0" fillId="0" borderId="0" xfId="0" applyNumberFormat="1"/>
    <xf numFmtId="165" fontId="29" fillId="29" borderId="10" xfId="26" applyNumberFormat="1" applyFont="1" applyFill="1" applyBorder="1"/>
    <xf numFmtId="0" fontId="35" fillId="25" borderId="10" xfId="0" applyFont="1" applyFill="1" applyBorder="1" applyAlignment="1">
      <alignment horizontal="center"/>
    </xf>
    <xf numFmtId="165" fontId="3" fillId="0" borderId="0" xfId="0" applyNumberFormat="1" applyFont="1"/>
    <xf numFmtId="0" fontId="35" fillId="30" borderId="10" xfId="0" applyFont="1" applyFill="1" applyBorder="1" applyAlignment="1">
      <alignment horizontal="center"/>
    </xf>
    <xf numFmtId="165" fontId="29" fillId="28" borderId="10" xfId="26" applyNumberFormat="1" applyFont="1" applyFill="1" applyBorder="1" applyAlignment="1"/>
    <xf numFmtId="165" fontId="9" fillId="25" borderId="10" xfId="41" applyNumberFormat="1" applyFont="1" applyFill="1" applyBorder="1"/>
    <xf numFmtId="165" fontId="29" fillId="26" borderId="10" xfId="41" applyNumberFormat="1" applyFont="1" applyFill="1" applyBorder="1"/>
    <xf numFmtId="165" fontId="8" fillId="26" borderId="10" xfId="27" applyNumberFormat="1" applyFont="1" applyFill="1" applyBorder="1"/>
    <xf numFmtId="0" fontId="27" fillId="0" borderId="17" xfId="42" applyFont="1" applyFill="1" applyBorder="1" applyAlignment="1" applyProtection="1">
      <alignment horizontal="center" vertical="center"/>
    </xf>
    <xf numFmtId="0" fontId="27" fillId="0" borderId="18" xfId="42" applyFont="1" applyFill="1" applyBorder="1" applyAlignment="1" applyProtection="1">
      <alignment horizontal="center" vertical="center"/>
    </xf>
    <xf numFmtId="0" fontId="28" fillId="0" borderId="10" xfId="42" applyFont="1" applyFill="1" applyBorder="1" applyAlignment="1" applyProtection="1">
      <alignment horizontal="left" vertical="center" indent="1"/>
      <protection locked="0"/>
    </xf>
    <xf numFmtId="167" fontId="28" fillId="0" borderId="10" xfId="42" applyNumberFormat="1" applyFont="1" applyFill="1" applyBorder="1" applyAlignment="1" applyProtection="1">
      <alignment vertical="center"/>
      <protection locked="0"/>
    </xf>
    <xf numFmtId="167" fontId="27" fillId="0" borderId="19" xfId="42" applyNumberFormat="1" applyFont="1" applyFill="1" applyBorder="1" applyAlignment="1" applyProtection="1">
      <alignment vertical="center"/>
    </xf>
    <xf numFmtId="0" fontId="28" fillId="0" borderId="14" xfId="42" applyFont="1" applyFill="1" applyBorder="1" applyAlignment="1" applyProtection="1">
      <alignment horizontal="left" vertical="center" indent="1"/>
      <protection locked="0"/>
    </xf>
    <xf numFmtId="167" fontId="28" fillId="0" borderId="14" xfId="42" applyNumberFormat="1" applyFont="1" applyFill="1" applyBorder="1" applyAlignment="1" applyProtection="1">
      <alignment vertical="center"/>
      <protection locked="0"/>
    </xf>
    <xf numFmtId="167" fontId="27" fillId="0" borderId="20" xfId="42" applyNumberFormat="1" applyFont="1" applyFill="1" applyBorder="1" applyAlignment="1" applyProtection="1">
      <alignment vertical="center"/>
    </xf>
    <xf numFmtId="0" fontId="28" fillId="0" borderId="15" xfId="42" applyFont="1" applyFill="1" applyBorder="1" applyAlignment="1" applyProtection="1">
      <alignment horizontal="left" vertical="center" indent="1"/>
      <protection locked="0"/>
    </xf>
    <xf numFmtId="167" fontId="28" fillId="0" borderId="15" xfId="42" applyNumberFormat="1" applyFont="1" applyFill="1" applyBorder="1" applyAlignment="1" applyProtection="1">
      <alignment vertical="center"/>
      <protection locked="0"/>
    </xf>
    <xf numFmtId="0" fontId="27" fillId="0" borderId="21" xfId="42" applyFont="1" applyFill="1" applyBorder="1" applyAlignment="1" applyProtection="1">
      <alignment horizontal="left" vertical="center" indent="1"/>
    </xf>
    <xf numFmtId="167" fontId="27" fillId="0" borderId="21" xfId="42" applyNumberFormat="1" applyFont="1" applyFill="1" applyBorder="1" applyAlignment="1" applyProtection="1">
      <alignment vertical="center"/>
    </xf>
    <xf numFmtId="167" fontId="27" fillId="0" borderId="22" xfId="42" applyNumberFormat="1" applyFont="1" applyFill="1" applyBorder="1" applyAlignment="1" applyProtection="1">
      <alignment vertical="center"/>
    </xf>
    <xf numFmtId="0" fontId="27" fillId="0" borderId="21" xfId="42" applyFont="1" applyFill="1" applyBorder="1" applyAlignment="1" applyProtection="1">
      <alignment horizontal="left" indent="1"/>
      <protection locked="0"/>
    </xf>
    <xf numFmtId="167" fontId="27" fillId="0" borderId="21" xfId="42" applyNumberFormat="1" applyFont="1" applyFill="1" applyBorder="1" applyProtection="1"/>
    <xf numFmtId="167" fontId="28" fillId="0" borderId="14" xfId="0" applyNumberFormat="1" applyFont="1" applyFill="1" applyBorder="1" applyAlignment="1" applyProtection="1">
      <alignment vertical="center" wrapText="1"/>
      <protection locked="0"/>
    </xf>
    <xf numFmtId="167" fontId="28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7" fontId="28" fillId="0" borderId="10" xfId="0" applyNumberFormat="1" applyFont="1" applyFill="1" applyBorder="1" applyAlignment="1" applyProtection="1">
      <alignment vertical="center" wrapText="1"/>
      <protection locked="0"/>
    </xf>
    <xf numFmtId="167" fontId="27" fillId="0" borderId="10" xfId="0" applyNumberFormat="1" applyFont="1" applyFill="1" applyBorder="1" applyAlignment="1" applyProtection="1">
      <alignment vertical="center" wrapText="1"/>
      <protection locked="0"/>
    </xf>
    <xf numFmtId="167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7" fontId="2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7" fontId="27" fillId="0" borderId="24" xfId="0" applyNumberFormat="1" applyFont="1" applyFill="1" applyBorder="1" applyAlignment="1" applyProtection="1">
      <alignment horizontal="right" vertical="center" wrapText="1"/>
    </xf>
    <xf numFmtId="167" fontId="27" fillId="0" borderId="25" xfId="0" applyNumberFormat="1" applyFont="1" applyFill="1" applyBorder="1" applyAlignment="1">
      <alignment horizontal="right" vertical="center" wrapText="1" indent="1"/>
    </xf>
    <xf numFmtId="167" fontId="27" fillId="0" borderId="16" xfId="0" applyNumberFormat="1" applyFont="1" applyFill="1" applyBorder="1" applyAlignment="1" applyProtection="1">
      <alignment horizontal="right" vertical="center" wrapText="1"/>
    </xf>
    <xf numFmtId="167" fontId="27" fillId="0" borderId="26" xfId="0" applyNumberFormat="1" applyFont="1" applyFill="1" applyBorder="1" applyAlignment="1">
      <alignment horizontal="right" vertical="center" wrapText="1" indent="1"/>
    </xf>
    <xf numFmtId="0" fontId="7" fillId="25" borderId="0" xfId="0" applyFont="1" applyFill="1" applyAlignment="1">
      <alignment horizontal="left"/>
    </xf>
    <xf numFmtId="0" fontId="31" fillId="25" borderId="0" xfId="0" applyFont="1" applyFill="1"/>
    <xf numFmtId="165" fontId="7" fillId="25" borderId="0" xfId="26" applyNumberFormat="1" applyFont="1" applyFill="1" applyAlignment="1">
      <alignment horizontal="center"/>
    </xf>
    <xf numFmtId="165" fontId="48" fillId="25" borderId="0" xfId="26" applyNumberFormat="1" applyFont="1" applyFill="1"/>
    <xf numFmtId="165" fontId="31" fillId="25" borderId="0" xfId="26" applyNumberFormat="1" applyFont="1" applyFill="1"/>
    <xf numFmtId="165" fontId="28" fillId="0" borderId="10" xfId="26" applyNumberFormat="1" applyFont="1" applyBorder="1"/>
    <xf numFmtId="167" fontId="31" fillId="0" borderId="14" xfId="0" applyNumberFormat="1" applyFont="1" applyFill="1" applyBorder="1" applyAlignment="1" applyProtection="1">
      <alignment vertical="center" wrapText="1"/>
      <protection locked="0"/>
    </xf>
    <xf numFmtId="167" fontId="31" fillId="0" borderId="10" xfId="0" applyNumberFormat="1" applyFont="1" applyFill="1" applyBorder="1" applyAlignment="1" applyProtection="1">
      <alignment vertical="center" wrapText="1"/>
      <protection locked="0"/>
    </xf>
    <xf numFmtId="167" fontId="7" fillId="0" borderId="10" xfId="0" applyNumberFormat="1" applyFont="1" applyFill="1" applyBorder="1" applyAlignment="1" applyProtection="1">
      <alignment vertical="center" wrapText="1"/>
      <protection locked="0"/>
    </xf>
    <xf numFmtId="167" fontId="7" fillId="0" borderId="24" xfId="0" applyNumberFormat="1" applyFont="1" applyFill="1" applyBorder="1" applyAlignment="1" applyProtection="1">
      <alignment horizontal="right" vertical="center" wrapText="1"/>
    </xf>
    <xf numFmtId="165" fontId="7" fillId="0" borderId="0" xfId="26" applyNumberFormat="1" applyFont="1"/>
    <xf numFmtId="0" fontId="31" fillId="0" borderId="0" xfId="0" applyFont="1" applyAlignment="1">
      <alignment horizontal="center"/>
    </xf>
    <xf numFmtId="0" fontId="28" fillId="0" borderId="13" xfId="0" applyFont="1" applyBorder="1"/>
    <xf numFmtId="0" fontId="27" fillId="26" borderId="13" xfId="0" applyFont="1" applyFill="1" applyBorder="1"/>
    <xf numFmtId="165" fontId="8" fillId="28" borderId="10" xfId="26" applyNumberFormat="1" applyFont="1" applyFill="1" applyBorder="1"/>
    <xf numFmtId="0" fontId="27" fillId="28" borderId="10" xfId="0" applyFont="1" applyFill="1" applyBorder="1"/>
    <xf numFmtId="0" fontId="27" fillId="28" borderId="13" xfId="0" applyFont="1" applyFill="1" applyBorder="1"/>
    <xf numFmtId="165" fontId="9" fillId="28" borderId="10" xfId="26" applyNumberFormat="1" applyFont="1" applyFill="1" applyBorder="1"/>
    <xf numFmtId="167" fontId="8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8" fillId="28" borderId="10" xfId="0" applyFont="1" applyFill="1" applyBorder="1" applyAlignment="1">
      <alignment horizontal="center"/>
    </xf>
    <xf numFmtId="165" fontId="8" fillId="28" borderId="10" xfId="26" applyNumberFormat="1" applyFont="1" applyFill="1" applyBorder="1" applyAlignment="1"/>
    <xf numFmtId="0" fontId="8" fillId="28" borderId="10" xfId="0" applyFont="1" applyFill="1" applyBorder="1"/>
    <xf numFmtId="165" fontId="35" fillId="28" borderId="10" xfId="26" applyNumberFormat="1" applyFont="1" applyFill="1" applyBorder="1"/>
    <xf numFmtId="0" fontId="8" fillId="28" borderId="13" xfId="0" applyFont="1" applyFill="1" applyBorder="1"/>
    <xf numFmtId="0" fontId="29" fillId="28" borderId="10" xfId="0" applyFont="1" applyFill="1" applyBorder="1" applyAlignment="1">
      <alignment horizontal="center"/>
    </xf>
    <xf numFmtId="0" fontId="29" fillId="28" borderId="13" xfId="0" applyFont="1" applyFill="1" applyBorder="1"/>
    <xf numFmtId="165" fontId="8" fillId="28" borderId="10" xfId="26" applyNumberFormat="1" applyFont="1" applyFill="1" applyBorder="1" applyAlignment="1" applyProtection="1">
      <alignment vertical="center" wrapText="1"/>
    </xf>
    <xf numFmtId="0" fontId="29" fillId="28" borderId="10" xfId="0" applyFont="1" applyFill="1" applyBorder="1"/>
    <xf numFmtId="167" fontId="29" fillId="26" borderId="10" xfId="0" applyNumberFormat="1" applyFont="1" applyFill="1" applyBorder="1" applyAlignment="1">
      <alignment horizontal="center" vertical="center" wrapText="1"/>
    </xf>
    <xf numFmtId="165" fontId="30" fillId="25" borderId="10" xfId="26" applyNumberFormat="1" applyFont="1" applyFill="1" applyBorder="1"/>
    <xf numFmtId="165" fontId="8" fillId="25" borderId="10" xfId="26" applyNumberFormat="1" applyFont="1" applyFill="1" applyBorder="1"/>
    <xf numFmtId="165" fontId="35" fillId="25" borderId="10" xfId="26" applyNumberFormat="1" applyFont="1" applyFill="1" applyBorder="1"/>
    <xf numFmtId="165" fontId="30" fillId="25" borderId="10" xfId="26" applyNumberFormat="1" applyFont="1" applyFill="1" applyBorder="1" applyAlignment="1" applyProtection="1">
      <alignment vertical="center" wrapText="1"/>
    </xf>
    <xf numFmtId="165" fontId="9" fillId="25" borderId="10" xfId="26" applyNumberFormat="1" applyFont="1" applyFill="1" applyBorder="1" applyAlignment="1" applyProtection="1">
      <alignment vertical="center" wrapText="1"/>
    </xf>
    <xf numFmtId="165" fontId="27" fillId="28" borderId="10" xfId="26" applyNumberFormat="1" applyFont="1" applyFill="1" applyBorder="1" applyAlignment="1"/>
    <xf numFmtId="165" fontId="28" fillId="26" borderId="10" xfId="26" applyNumberFormat="1" applyFont="1" applyFill="1" applyBorder="1" applyAlignment="1">
      <alignment vertical="center" wrapText="1"/>
    </xf>
    <xf numFmtId="0" fontId="8" fillId="28" borderId="10" xfId="41" applyFont="1" applyFill="1" applyBorder="1" applyAlignment="1">
      <alignment horizontal="left"/>
    </xf>
    <xf numFmtId="3" fontId="8" fillId="28" borderId="14" xfId="41" applyNumberFormat="1" applyFont="1" applyFill="1" applyBorder="1" applyAlignment="1">
      <alignment horizontal="center"/>
    </xf>
    <xf numFmtId="3" fontId="8" fillId="28" borderId="10" xfId="41" applyNumberFormat="1" applyFont="1" applyFill="1" applyBorder="1" applyAlignment="1"/>
    <xf numFmtId="0" fontId="8" fillId="28" borderId="14" xfId="41" applyFont="1" applyFill="1" applyBorder="1" applyAlignment="1">
      <alignment horizontal="center"/>
    </xf>
    <xf numFmtId="0" fontId="8" fillId="28" borderId="10" xfId="41" applyFont="1" applyFill="1" applyBorder="1"/>
    <xf numFmtId="165" fontId="91" fillId="25" borderId="10" xfId="41" applyNumberFormat="1" applyFont="1" applyFill="1" applyBorder="1"/>
    <xf numFmtId="165" fontId="36" fillId="25" borderId="10" xfId="41" applyNumberFormat="1" applyFont="1" applyFill="1" applyBorder="1"/>
    <xf numFmtId="165" fontId="58" fillId="28" borderId="10" xfId="26" applyNumberFormat="1" applyFont="1" applyFill="1" applyBorder="1"/>
    <xf numFmtId="3" fontId="38" fillId="28" borderId="10" xfId="0" applyNumberFormat="1" applyFont="1" applyFill="1" applyBorder="1"/>
    <xf numFmtId="3" fontId="8" fillId="28" borderId="10" xfId="0" applyNumberFormat="1" applyFont="1" applyFill="1" applyBorder="1"/>
    <xf numFmtId="165" fontId="56" fillId="25" borderId="10" xfId="26" applyNumberFormat="1" applyFont="1" applyFill="1" applyBorder="1"/>
    <xf numFmtId="165" fontId="34" fillId="25" borderId="10" xfId="26" applyNumberFormat="1" applyFont="1" applyFill="1" applyBorder="1"/>
    <xf numFmtId="16" fontId="28" fillId="0" borderId="10" xfId="0" applyNumberFormat="1" applyFont="1" applyBorder="1"/>
    <xf numFmtId="165" fontId="36" fillId="28" borderId="10" xfId="26" applyNumberFormat="1" applyFont="1" applyFill="1" applyBorder="1"/>
    <xf numFmtId="0" fontId="29" fillId="28" borderId="13" xfId="0" applyFont="1" applyFill="1" applyBorder="1" applyAlignment="1">
      <alignment horizontal="left"/>
    </xf>
    <xf numFmtId="165" fontId="28" fillId="28" borderId="10" xfId="26" applyNumberFormat="1" applyFont="1" applyFill="1" applyBorder="1"/>
    <xf numFmtId="16" fontId="29" fillId="28" borderId="10" xfId="0" applyNumberFormat="1" applyFont="1" applyFill="1" applyBorder="1"/>
    <xf numFmtId="0" fontId="28" fillId="25" borderId="13" xfId="0" applyFont="1" applyFill="1" applyBorder="1"/>
    <xf numFmtId="0" fontId="6" fillId="28" borderId="10" xfId="0" applyFont="1" applyFill="1" applyBorder="1"/>
    <xf numFmtId="0" fontId="36" fillId="28" borderId="10" xfId="0" applyFont="1" applyFill="1" applyBorder="1"/>
    <xf numFmtId="0" fontId="59" fillId="0" borderId="0" xfId="0" applyFont="1"/>
    <xf numFmtId="0" fontId="92" fillId="27" borderId="16" xfId="0" applyFont="1" applyFill="1" applyBorder="1" applyAlignment="1"/>
    <xf numFmtId="0" fontId="50" fillId="27" borderId="15" xfId="0" applyFont="1" applyFill="1" applyBorder="1" applyAlignment="1"/>
    <xf numFmtId="0" fontId="50" fillId="27" borderId="16" xfId="0" applyFont="1" applyFill="1" applyBorder="1" applyAlignment="1"/>
    <xf numFmtId="0" fontId="50" fillId="27" borderId="14" xfId="0" applyFont="1" applyFill="1" applyBorder="1" applyAlignment="1"/>
    <xf numFmtId="0" fontId="27" fillId="0" borderId="10" xfId="0" applyFont="1" applyBorder="1"/>
    <xf numFmtId="0" fontId="27" fillId="25" borderId="13" xfId="0" applyFont="1" applyFill="1" applyBorder="1"/>
    <xf numFmtId="0" fontId="28" fillId="0" borderId="0" xfId="0" applyFont="1" applyBorder="1"/>
    <xf numFmtId="165" fontId="27" fillId="29" borderId="10" xfId="26" applyNumberFormat="1" applyFont="1" applyFill="1" applyBorder="1"/>
    <xf numFmtId="165" fontId="27" fillId="0" borderId="10" xfId="26" applyNumberFormat="1" applyFont="1" applyBorder="1"/>
    <xf numFmtId="165" fontId="28" fillId="29" borderId="10" xfId="26" applyNumberFormat="1" applyFont="1" applyFill="1" applyBorder="1"/>
    <xf numFmtId="165" fontId="27" fillId="26" borderId="10" xfId="26" applyNumberFormat="1" applyFont="1" applyFill="1" applyBorder="1"/>
    <xf numFmtId="165" fontId="36" fillId="26" borderId="10" xfId="26" applyNumberFormat="1" applyFont="1" applyFill="1" applyBorder="1"/>
    <xf numFmtId="165" fontId="29" fillId="27" borderId="10" xfId="26" applyNumberFormat="1" applyFont="1" applyFill="1" applyBorder="1"/>
    <xf numFmtId="0" fontId="36" fillId="28" borderId="15" xfId="0" applyFont="1" applyFill="1" applyBorder="1"/>
    <xf numFmtId="0" fontId="29" fillId="28" borderId="27" xfId="0" applyFont="1" applyFill="1" applyBorder="1"/>
    <xf numFmtId="0" fontId="36" fillId="25" borderId="0" xfId="0" applyFont="1" applyFill="1" applyBorder="1"/>
    <xf numFmtId="0" fontId="29" fillId="25" borderId="0" xfId="0" applyFont="1" applyFill="1" applyBorder="1"/>
    <xf numFmtId="165" fontId="28" fillId="25" borderId="10" xfId="26" applyNumberFormat="1" applyFont="1" applyFill="1" applyBorder="1" applyAlignment="1">
      <alignment horizontal="center"/>
    </xf>
    <xf numFmtId="165" fontId="27" fillId="25" borderId="10" xfId="26" applyNumberFormat="1" applyFont="1" applyFill="1" applyBorder="1" applyAlignment="1">
      <alignment horizontal="center"/>
    </xf>
    <xf numFmtId="165" fontId="27" fillId="28" borderId="10" xfId="26" applyNumberFormat="1" applyFont="1" applyFill="1" applyBorder="1" applyAlignment="1">
      <alignment horizontal="center"/>
    </xf>
    <xf numFmtId="165" fontId="29" fillId="28" borderId="10" xfId="26" applyNumberFormat="1" applyFont="1" applyFill="1" applyBorder="1" applyAlignment="1">
      <alignment horizontal="center"/>
    </xf>
    <xf numFmtId="165" fontId="36" fillId="28" borderId="10" xfId="26" applyNumberFormat="1" applyFont="1" applyFill="1" applyBorder="1" applyAlignment="1">
      <alignment horizontal="center"/>
    </xf>
    <xf numFmtId="16" fontId="9" fillId="0" borderId="10" xfId="0" applyNumberFormat="1" applyFont="1" applyBorder="1"/>
    <xf numFmtId="165" fontId="8" fillId="25" borderId="10" xfId="26" applyNumberFormat="1" applyFont="1" applyFill="1" applyBorder="1" applyAlignment="1">
      <alignment horizontal="left"/>
    </xf>
    <xf numFmtId="0" fontId="8" fillId="0" borderId="13" xfId="0" applyFont="1" applyFill="1" applyBorder="1"/>
    <xf numFmtId="165" fontId="8" fillId="28" borderId="10" xfId="26" applyNumberFormat="1" applyFont="1" applyFill="1" applyBorder="1" applyAlignment="1">
      <alignment horizontal="left"/>
    </xf>
    <xf numFmtId="165" fontId="59" fillId="25" borderId="10" xfId="26" applyNumberFormat="1" applyFont="1" applyFill="1" applyBorder="1"/>
    <xf numFmtId="0" fontId="29" fillId="27" borderId="10" xfId="0" applyFont="1" applyFill="1" applyBorder="1"/>
    <xf numFmtId="0" fontId="41" fillId="25" borderId="10" xfId="0" applyFont="1" applyFill="1" applyBorder="1"/>
    <xf numFmtId="16" fontId="8" fillId="25" borderId="10" xfId="0" applyNumberFormat="1" applyFont="1" applyFill="1" applyBorder="1" applyAlignment="1">
      <alignment horizontal="left"/>
    </xf>
    <xf numFmtId="16" fontId="8" fillId="28" borderId="10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28" borderId="10" xfId="0" applyFont="1" applyFill="1" applyBorder="1" applyAlignment="1">
      <alignment horizontal="left"/>
    </xf>
    <xf numFmtId="165" fontId="53" fillId="28" borderId="10" xfId="26" applyNumberFormat="1" applyFont="1" applyFill="1" applyBorder="1"/>
    <xf numFmtId="0" fontId="53" fillId="28" borderId="10" xfId="0" applyFont="1" applyFill="1" applyBorder="1"/>
    <xf numFmtId="16" fontId="9" fillId="25" borderId="10" xfId="0" applyNumberFormat="1" applyFont="1" applyFill="1" applyBorder="1"/>
    <xf numFmtId="0" fontId="28" fillId="0" borderId="10" xfId="0" applyFont="1" applyBorder="1" applyAlignment="1">
      <alignment horizontal="left"/>
    </xf>
    <xf numFmtId="165" fontId="61" fillId="28" borderId="10" xfId="26" applyNumberFormat="1" applyFont="1" applyFill="1" applyBorder="1"/>
    <xf numFmtId="165" fontId="62" fillId="28" borderId="10" xfId="26" applyNumberFormat="1" applyFont="1" applyFill="1" applyBorder="1"/>
    <xf numFmtId="165" fontId="63" fillId="25" borderId="10" xfId="26" applyNumberFormat="1" applyFont="1" applyFill="1" applyBorder="1"/>
    <xf numFmtId="165" fontId="64" fillId="28" borderId="10" xfId="26" applyNumberFormat="1" applyFont="1" applyFill="1" applyBorder="1"/>
    <xf numFmtId="165" fontId="65" fillId="28" borderId="10" xfId="26" applyNumberFormat="1" applyFont="1" applyFill="1" applyBorder="1"/>
    <xf numFmtId="165" fontId="62" fillId="26" borderId="10" xfId="26" applyNumberFormat="1" applyFont="1" applyFill="1" applyBorder="1"/>
    <xf numFmtId="165" fontId="65" fillId="26" borderId="10" xfId="26" applyNumberFormat="1" applyFont="1" applyFill="1" applyBorder="1"/>
    <xf numFmtId="165" fontId="61" fillId="25" borderId="10" xfId="26" applyNumberFormat="1" applyFont="1" applyFill="1" applyBorder="1"/>
    <xf numFmtId="0" fontId="64" fillId="25" borderId="13" xfId="0" applyFont="1" applyFill="1" applyBorder="1"/>
    <xf numFmtId="0" fontId="64" fillId="0" borderId="13" xfId="0" applyFont="1" applyBorder="1"/>
    <xf numFmtId="165" fontId="38" fillId="28" borderId="10" xfId="26" applyNumberFormat="1" applyFont="1" applyFill="1" applyBorder="1"/>
    <xf numFmtId="165" fontId="42" fillId="28" borderId="10" xfId="26" applyNumberFormat="1" applyFont="1" applyFill="1" applyBorder="1"/>
    <xf numFmtId="165" fontId="31" fillId="26" borderId="10" xfId="26" applyNumberFormat="1" applyFont="1" applyFill="1" applyBorder="1"/>
    <xf numFmtId="165" fontId="27" fillId="27" borderId="10" xfId="26" applyNumberFormat="1" applyFont="1" applyFill="1" applyBorder="1"/>
    <xf numFmtId="165" fontId="93" fillId="27" borderId="10" xfId="26" applyNumberFormat="1" applyFont="1" applyFill="1" applyBorder="1"/>
    <xf numFmtId="165" fontId="69" fillId="0" borderId="10" xfId="26" applyNumberFormat="1" applyFont="1" applyBorder="1"/>
    <xf numFmtId="165" fontId="69" fillId="25" borderId="10" xfId="26" applyNumberFormat="1" applyFont="1" applyFill="1" applyBorder="1"/>
    <xf numFmtId="165" fontId="64" fillId="25" borderId="10" xfId="26" applyNumberFormat="1" applyFont="1" applyFill="1" applyBorder="1"/>
    <xf numFmtId="165" fontId="70" fillId="28" borderId="10" xfId="26" applyNumberFormat="1" applyFont="1" applyFill="1" applyBorder="1"/>
    <xf numFmtId="165" fontId="66" fillId="25" borderId="10" xfId="26" applyNumberFormat="1" applyFont="1" applyFill="1" applyBorder="1"/>
    <xf numFmtId="165" fontId="69" fillId="28" borderId="10" xfId="26" applyNumberFormat="1" applyFont="1" applyFill="1" applyBorder="1"/>
    <xf numFmtId="165" fontId="64" fillId="26" borderId="10" xfId="26" applyNumberFormat="1" applyFont="1" applyFill="1" applyBorder="1"/>
    <xf numFmtId="167" fontId="69" fillId="28" borderId="10" xfId="0" applyNumberFormat="1" applyFont="1" applyFill="1" applyBorder="1" applyAlignment="1">
      <alignment horizontal="center" vertical="center" wrapText="1"/>
    </xf>
    <xf numFmtId="167" fontId="27" fillId="28" borderId="10" xfId="0" applyNumberFormat="1" applyFont="1" applyFill="1" applyBorder="1" applyAlignment="1" applyProtection="1">
      <alignment vertical="center" wrapText="1"/>
      <protection locked="0"/>
    </xf>
    <xf numFmtId="167" fontId="28" fillId="28" borderId="10" xfId="0" applyNumberFormat="1" applyFont="1" applyFill="1" applyBorder="1" applyAlignment="1" applyProtection="1">
      <alignment vertical="center" wrapText="1"/>
      <protection locked="0"/>
    </xf>
    <xf numFmtId="167" fontId="65" fillId="28" borderId="15" xfId="0" applyNumberFormat="1" applyFont="1" applyFill="1" applyBorder="1" applyAlignment="1">
      <alignment horizontal="center" vertical="center" wrapText="1"/>
    </xf>
    <xf numFmtId="167" fontId="65" fillId="28" borderId="14" xfId="0" applyNumberFormat="1" applyFont="1" applyFill="1" applyBorder="1" applyAlignment="1">
      <alignment horizontal="center" vertical="center" wrapText="1"/>
    </xf>
    <xf numFmtId="167" fontId="57" fillId="28" borderId="10" xfId="0" applyNumberFormat="1" applyFont="1" applyFill="1" applyBorder="1" applyAlignment="1">
      <alignment vertical="center" wrapText="1"/>
    </xf>
    <xf numFmtId="0" fontId="57" fillId="28" borderId="15" xfId="0" applyFont="1" applyFill="1" applyBorder="1" applyAlignment="1"/>
    <xf numFmtId="0" fontId="57" fillId="28" borderId="16" xfId="0" applyFont="1" applyFill="1" applyBorder="1" applyAlignment="1"/>
    <xf numFmtId="0" fontId="57" fillId="28" borderId="14" xfId="0" applyFont="1" applyFill="1" applyBorder="1" applyAlignment="1"/>
    <xf numFmtId="167" fontId="28" fillId="28" borderId="19" xfId="0" applyNumberFormat="1" applyFont="1" applyFill="1" applyBorder="1" applyAlignment="1" applyProtection="1">
      <alignment vertical="center" wrapText="1"/>
      <protection locked="0"/>
    </xf>
    <xf numFmtId="167" fontId="27" fillId="28" borderId="19" xfId="0" applyNumberFormat="1" applyFont="1" applyFill="1" applyBorder="1" applyAlignment="1" applyProtection="1">
      <alignment vertical="center" wrapText="1"/>
      <protection locked="0"/>
    </xf>
    <xf numFmtId="167" fontId="27" fillId="28" borderId="28" xfId="0" applyNumberFormat="1" applyFont="1" applyFill="1" applyBorder="1" applyAlignment="1" applyProtection="1">
      <alignment horizontal="right" vertical="center" wrapText="1"/>
    </xf>
    <xf numFmtId="167" fontId="27" fillId="28" borderId="29" xfId="0" applyNumberFormat="1" applyFont="1" applyFill="1" applyBorder="1" applyAlignment="1" applyProtection="1">
      <alignment horizontal="right" vertical="center" wrapText="1"/>
    </xf>
    <xf numFmtId="167" fontId="27" fillId="0" borderId="30" xfId="0" applyNumberFormat="1" applyFont="1" applyFill="1" applyBorder="1" applyAlignment="1">
      <alignment horizontal="left" vertical="center" wrapText="1" indent="1"/>
    </xf>
    <xf numFmtId="167" fontId="27" fillId="0" borderId="31" xfId="0" applyNumberFormat="1" applyFont="1" applyFill="1" applyBorder="1" applyAlignment="1">
      <alignment horizontal="left" vertical="center" wrapText="1" indent="1"/>
    </xf>
    <xf numFmtId="165" fontId="68" fillId="25" borderId="10" xfId="26" applyNumberFormat="1" applyFont="1" applyFill="1" applyBorder="1" applyAlignment="1">
      <alignment horizontal="left"/>
    </xf>
    <xf numFmtId="0" fontId="67" fillId="0" borderId="10" xfId="0" applyFont="1" applyBorder="1" applyAlignment="1">
      <alignment horizontal="left"/>
    </xf>
    <xf numFmtId="16" fontId="68" fillId="25" borderId="10" xfId="0" applyNumberFormat="1" applyFont="1" applyFill="1" applyBorder="1" applyAlignment="1">
      <alignment horizontal="left"/>
    </xf>
    <xf numFmtId="16" fontId="28" fillId="25" borderId="10" xfId="0" applyNumberFormat="1" applyFont="1" applyFill="1" applyBorder="1"/>
    <xf numFmtId="167" fontId="28" fillId="0" borderId="13" xfId="0" applyNumberFormat="1" applyFont="1" applyFill="1" applyBorder="1" applyAlignment="1" applyProtection="1">
      <alignment vertical="center" wrapText="1"/>
      <protection locked="0"/>
    </xf>
    <xf numFmtId="167" fontId="27" fillId="0" borderId="30" xfId="0" applyNumberFormat="1" applyFont="1" applyFill="1" applyBorder="1" applyAlignment="1" applyProtection="1">
      <alignment horizontal="right" vertical="center" wrapText="1"/>
    </xf>
    <xf numFmtId="167" fontId="27" fillId="0" borderId="31" xfId="0" applyNumberFormat="1" applyFont="1" applyFill="1" applyBorder="1" applyAlignment="1" applyProtection="1">
      <alignment horizontal="right" vertical="center" wrapText="1"/>
    </xf>
    <xf numFmtId="0" fontId="67" fillId="27" borderId="10" xfId="0" applyFont="1" applyFill="1" applyBorder="1" applyAlignment="1">
      <alignment horizontal="left"/>
    </xf>
    <xf numFmtId="167" fontId="6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0" fontId="67" fillId="28" borderId="10" xfId="0" applyFont="1" applyFill="1" applyBorder="1" applyAlignment="1">
      <alignment horizontal="left"/>
    </xf>
    <xf numFmtId="167" fontId="27" fillId="28" borderId="32" xfId="0" applyNumberFormat="1" applyFont="1" applyFill="1" applyBorder="1" applyAlignment="1">
      <alignment horizontal="left" vertical="center" wrapText="1" indent="1"/>
    </xf>
    <xf numFmtId="167" fontId="27" fillId="28" borderId="21" xfId="0" applyNumberFormat="1" applyFont="1" applyFill="1" applyBorder="1" applyAlignment="1">
      <alignment vertical="center" wrapText="1"/>
    </xf>
    <xf numFmtId="167" fontId="27" fillId="28" borderId="32" xfId="0" applyNumberFormat="1" applyFont="1" applyFill="1" applyBorder="1" applyAlignment="1">
      <alignment vertical="center" wrapText="1"/>
    </xf>
    <xf numFmtId="167" fontId="27" fillId="28" borderId="33" xfId="0" applyNumberFormat="1" applyFont="1" applyFill="1" applyBorder="1" applyAlignment="1">
      <alignment horizontal="left" vertical="center" wrapText="1" indent="1"/>
    </xf>
    <xf numFmtId="0" fontId="27" fillId="27" borderId="34" xfId="0" applyFont="1" applyFill="1" applyBorder="1"/>
    <xf numFmtId="167" fontId="27" fillId="27" borderId="35" xfId="0" applyNumberFormat="1" applyFont="1" applyFill="1" applyBorder="1"/>
    <xf numFmtId="0" fontId="27" fillId="27" borderId="35" xfId="0" applyFont="1" applyFill="1" applyBorder="1"/>
    <xf numFmtId="167" fontId="27" fillId="28" borderId="24" xfId="0" applyNumberFormat="1" applyFont="1" applyFill="1" applyBorder="1" applyAlignment="1">
      <alignment vertical="center" wrapText="1"/>
    </xf>
    <xf numFmtId="167" fontId="27" fillId="28" borderId="30" xfId="0" applyNumberFormat="1" applyFont="1" applyFill="1" applyBorder="1" applyAlignment="1">
      <alignment vertical="center" wrapText="1"/>
    </xf>
    <xf numFmtId="167" fontId="27" fillId="28" borderId="25" xfId="0" applyNumberFormat="1" applyFont="1" applyFill="1" applyBorder="1" applyAlignment="1">
      <alignment horizontal="left" vertical="center" wrapText="1" indent="1"/>
    </xf>
    <xf numFmtId="165" fontId="68" fillId="28" borderId="10" xfId="26" applyNumberFormat="1" applyFont="1" applyFill="1" applyBorder="1" applyAlignment="1">
      <alignment horizontal="left"/>
    </xf>
    <xf numFmtId="167" fontId="31" fillId="28" borderId="10" xfId="0" applyNumberFormat="1" applyFont="1" applyFill="1" applyBorder="1" applyAlignment="1" applyProtection="1">
      <alignment vertical="center" wrapText="1"/>
      <protection locked="0"/>
    </xf>
    <xf numFmtId="16" fontId="68" fillId="28" borderId="10" xfId="0" applyNumberFormat="1" applyFont="1" applyFill="1" applyBorder="1" applyAlignment="1">
      <alignment horizontal="left"/>
    </xf>
    <xf numFmtId="0" fontId="68" fillId="28" borderId="10" xfId="0" applyFont="1" applyFill="1" applyBorder="1" applyAlignment="1">
      <alignment horizontal="left"/>
    </xf>
    <xf numFmtId="167" fontId="27" fillId="28" borderId="13" xfId="0" applyNumberFormat="1" applyFont="1" applyFill="1" applyBorder="1" applyAlignment="1" applyProtection="1">
      <alignment horizontal="left" vertical="center" wrapText="1" indent="1"/>
      <protection locked="0"/>
    </xf>
    <xf numFmtId="167" fontId="7" fillId="28" borderId="10" xfId="0" applyNumberFormat="1" applyFont="1" applyFill="1" applyBorder="1" applyAlignment="1" applyProtection="1">
      <alignment vertical="center" wrapText="1"/>
      <protection locked="0"/>
    </xf>
    <xf numFmtId="167" fontId="63" fillId="25" borderId="13" xfId="0" applyNumberFormat="1" applyFont="1" applyFill="1" applyBorder="1" applyAlignment="1" applyProtection="1">
      <alignment horizontal="left" vertical="center" wrapText="1" indent="1"/>
      <protection locked="0"/>
    </xf>
    <xf numFmtId="167" fontId="31" fillId="28" borderId="14" xfId="0" applyNumberFormat="1" applyFont="1" applyFill="1" applyBorder="1" applyAlignment="1" applyProtection="1">
      <alignment vertical="center" wrapText="1"/>
      <protection locked="0"/>
    </xf>
    <xf numFmtId="167" fontId="27" fillId="28" borderId="10" xfId="0" applyNumberFormat="1" applyFont="1" applyFill="1" applyBorder="1" applyAlignment="1" applyProtection="1">
      <alignment horizontal="left" vertical="center" wrapText="1" indent="1"/>
      <protection locked="0"/>
    </xf>
    <xf numFmtId="167" fontId="27" fillId="28" borderId="13" xfId="0" applyNumberFormat="1" applyFont="1" applyFill="1" applyBorder="1" applyAlignment="1" applyProtection="1">
      <alignment vertical="center" wrapText="1"/>
      <protection locked="0"/>
    </xf>
    <xf numFmtId="167" fontId="27" fillId="28" borderId="23" xfId="0" applyNumberFormat="1" applyFont="1" applyFill="1" applyBorder="1" applyAlignment="1" applyProtection="1">
      <alignment horizontal="left" vertical="center" wrapText="1" indent="1"/>
      <protection locked="0"/>
    </xf>
    <xf numFmtId="167" fontId="69" fillId="28" borderId="14" xfId="0" applyNumberFormat="1" applyFont="1" applyFill="1" applyBorder="1" applyAlignment="1" applyProtection="1">
      <alignment vertical="center" wrapText="1"/>
      <protection locked="0"/>
    </xf>
    <xf numFmtId="167" fontId="63" fillId="25" borderId="14" xfId="0" applyNumberFormat="1" applyFont="1" applyFill="1" applyBorder="1" applyAlignment="1" applyProtection="1">
      <alignment vertical="center" wrapText="1"/>
      <protection locked="0"/>
    </xf>
    <xf numFmtId="167" fontId="65" fillId="28" borderId="14" xfId="0" applyNumberFormat="1" applyFont="1" applyFill="1" applyBorder="1" applyAlignment="1" applyProtection="1">
      <alignment vertical="center" wrapText="1"/>
      <protection locked="0"/>
    </xf>
    <xf numFmtId="167" fontId="62" fillId="25" borderId="14" xfId="0" applyNumberFormat="1" applyFont="1" applyFill="1" applyBorder="1" applyAlignment="1" applyProtection="1">
      <alignment vertical="center" wrapText="1"/>
      <protection locked="0"/>
    </xf>
    <xf numFmtId="167" fontId="69" fillId="28" borderId="10" xfId="0" applyNumberFormat="1" applyFont="1" applyFill="1" applyBorder="1" applyAlignment="1" applyProtection="1">
      <alignment vertical="center" wrapText="1"/>
      <protection locked="0"/>
    </xf>
    <xf numFmtId="167" fontId="65" fillId="28" borderId="10" xfId="0" applyNumberFormat="1" applyFont="1" applyFill="1" applyBorder="1" applyAlignment="1" applyProtection="1">
      <alignment vertical="center" wrapText="1"/>
      <protection locked="0"/>
    </xf>
    <xf numFmtId="167" fontId="29" fillId="28" borderId="10" xfId="0" applyNumberFormat="1" applyFont="1" applyFill="1" applyBorder="1" applyAlignment="1" applyProtection="1">
      <alignment vertical="center" wrapText="1"/>
      <protection locked="0"/>
    </xf>
    <xf numFmtId="167" fontId="63" fillId="28" borderId="24" xfId="0" applyNumberFormat="1" applyFont="1" applyFill="1" applyBorder="1" applyAlignment="1">
      <alignment vertical="center" wrapText="1"/>
    </xf>
    <xf numFmtId="167" fontId="62" fillId="28" borderId="14" xfId="0" applyNumberFormat="1" applyFont="1" applyFill="1" applyBorder="1" applyAlignment="1" applyProtection="1">
      <alignment vertical="center" wrapText="1"/>
      <protection locked="0"/>
    </xf>
    <xf numFmtId="167" fontId="29" fillId="28" borderId="21" xfId="0" applyNumberFormat="1" applyFont="1" applyFill="1" applyBorder="1" applyAlignment="1">
      <alignment vertical="center" wrapText="1"/>
    </xf>
    <xf numFmtId="167" fontId="93" fillId="27" borderId="35" xfId="0" applyNumberFormat="1" applyFont="1" applyFill="1" applyBorder="1"/>
    <xf numFmtId="167" fontId="36" fillId="28" borderId="10" xfId="0" applyNumberFormat="1" applyFont="1" applyFill="1" applyBorder="1" applyAlignment="1" applyProtection="1">
      <alignment vertical="center" wrapText="1"/>
      <protection locked="0"/>
    </xf>
    <xf numFmtId="167" fontId="29" fillId="28" borderId="24" xfId="0" applyNumberFormat="1" applyFont="1" applyFill="1" applyBorder="1" applyAlignment="1">
      <alignment vertical="center" wrapText="1"/>
    </xf>
    <xf numFmtId="167" fontId="63" fillId="0" borderId="24" xfId="0" applyNumberFormat="1" applyFont="1" applyFill="1" applyBorder="1" applyAlignment="1" applyProtection="1">
      <alignment horizontal="right" vertical="center" wrapText="1"/>
    </xf>
    <xf numFmtId="167" fontId="63" fillId="28" borderId="24" xfId="0" applyNumberFormat="1" applyFont="1" applyFill="1" applyBorder="1" applyAlignment="1" applyProtection="1">
      <alignment horizontal="right" vertical="center" wrapText="1"/>
    </xf>
    <xf numFmtId="167" fontId="36" fillId="28" borderId="14" xfId="0" applyNumberFormat="1" applyFont="1" applyFill="1" applyBorder="1" applyAlignment="1" applyProtection="1">
      <alignment vertical="center" wrapText="1"/>
      <protection locked="0"/>
    </xf>
    <xf numFmtId="167" fontId="69" fillId="0" borderId="10" xfId="0" applyNumberFormat="1" applyFont="1" applyFill="1" applyBorder="1" applyAlignment="1" applyProtection="1">
      <alignment vertical="center" wrapText="1"/>
      <protection locked="0"/>
    </xf>
    <xf numFmtId="167" fontId="63" fillId="25" borderId="21" xfId="0" applyNumberFormat="1" applyFont="1" applyFill="1" applyBorder="1" applyAlignment="1">
      <alignment vertical="center" wrapText="1"/>
    </xf>
    <xf numFmtId="0" fontId="71" fillId="0" borderId="0" xfId="0" applyFont="1"/>
    <xf numFmtId="0" fontId="6" fillId="29" borderId="10" xfId="0" applyFont="1" applyFill="1" applyBorder="1"/>
    <xf numFmtId="0" fontId="29" fillId="29" borderId="13" xfId="0" applyFont="1" applyFill="1" applyBorder="1"/>
    <xf numFmtId="0" fontId="29" fillId="28" borderId="15" xfId="0" applyFont="1" applyFill="1" applyBorder="1" applyAlignment="1"/>
    <xf numFmtId="0" fontId="28" fillId="28" borderId="15" xfId="0" applyFont="1" applyFill="1" applyBorder="1" applyAlignment="1"/>
    <xf numFmtId="0" fontId="27" fillId="28" borderId="16" xfId="0" applyFont="1" applyFill="1" applyBorder="1" applyAlignment="1"/>
    <xf numFmtId="0" fontId="29" fillId="28" borderId="14" xfId="0" applyFont="1" applyFill="1" applyBorder="1" applyAlignment="1"/>
    <xf numFmtId="0" fontId="27" fillId="28" borderId="14" xfId="0" applyFont="1" applyFill="1" applyBorder="1" applyAlignment="1"/>
    <xf numFmtId="0" fontId="29" fillId="28" borderId="16" xfId="0" applyFont="1" applyFill="1" applyBorder="1" applyAlignment="1">
      <alignment horizontal="center"/>
    </xf>
    <xf numFmtId="0" fontId="29" fillId="27" borderId="10" xfId="41" applyFont="1" applyFill="1" applyBorder="1"/>
    <xf numFmtId="3" fontId="29" fillId="28" borderId="15" xfId="41" applyNumberFormat="1" applyFont="1" applyFill="1" applyBorder="1" applyAlignment="1"/>
    <xf numFmtId="0" fontId="28" fillId="28" borderId="10" xfId="0" applyFont="1" applyFill="1" applyBorder="1"/>
    <xf numFmtId="3" fontId="29" fillId="28" borderId="16" xfId="41" applyNumberFormat="1" applyFont="1" applyFill="1" applyBorder="1" applyAlignment="1">
      <alignment horizontal="center"/>
    </xf>
    <xf numFmtId="0" fontId="27" fillId="28" borderId="10" xfId="0" applyFont="1" applyFill="1" applyBorder="1" applyAlignment="1">
      <alignment horizontal="center"/>
    </xf>
    <xf numFmtId="3" fontId="29" fillId="28" borderId="14" xfId="41" applyNumberFormat="1" applyFont="1" applyFill="1" applyBorder="1" applyAlignment="1">
      <alignment horizontal="center"/>
    </xf>
    <xf numFmtId="0" fontId="8" fillId="27" borderId="15" xfId="0" applyFont="1" applyFill="1" applyBorder="1" applyAlignment="1"/>
    <xf numFmtId="0" fontId="8" fillId="27" borderId="16" xfId="0" applyFont="1" applyFill="1" applyBorder="1" applyAlignment="1"/>
    <xf numFmtId="0" fontId="93" fillId="27" borderId="16" xfId="0" applyFont="1" applyFill="1" applyBorder="1" applyAlignment="1"/>
    <xf numFmtId="0" fontId="8" fillId="27" borderId="14" xfId="0" applyFont="1" applyFill="1" applyBorder="1" applyAlignment="1"/>
    <xf numFmtId="0" fontId="93" fillId="27" borderId="15" xfId="41" applyFont="1" applyFill="1" applyBorder="1" applyAlignment="1"/>
    <xf numFmtId="0" fontId="93" fillId="27" borderId="16" xfId="41" applyFont="1" applyFill="1" applyBorder="1" applyAlignment="1"/>
    <xf numFmtId="0" fontId="93" fillId="27" borderId="14" xfId="41" applyFont="1" applyFill="1" applyBorder="1" applyAlignment="1"/>
    <xf numFmtId="0" fontId="27" fillId="28" borderId="16" xfId="0" applyFont="1" applyFill="1" applyBorder="1" applyAlignment="1">
      <alignment horizontal="center"/>
    </xf>
    <xf numFmtId="167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28" borderId="14" xfId="0" applyFont="1" applyFill="1" applyBorder="1" applyAlignment="1">
      <alignment horizontal="center"/>
    </xf>
    <xf numFmtId="0" fontId="42" fillId="28" borderId="10" xfId="0" applyFont="1" applyFill="1" applyBorder="1" applyAlignment="1">
      <alignment horizontal="center" vertical="center" wrapText="1"/>
    </xf>
    <xf numFmtId="165" fontId="7" fillId="25" borderId="10" xfId="26" applyNumberFormat="1" applyFont="1" applyFill="1" applyBorder="1" applyAlignment="1">
      <alignment horizontal="right"/>
    </xf>
    <xf numFmtId="3" fontId="9" fillId="28" borderId="10" xfId="0" applyNumberFormat="1" applyFont="1" applyFill="1" applyBorder="1" applyAlignment="1" applyProtection="1">
      <alignment horizontal="right" vertical="center" wrapText="1"/>
    </xf>
    <xf numFmtId="3" fontId="8" fillId="25" borderId="10" xfId="0" applyNumberFormat="1" applyFont="1" applyFill="1" applyBorder="1"/>
    <xf numFmtId="3" fontId="41" fillId="25" borderId="10" xfId="0" applyNumberFormat="1" applyFont="1" applyFill="1" applyBorder="1" applyAlignment="1" applyProtection="1">
      <alignment horizontal="right" vertical="center" wrapText="1"/>
    </xf>
    <xf numFmtId="3" fontId="47" fillId="25" borderId="10" xfId="0" applyNumberFormat="1" applyFont="1" applyFill="1" applyBorder="1" applyAlignment="1" applyProtection="1">
      <alignment horizontal="right" vertical="center" wrapText="1"/>
    </xf>
    <xf numFmtId="3" fontId="8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43" fillId="25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28" borderId="10" xfId="0" applyNumberFormat="1" applyFont="1" applyFill="1" applyBorder="1" applyAlignment="1" applyProtection="1">
      <alignment horizontal="right" vertical="center" wrapText="1"/>
    </xf>
    <xf numFmtId="3" fontId="37" fillId="28" borderId="10" xfId="0" applyNumberFormat="1" applyFont="1" applyFill="1" applyBorder="1" applyAlignment="1" applyProtection="1">
      <alignment horizontal="right" vertical="center" wrapText="1"/>
    </xf>
    <xf numFmtId="167" fontId="8" fillId="28" borderId="10" xfId="0" applyNumberFormat="1" applyFont="1" applyFill="1" applyBorder="1" applyAlignment="1" applyProtection="1">
      <alignment horizontal="right" vertical="center" wrapText="1"/>
    </xf>
    <xf numFmtId="167" fontId="31" fillId="28" borderId="10" xfId="0" applyNumberFormat="1" applyFont="1" applyFill="1" applyBorder="1" applyAlignment="1" applyProtection="1">
      <alignment horizontal="right" vertical="center" wrapText="1"/>
    </xf>
    <xf numFmtId="3" fontId="44" fillId="28" borderId="10" xfId="0" applyNumberFormat="1" applyFont="1" applyFill="1" applyBorder="1" applyAlignment="1" applyProtection="1">
      <alignment horizontal="right" vertical="center" wrapText="1"/>
    </xf>
    <xf numFmtId="165" fontId="9" fillId="28" borderId="10" xfId="26" applyNumberFormat="1" applyFont="1" applyFill="1" applyBorder="1" applyAlignment="1">
      <alignment horizontal="right"/>
    </xf>
    <xf numFmtId="3" fontId="8" fillId="28" borderId="10" xfId="0" applyNumberFormat="1" applyFont="1" applyFill="1" applyBorder="1" applyAlignment="1" applyProtection="1">
      <alignment horizontal="right" vertical="center" wrapText="1"/>
    </xf>
    <xf numFmtId="3" fontId="8" fillId="28" borderId="10" xfId="0" applyNumberFormat="1" applyFont="1" applyFill="1" applyBorder="1" applyAlignment="1" applyProtection="1">
      <alignment horizontal="right" vertical="center" wrapText="1"/>
      <protection locked="0"/>
    </xf>
    <xf numFmtId="165" fontId="33" fillId="28" borderId="10" xfId="26" applyNumberFormat="1" applyFont="1" applyFill="1" applyBorder="1" applyAlignment="1">
      <alignment horizontal="right"/>
    </xf>
    <xf numFmtId="3" fontId="33" fillId="28" borderId="10" xfId="0" applyNumberFormat="1" applyFont="1" applyFill="1" applyBorder="1"/>
    <xf numFmtId="3" fontId="33" fillId="28" borderId="10" xfId="0" applyNumberFormat="1" applyFont="1" applyFill="1" applyBorder="1" applyAlignment="1" applyProtection="1">
      <alignment horizontal="right" vertical="center" wrapText="1"/>
    </xf>
    <xf numFmtId="3" fontId="33" fillId="28" borderId="10" xfId="0" applyNumberFormat="1" applyFont="1" applyFill="1" applyBorder="1" applyAlignment="1" applyProtection="1">
      <alignment horizontal="right" vertical="center" wrapText="1"/>
      <protection locked="0"/>
    </xf>
    <xf numFmtId="167" fontId="8" fillId="28" borderId="10" xfId="0" applyNumberFormat="1" applyFont="1" applyFill="1" applyBorder="1"/>
    <xf numFmtId="167" fontId="28" fillId="28" borderId="10" xfId="0" applyNumberFormat="1" applyFont="1" applyFill="1" applyBorder="1"/>
    <xf numFmtId="165" fontId="5" fillId="28" borderId="10" xfId="26" applyNumberFormat="1" applyFont="1" applyFill="1" applyBorder="1"/>
    <xf numFmtId="165" fontId="6" fillId="28" borderId="10" xfId="26" applyNumberFormat="1" applyFont="1" applyFill="1" applyBorder="1"/>
    <xf numFmtId="0" fontId="74" fillId="27" borderId="16" xfId="0" applyFont="1" applyFill="1" applyBorder="1" applyAlignment="1"/>
    <xf numFmtId="166" fontId="8" fillId="28" borderId="10" xfId="27" applyNumberFormat="1" applyFont="1" applyFill="1" applyBorder="1" applyAlignment="1"/>
    <xf numFmtId="166" fontId="8" fillId="28" borderId="10" xfId="27" applyNumberFormat="1" applyFont="1" applyFill="1" applyBorder="1" applyAlignment="1">
      <alignment horizontal="center"/>
    </xf>
    <xf numFmtId="165" fontId="27" fillId="25" borderId="10" xfId="27" applyNumberFormat="1" applyFont="1" applyFill="1" applyBorder="1"/>
    <xf numFmtId="165" fontId="28" fillId="25" borderId="10" xfId="27" applyNumberFormat="1" applyFont="1" applyFill="1" applyBorder="1"/>
    <xf numFmtId="165" fontId="36" fillId="28" borderId="10" xfId="27" applyNumberFormat="1" applyFont="1" applyFill="1" applyBorder="1"/>
    <xf numFmtId="0" fontId="5" fillId="28" borderId="10" xfId="0" applyFont="1" applyFill="1" applyBorder="1"/>
    <xf numFmtId="165" fontId="28" fillId="28" borderId="10" xfId="27" applyNumberFormat="1" applyFont="1" applyFill="1" applyBorder="1"/>
    <xf numFmtId="165" fontId="27" fillId="28" borderId="10" xfId="27" applyNumberFormat="1" applyFont="1" applyFill="1" applyBorder="1"/>
    <xf numFmtId="165" fontId="29" fillId="28" borderId="10" xfId="27" applyNumberFormat="1" applyFont="1" applyFill="1" applyBorder="1"/>
    <xf numFmtId="165" fontId="8" fillId="28" borderId="10" xfId="27" applyNumberFormat="1" applyFont="1" applyFill="1" applyBorder="1"/>
    <xf numFmtId="165" fontId="9" fillId="28" borderId="10" xfId="27" applyNumberFormat="1" applyFont="1" applyFill="1" applyBorder="1"/>
    <xf numFmtId="0" fontId="5" fillId="25" borderId="10" xfId="0" applyFont="1" applyFill="1" applyBorder="1"/>
    <xf numFmtId="165" fontId="55" fillId="25" borderId="10" xfId="27" applyNumberFormat="1" applyFont="1" applyFill="1" applyBorder="1"/>
    <xf numFmtId="165" fontId="36" fillId="26" borderId="10" xfId="27" applyNumberFormat="1" applyFont="1" applyFill="1" applyBorder="1"/>
    <xf numFmtId="165" fontId="28" fillId="26" borderId="10" xfId="27" applyNumberFormat="1" applyFont="1" applyFill="1" applyBorder="1"/>
    <xf numFmtId="165" fontId="27" fillId="26" borderId="10" xfId="27" applyNumberFormat="1" applyFont="1" applyFill="1" applyBorder="1"/>
    <xf numFmtId="165" fontId="29" fillId="26" borderId="10" xfId="27" applyNumberFormat="1" applyFont="1" applyFill="1" applyBorder="1"/>
    <xf numFmtId="165" fontId="8" fillId="25" borderId="10" xfId="27" applyNumberFormat="1" applyFont="1" applyFill="1" applyBorder="1"/>
    <xf numFmtId="165" fontId="49" fillId="25" borderId="10" xfId="27" applyNumberFormat="1" applyFont="1" applyFill="1" applyBorder="1"/>
    <xf numFmtId="165" fontId="34" fillId="25" borderId="10" xfId="27" applyNumberFormat="1" applyFont="1" applyFill="1" applyBorder="1"/>
    <xf numFmtId="165" fontId="29" fillId="25" borderId="10" xfId="27" applyNumberFormat="1" applyFont="1" applyFill="1" applyBorder="1"/>
    <xf numFmtId="165" fontId="60" fillId="26" borderId="10" xfId="27" applyNumberFormat="1" applyFont="1" applyFill="1" applyBorder="1"/>
    <xf numFmtId="165" fontId="8" fillId="28" borderId="15" xfId="27" applyNumberFormat="1" applyFont="1" applyFill="1" applyBorder="1"/>
    <xf numFmtId="165" fontId="29" fillId="28" borderId="15" xfId="27" applyNumberFormat="1" applyFont="1" applyFill="1" applyBorder="1"/>
    <xf numFmtId="165" fontId="27" fillId="28" borderId="15" xfId="27" applyNumberFormat="1" applyFont="1" applyFill="1" applyBorder="1"/>
    <xf numFmtId="165" fontId="8" fillId="25" borderId="0" xfId="27" applyNumberFormat="1" applyFont="1" applyFill="1" applyBorder="1"/>
    <xf numFmtId="165" fontId="29" fillId="25" borderId="0" xfId="27" applyNumberFormat="1" applyFont="1" applyFill="1" applyBorder="1"/>
    <xf numFmtId="165" fontId="27" fillId="25" borderId="0" xfId="27" applyNumberFormat="1" applyFont="1" applyFill="1" applyBorder="1"/>
    <xf numFmtId="165" fontId="94" fillId="25" borderId="10" xfId="27" applyNumberFormat="1" applyFont="1" applyFill="1" applyBorder="1"/>
    <xf numFmtId="165" fontId="91" fillId="25" borderId="10" xfId="27" applyNumberFormat="1" applyFont="1" applyFill="1" applyBorder="1"/>
    <xf numFmtId="165" fontId="27" fillId="29" borderId="10" xfId="27" applyNumberFormat="1" applyFont="1" applyFill="1" applyBorder="1"/>
    <xf numFmtId="165" fontId="7" fillId="27" borderId="10" xfId="26" applyNumberFormat="1" applyFont="1" applyFill="1" applyBorder="1"/>
    <xf numFmtId="4" fontId="55" fillId="25" borderId="10" xfId="0" applyNumberFormat="1" applyFont="1" applyFill="1" applyBorder="1" applyAlignment="1" applyProtection="1">
      <alignment horizontal="right" vertical="center" wrapText="1"/>
    </xf>
    <xf numFmtId="0" fontId="75" fillId="0" borderId="0" xfId="0" applyFont="1"/>
    <xf numFmtId="3" fontId="4" fillId="28" borderId="10" xfId="0" applyNumberFormat="1" applyFont="1" applyFill="1" applyBorder="1" applyAlignment="1" applyProtection="1">
      <alignment horizontal="right" vertical="center" wrapText="1"/>
      <protection locked="0"/>
    </xf>
    <xf numFmtId="3" fontId="3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8" fillId="28" borderId="10" xfId="0" applyFont="1" applyFill="1" applyBorder="1" applyAlignment="1" applyProtection="1">
      <alignment horizontal="left" vertical="center" wrapText="1"/>
      <protection locked="0"/>
    </xf>
    <xf numFmtId="165" fontId="45" fillId="28" borderId="10" xfId="26" applyNumberFormat="1" applyFont="1" applyFill="1" applyBorder="1" applyAlignment="1">
      <alignment horizontal="right"/>
    </xf>
    <xf numFmtId="3" fontId="46" fillId="28" borderId="10" xfId="0" applyNumberFormat="1" applyFont="1" applyFill="1" applyBorder="1" applyAlignment="1" applyProtection="1">
      <alignment horizontal="right" vertical="center" wrapText="1"/>
    </xf>
    <xf numFmtId="3" fontId="61" fillId="28" borderId="10" xfId="0" applyNumberFormat="1" applyFont="1" applyFill="1" applyBorder="1"/>
    <xf numFmtId="3" fontId="61" fillId="28" borderId="10" xfId="0" applyNumberFormat="1" applyFont="1" applyFill="1" applyBorder="1" applyAlignment="1" applyProtection="1">
      <alignment horizontal="right" vertical="center" wrapText="1"/>
    </xf>
    <xf numFmtId="3" fontId="61" fillId="28" borderId="10" xfId="0" applyNumberFormat="1" applyFont="1" applyFill="1" applyBorder="1" applyAlignment="1" applyProtection="1">
      <alignment horizontal="right" vertical="center" wrapText="1"/>
      <protection locked="0"/>
    </xf>
    <xf numFmtId="0" fontId="42" fillId="25" borderId="10" xfId="0" applyFont="1" applyFill="1" applyBorder="1" applyAlignment="1">
      <alignment horizontal="center" vertical="center" wrapText="1"/>
    </xf>
    <xf numFmtId="0" fontId="64" fillId="28" borderId="0" xfId="0" applyFont="1" applyFill="1" applyAlignment="1">
      <alignment horizontal="center"/>
    </xf>
    <xf numFmtId="0" fontId="7" fillId="28" borderId="0" xfId="0" applyFont="1" applyFill="1"/>
    <xf numFmtId="16" fontId="66" fillId="28" borderId="0" xfId="0" applyNumberFormat="1" applyFont="1" applyFill="1" applyAlignment="1">
      <alignment horizontal="center"/>
    </xf>
    <xf numFmtId="0" fontId="9" fillId="0" borderId="10" xfId="0" applyFont="1" applyFill="1" applyBorder="1"/>
    <xf numFmtId="0" fontId="68" fillId="28" borderId="0" xfId="0" applyFont="1" applyFill="1" applyAlignment="1">
      <alignment horizontal="center"/>
    </xf>
    <xf numFmtId="3" fontId="95" fillId="27" borderId="10" xfId="0" applyNumberFormat="1" applyFont="1" applyFill="1" applyBorder="1" applyAlignment="1" applyProtection="1">
      <alignment horizontal="right" vertical="center" wrapText="1"/>
    </xf>
    <xf numFmtId="0" fontId="76" fillId="25" borderId="10" xfId="0" applyFont="1" applyFill="1" applyBorder="1" applyAlignment="1">
      <alignment horizontal="center" vertical="center" wrapText="1"/>
    </xf>
    <xf numFmtId="16" fontId="28" fillId="0" borderId="0" xfId="0" applyNumberFormat="1" applyFont="1"/>
    <xf numFmtId="0" fontId="28" fillId="0" borderId="0" xfId="0" applyFont="1"/>
    <xf numFmtId="0" fontId="69" fillId="0" borderId="0" xfId="0" applyFont="1"/>
    <xf numFmtId="165" fontId="95" fillId="27" borderId="10" xfId="26" applyNumberFormat="1" applyFont="1" applyFill="1" applyBorder="1"/>
    <xf numFmtId="0" fontId="61" fillId="0" borderId="10" xfId="0" applyFont="1" applyFill="1" applyBorder="1"/>
    <xf numFmtId="165" fontId="77" fillId="25" borderId="10" xfId="26" applyNumberFormat="1" applyFont="1" applyFill="1" applyBorder="1" applyAlignment="1">
      <alignment horizontal="right"/>
    </xf>
    <xf numFmtId="165" fontId="77" fillId="28" borderId="10" xfId="26" applyNumberFormat="1" applyFont="1" applyFill="1" applyBorder="1" applyAlignment="1">
      <alignment horizontal="right"/>
    </xf>
    <xf numFmtId="0" fontId="96" fillId="25" borderId="10" xfId="0" applyFont="1" applyFill="1" applyBorder="1" applyAlignment="1" applyProtection="1">
      <alignment horizontal="left" vertical="center" wrapText="1"/>
      <protection locked="0"/>
    </xf>
    <xf numFmtId="16" fontId="69" fillId="0" borderId="0" xfId="0" applyNumberFormat="1" applyFont="1"/>
    <xf numFmtId="0" fontId="64" fillId="25" borderId="10" xfId="0" applyFont="1" applyFill="1" applyBorder="1" applyAlignment="1" applyProtection="1">
      <alignment horizontal="left" vertical="center" wrapText="1"/>
      <protection locked="0"/>
    </xf>
    <xf numFmtId="3" fontId="64" fillId="28" borderId="10" xfId="0" applyNumberFormat="1" applyFont="1" applyFill="1" applyBorder="1" applyAlignment="1" applyProtection="1">
      <alignment horizontal="right" vertical="center" wrapText="1"/>
    </xf>
    <xf numFmtId="165" fontId="78" fillId="25" borderId="10" xfId="26" applyNumberFormat="1" applyFont="1" applyFill="1" applyBorder="1" applyAlignment="1">
      <alignment horizontal="center" vertical="center" wrapText="1"/>
    </xf>
    <xf numFmtId="165" fontId="68" fillId="28" borderId="0" xfId="26" applyNumberFormat="1" applyFont="1" applyFill="1"/>
    <xf numFmtId="0" fontId="8" fillId="28" borderId="10" xfId="0" applyFont="1" applyFill="1" applyBorder="1" applyAlignment="1"/>
    <xf numFmtId="165" fontId="30" fillId="28" borderId="10" xfId="26" applyNumberFormat="1" applyFont="1" applyFill="1" applyBorder="1"/>
    <xf numFmtId="165" fontId="79" fillId="25" borderId="10" xfId="26" applyNumberFormat="1" applyFont="1" applyFill="1" applyBorder="1"/>
    <xf numFmtId="165" fontId="80" fillId="28" borderId="10" xfId="26" applyNumberFormat="1" applyFont="1" applyFill="1" applyBorder="1"/>
    <xf numFmtId="165" fontId="99" fillId="25" borderId="10" xfId="26" applyNumberFormat="1" applyFont="1" applyFill="1" applyBorder="1"/>
    <xf numFmtId="165" fontId="62" fillId="25" borderId="10" xfId="26" applyNumberFormat="1" applyFont="1" applyFill="1" applyBorder="1"/>
    <xf numFmtId="165" fontId="81" fillId="25" borderId="10" xfId="26" applyNumberFormat="1" applyFont="1" applyFill="1" applyBorder="1"/>
    <xf numFmtId="165" fontId="82" fillId="28" borderId="10" xfId="26" applyNumberFormat="1" applyFont="1" applyFill="1" applyBorder="1"/>
    <xf numFmtId="165" fontId="65" fillId="25" borderId="10" xfId="26" applyNumberFormat="1" applyFont="1" applyFill="1" applyBorder="1"/>
    <xf numFmtId="3" fontId="69" fillId="25" borderId="10" xfId="0" applyNumberFormat="1" applyFont="1" applyFill="1" applyBorder="1"/>
    <xf numFmtId="3" fontId="27" fillId="25" borderId="10" xfId="0" applyNumberFormat="1" applyFont="1" applyFill="1" applyBorder="1"/>
    <xf numFmtId="167" fontId="100" fillId="31" borderId="10" xfId="0" applyNumberFormat="1" applyFont="1" applyFill="1" applyBorder="1"/>
    <xf numFmtId="165" fontId="35" fillId="25" borderId="10" xfId="26" applyNumberFormat="1" applyFont="1" applyFill="1" applyBorder="1" applyAlignment="1" applyProtection="1">
      <alignment vertical="center" wrapText="1"/>
      <protection locked="0"/>
    </xf>
    <xf numFmtId="165" fontId="35" fillId="25" borderId="10" xfId="26" applyNumberFormat="1" applyFont="1" applyFill="1" applyBorder="1" applyAlignment="1" applyProtection="1">
      <alignment vertical="center" wrapText="1"/>
    </xf>
    <xf numFmtId="165" fontId="8" fillId="25" borderId="10" xfId="26" applyNumberFormat="1" applyFont="1" applyFill="1" applyBorder="1" applyAlignment="1" applyProtection="1">
      <alignment vertical="center" wrapText="1"/>
    </xf>
    <xf numFmtId="165" fontId="9" fillId="28" borderId="10" xfId="26" applyNumberFormat="1" applyFont="1" applyFill="1" applyBorder="1" applyAlignment="1" applyProtection="1">
      <alignment vertical="center" wrapText="1"/>
    </xf>
    <xf numFmtId="165" fontId="94" fillId="25" borderId="10" xfId="41" applyNumberFormat="1" applyFont="1" applyFill="1" applyBorder="1"/>
    <xf numFmtId="165" fontId="8" fillId="25" borderId="10" xfId="41" applyNumberFormat="1" applyFont="1" applyFill="1" applyBorder="1"/>
    <xf numFmtId="165" fontId="91" fillId="25" borderId="10" xfId="26" applyNumberFormat="1" applyFont="1" applyFill="1" applyBorder="1"/>
    <xf numFmtId="165" fontId="9" fillId="27" borderId="10" xfId="26" applyNumberFormat="1" applyFont="1" applyFill="1" applyBorder="1"/>
    <xf numFmtId="165" fontId="36" fillId="28" borderId="10" xfId="26" applyNumberFormat="1" applyFont="1" applyFill="1" applyBorder="1" applyAlignment="1"/>
    <xf numFmtId="165" fontId="36" fillId="28" borderId="10" xfId="26" applyNumberFormat="1" applyFont="1" applyFill="1" applyBorder="1" applyAlignment="1" applyProtection="1">
      <alignment vertical="center" wrapText="1"/>
    </xf>
    <xf numFmtId="0" fontId="8" fillId="25" borderId="10" xfId="0" applyFont="1" applyFill="1" applyBorder="1" applyAlignment="1">
      <alignment horizontal="center"/>
    </xf>
    <xf numFmtId="0" fontId="101" fillId="0" borderId="10" xfId="0" applyFont="1" applyBorder="1"/>
    <xf numFmtId="165" fontId="102" fillId="25" borderId="10" xfId="26" applyNumberFormat="1" applyFont="1" applyFill="1" applyBorder="1"/>
    <xf numFmtId="165" fontId="101" fillId="25" borderId="10" xfId="26" applyNumberFormat="1" applyFont="1" applyFill="1" applyBorder="1"/>
    <xf numFmtId="165" fontId="9" fillId="26" borderId="10" xfId="26" applyNumberFormat="1" applyFont="1" applyFill="1" applyBorder="1" applyAlignment="1">
      <alignment vertical="center" wrapText="1"/>
    </xf>
    <xf numFmtId="165" fontId="8" fillId="26" borderId="10" xfId="26" applyNumberFormat="1" applyFont="1" applyFill="1" applyBorder="1" applyAlignment="1">
      <alignment vertical="center" wrapText="1"/>
    </xf>
    <xf numFmtId="166" fontId="8" fillId="29" borderId="10" xfId="27" applyNumberFormat="1" applyFont="1" applyFill="1" applyBorder="1"/>
    <xf numFmtId="165" fontId="68" fillId="0" borderId="0" xfId="26" applyNumberFormat="1" applyFont="1"/>
    <xf numFmtId="166" fontId="33" fillId="29" borderId="10" xfId="27" applyNumberFormat="1" applyFont="1" applyFill="1" applyBorder="1"/>
    <xf numFmtId="165" fontId="84" fillId="25" borderId="10" xfId="41" applyNumberFormat="1" applyFont="1" applyFill="1" applyBorder="1"/>
    <xf numFmtId="165" fontId="33" fillId="28" borderId="10" xfId="26" applyNumberFormat="1" applyFont="1" applyFill="1" applyBorder="1"/>
    <xf numFmtId="165" fontId="103" fillId="28" borderId="10" xfId="27" applyNumberFormat="1" applyFont="1" applyFill="1" applyBorder="1"/>
    <xf numFmtId="165" fontId="104" fillId="28" borderId="10" xfId="27" applyNumberFormat="1" applyFont="1" applyFill="1" applyBorder="1"/>
    <xf numFmtId="165" fontId="85" fillId="25" borderId="10" xfId="26" applyNumberFormat="1" applyFont="1" applyFill="1" applyBorder="1"/>
    <xf numFmtId="165" fontId="53" fillId="25" borderId="10" xfId="26" applyNumberFormat="1" applyFont="1" applyFill="1" applyBorder="1"/>
    <xf numFmtId="165" fontId="33" fillId="25" borderId="10" xfId="26" applyNumberFormat="1" applyFont="1" applyFill="1" applyBorder="1"/>
    <xf numFmtId="165" fontId="85" fillId="28" borderId="10" xfId="26" applyNumberFormat="1" applyFont="1" applyFill="1" applyBorder="1"/>
    <xf numFmtId="165" fontId="33" fillId="29" borderId="10" xfId="26" applyNumberFormat="1" applyFont="1" applyFill="1" applyBorder="1"/>
    <xf numFmtId="165" fontId="84" fillId="28" borderId="10" xfId="27" applyNumberFormat="1" applyFont="1" applyFill="1" applyBorder="1"/>
    <xf numFmtId="165" fontId="32" fillId="0" borderId="10" xfId="26" applyNumberFormat="1" applyFont="1" applyBorder="1"/>
    <xf numFmtId="165" fontId="85" fillId="25" borderId="10" xfId="27" applyNumberFormat="1" applyFont="1" applyFill="1" applyBorder="1"/>
    <xf numFmtId="165" fontId="86" fillId="26" borderId="10" xfId="27" applyNumberFormat="1" applyFont="1" applyFill="1" applyBorder="1"/>
    <xf numFmtId="165" fontId="86" fillId="26" borderId="10" xfId="26" applyNumberFormat="1" applyFont="1" applyFill="1" applyBorder="1"/>
    <xf numFmtId="165" fontId="36" fillId="25" borderId="10" xfId="26" applyNumberFormat="1" applyFont="1" applyFill="1" applyBorder="1"/>
    <xf numFmtId="165" fontId="85" fillId="25" borderId="10" xfId="26" applyNumberFormat="1" applyFont="1" applyFill="1" applyBorder="1" applyAlignment="1">
      <alignment horizontal="center"/>
    </xf>
    <xf numFmtId="0" fontId="28" fillId="27" borderId="10" xfId="0" applyFont="1" applyFill="1" applyBorder="1" applyAlignment="1">
      <alignment horizontal="left"/>
    </xf>
    <xf numFmtId="0" fontId="83" fillId="27" borderId="13" xfId="0" applyFont="1" applyFill="1" applyBorder="1"/>
    <xf numFmtId="165" fontId="87" fillId="27" borderId="10" xfId="26" applyNumberFormat="1" applyFont="1" applyFill="1" applyBorder="1"/>
    <xf numFmtId="0" fontId="9" fillId="27" borderId="10" xfId="0" applyFont="1" applyFill="1" applyBorder="1"/>
    <xf numFmtId="165" fontId="33" fillId="27" borderId="10" xfId="26" applyNumberFormat="1" applyFont="1" applyFill="1" applyBorder="1"/>
    <xf numFmtId="165" fontId="8" fillId="25" borderId="10" xfId="26" applyNumberFormat="1" applyFont="1" applyFill="1" applyBorder="1" applyAlignment="1">
      <alignment horizontal="center"/>
    </xf>
    <xf numFmtId="165" fontId="33" fillId="25" borderId="10" xfId="26" applyNumberFormat="1" applyFont="1" applyFill="1" applyBorder="1" applyAlignment="1">
      <alignment horizontal="center"/>
    </xf>
    <xf numFmtId="165" fontId="105" fillId="28" borderId="10" xfId="26" applyNumberFormat="1" applyFont="1" applyFill="1" applyBorder="1"/>
    <xf numFmtId="165" fontId="29" fillId="28" borderId="10" xfId="26" applyNumberFormat="1" applyFont="1" applyFill="1" applyBorder="1" applyAlignment="1">
      <alignment horizontal="left"/>
    </xf>
    <xf numFmtId="165" fontId="63" fillId="28" borderId="10" xfId="26" applyNumberFormat="1" applyFont="1" applyFill="1" applyBorder="1"/>
    <xf numFmtId="165" fontId="106" fillId="28" borderId="10" xfId="26" applyNumberFormat="1" applyFont="1" applyFill="1" applyBorder="1"/>
    <xf numFmtId="165" fontId="95" fillId="28" borderId="10" xfId="26" applyNumberFormat="1" applyFont="1" applyFill="1" applyBorder="1"/>
    <xf numFmtId="0" fontId="96" fillId="25" borderId="10" xfId="0" applyFont="1" applyFill="1" applyBorder="1"/>
    <xf numFmtId="0" fontId="112" fillId="0" borderId="0" xfId="40" applyFill="1"/>
    <xf numFmtId="0" fontId="109" fillId="0" borderId="0" xfId="40" applyFont="1" applyFill="1"/>
    <xf numFmtId="0" fontId="112" fillId="0" borderId="0" xfId="40"/>
    <xf numFmtId="0" fontId="109" fillId="0" borderId="0" xfId="40" applyFont="1"/>
    <xf numFmtId="0" fontId="70" fillId="0" borderId="0" xfId="40" applyFont="1" applyFill="1"/>
    <xf numFmtId="0" fontId="109" fillId="0" borderId="0" xfId="40" applyFont="1" applyBorder="1" applyAlignment="1">
      <alignment horizontal="center"/>
    </xf>
    <xf numFmtId="0" fontId="70" fillId="0" borderId="0" xfId="40" applyFont="1" applyFill="1" applyAlignment="1">
      <alignment horizontal="center"/>
    </xf>
    <xf numFmtId="0" fontId="109" fillId="0" borderId="36" xfId="40" applyFont="1" applyBorder="1"/>
    <xf numFmtId="0" fontId="109" fillId="0" borderId="0" xfId="40" applyFont="1" applyBorder="1"/>
    <xf numFmtId="0" fontId="70" fillId="0" borderId="37" xfId="40" applyFont="1" applyFill="1" applyBorder="1" applyAlignment="1">
      <alignment horizontal="center"/>
    </xf>
    <xf numFmtId="0" fontId="109" fillId="0" borderId="38" xfId="40" applyFont="1" applyBorder="1" applyAlignment="1">
      <alignment horizontal="center" wrapText="1"/>
    </xf>
    <xf numFmtId="0" fontId="109" fillId="0" borderId="39" xfId="40" applyFont="1" applyBorder="1" applyAlignment="1">
      <alignment horizontal="center" wrapText="1"/>
    </xf>
    <xf numFmtId="0" fontId="109" fillId="0" borderId="37" xfId="40" applyFont="1" applyBorder="1"/>
    <xf numFmtId="0" fontId="112" fillId="0" borderId="0" xfId="40" applyFill="1" applyAlignment="1">
      <alignment horizontal="center"/>
    </xf>
    <xf numFmtId="0" fontId="70" fillId="0" borderId="40" xfId="40" applyFont="1" applyFill="1" applyBorder="1"/>
    <xf numFmtId="0" fontId="70" fillId="0" borderId="40" xfId="40" applyFont="1" applyBorder="1"/>
    <xf numFmtId="0" fontId="112" fillId="0" borderId="40" xfId="40" applyFill="1" applyBorder="1"/>
    <xf numFmtId="0" fontId="112" fillId="0" borderId="0" xfId="40" applyBorder="1"/>
    <xf numFmtId="0" fontId="38" fillId="0" borderId="40" xfId="40" applyFont="1" applyFill="1" applyBorder="1" applyAlignment="1">
      <alignment wrapText="1"/>
    </xf>
    <xf numFmtId="0" fontId="38" fillId="0" borderId="40" xfId="40" applyFont="1" applyBorder="1"/>
    <xf numFmtId="0" fontId="109" fillId="0" borderId="40" xfId="40" applyFont="1" applyFill="1" applyBorder="1"/>
    <xf numFmtId="0" fontId="38" fillId="0" borderId="40" xfId="40" applyFont="1" applyFill="1" applyBorder="1"/>
    <xf numFmtId="0" fontId="70" fillId="0" borderId="41" xfId="40" applyFont="1" applyFill="1" applyBorder="1"/>
    <xf numFmtId="0" fontId="70" fillId="0" borderId="42" xfId="40" applyFont="1" applyFill="1" applyBorder="1"/>
    <xf numFmtId="0" fontId="109" fillId="0" borderId="36" xfId="40" applyFont="1" applyFill="1" applyBorder="1"/>
    <xf numFmtId="0" fontId="109" fillId="0" borderId="0" xfId="0" applyFont="1"/>
    <xf numFmtId="0" fontId="109" fillId="0" borderId="36" xfId="0" applyFont="1" applyFill="1" applyBorder="1"/>
    <xf numFmtId="0" fontId="109" fillId="0" borderId="36" xfId="0" applyFont="1" applyFill="1" applyBorder="1" applyAlignment="1">
      <alignment horizontal="center"/>
    </xf>
    <xf numFmtId="0" fontId="112" fillId="0" borderId="43" xfId="0" applyFont="1" applyBorder="1"/>
    <xf numFmtId="3" fontId="112" fillId="0" borderId="43" xfId="0" applyNumberFormat="1" applyFont="1" applyFill="1" applyBorder="1"/>
    <xf numFmtId="0" fontId="112" fillId="0" borderId="40" xfId="0" applyFont="1" applyBorder="1"/>
    <xf numFmtId="3" fontId="112" fillId="0" borderId="40" xfId="0" applyNumberFormat="1" applyFont="1" applyFill="1" applyBorder="1"/>
    <xf numFmtId="3" fontId="112" fillId="0" borderId="42" xfId="0" applyNumberFormat="1" applyFont="1" applyFill="1" applyBorder="1"/>
    <xf numFmtId="0" fontId="109" fillId="0" borderId="36" xfId="0" applyFont="1" applyBorder="1"/>
    <xf numFmtId="3" fontId="109" fillId="0" borderId="36" xfId="0" applyNumberFormat="1" applyFont="1" applyFill="1" applyBorder="1"/>
    <xf numFmtId="0" fontId="112" fillId="0" borderId="41" xfId="0" applyFont="1" applyBorder="1"/>
    <xf numFmtId="3" fontId="112" fillId="0" borderId="41" xfId="0" applyNumberFormat="1" applyFont="1" applyFill="1" applyBorder="1"/>
    <xf numFmtId="3" fontId="109" fillId="0" borderId="36" xfId="0" applyNumberFormat="1" applyFont="1" applyBorder="1"/>
    <xf numFmtId="0" fontId="112" fillId="0" borderId="0" xfId="0" applyFont="1" applyFill="1" applyBorder="1"/>
    <xf numFmtId="3" fontId="112" fillId="0" borderId="0" xfId="0" applyNumberFormat="1" applyFont="1" applyFill="1" applyBorder="1"/>
    <xf numFmtId="0" fontId="112" fillId="0" borderId="44" xfId="0" applyFont="1" applyFill="1" applyBorder="1"/>
    <xf numFmtId="3" fontId="0" fillId="0" borderId="44" xfId="0" applyNumberFormat="1" applyBorder="1"/>
    <xf numFmtId="0" fontId="112" fillId="0" borderId="40" xfId="0" applyFont="1" applyFill="1" applyBorder="1"/>
    <xf numFmtId="3" fontId="0" fillId="0" borderId="40" xfId="0" applyNumberFormat="1" applyBorder="1"/>
    <xf numFmtId="3" fontId="112" fillId="0" borderId="40" xfId="0" applyNumberFormat="1" applyFont="1" applyBorder="1" applyAlignment="1">
      <alignment horizontal="left"/>
    </xf>
    <xf numFmtId="0" fontId="112" fillId="0" borderId="0" xfId="0" applyFont="1"/>
    <xf numFmtId="0" fontId="113" fillId="0" borderId="10" xfId="0" applyFont="1" applyBorder="1" applyAlignment="1">
      <alignment horizontal="center"/>
    </xf>
    <xf numFmtId="0" fontId="111" fillId="0" borderId="45" xfId="0" applyFont="1" applyBorder="1" applyAlignment="1">
      <alignment horizontal="center"/>
    </xf>
    <xf numFmtId="0" fontId="113" fillId="0" borderId="15" xfId="0" applyFont="1" applyBorder="1"/>
    <xf numFmtId="3" fontId="113" fillId="0" borderId="15" xfId="0" applyNumberFormat="1" applyFont="1" applyBorder="1"/>
    <xf numFmtId="0" fontId="113" fillId="0" borderId="46" xfId="0" applyFont="1" applyBorder="1"/>
    <xf numFmtId="3" fontId="113" fillId="0" borderId="46" xfId="0" applyNumberFormat="1" applyFont="1" applyBorder="1"/>
    <xf numFmtId="0" fontId="114" fillId="0" borderId="46" xfId="0" applyFont="1" applyBorder="1" applyAlignment="1">
      <alignment wrapText="1"/>
    </xf>
    <xf numFmtId="3" fontId="113" fillId="0" borderId="46" xfId="0" applyNumberFormat="1" applyFont="1" applyBorder="1" applyAlignment="1">
      <alignment wrapText="1"/>
    </xf>
    <xf numFmtId="0" fontId="113" fillId="0" borderId="46" xfId="0" applyFont="1" applyBorder="1" applyAlignment="1">
      <alignment wrapText="1"/>
    </xf>
    <xf numFmtId="0" fontId="113" fillId="0" borderId="47" xfId="0" applyFont="1" applyBorder="1"/>
    <xf numFmtId="3" fontId="113" fillId="0" borderId="47" xfId="0" applyNumberFormat="1" applyFont="1" applyBorder="1"/>
    <xf numFmtId="0" fontId="115" fillId="0" borderId="10" xfId="0" applyFont="1" applyBorder="1"/>
    <xf numFmtId="3" fontId="115" fillId="0" borderId="10" xfId="0" applyNumberFormat="1" applyFont="1" applyBorder="1"/>
    <xf numFmtId="0" fontId="116" fillId="25" borderId="10" xfId="0" applyFont="1" applyFill="1" applyBorder="1"/>
    <xf numFmtId="165" fontId="117" fillId="28" borderId="10" xfId="26" applyNumberFormat="1" applyFont="1" applyFill="1" applyBorder="1" applyAlignment="1"/>
    <xf numFmtId="165" fontId="119" fillId="28" borderId="10" xfId="26" applyNumberFormat="1" applyFont="1" applyFill="1" applyBorder="1" applyAlignment="1"/>
    <xf numFmtId="3" fontId="29" fillId="28" borderId="14" xfId="41" applyNumberFormat="1" applyFont="1" applyFill="1" applyBorder="1" applyAlignment="1">
      <alignment horizontal="right"/>
    </xf>
    <xf numFmtId="165" fontId="35" fillId="25" borderId="10" xfId="41" applyNumberFormat="1" applyFont="1" applyFill="1" applyBorder="1"/>
    <xf numFmtId="165" fontId="30" fillId="25" borderId="10" xfId="41" applyNumberFormat="1" applyFont="1" applyFill="1" applyBorder="1"/>
    <xf numFmtId="165" fontId="36" fillId="26" borderId="10" xfId="41" applyNumberFormat="1" applyFont="1" applyFill="1" applyBorder="1" applyAlignment="1">
      <alignment horizontal="right"/>
    </xf>
    <xf numFmtId="165" fontId="29" fillId="26" borderId="10" xfId="41" applyNumberFormat="1" applyFont="1" applyFill="1" applyBorder="1" applyAlignment="1">
      <alignment horizontal="right"/>
    </xf>
    <xf numFmtId="49" fontId="120" fillId="0" borderId="10" xfId="0" applyNumberFormat="1" applyFont="1" applyFill="1" applyBorder="1"/>
    <xf numFmtId="1" fontId="118" fillId="25" borderId="10" xfId="26" applyNumberFormat="1" applyFont="1" applyFill="1" applyBorder="1"/>
    <xf numFmtId="49" fontId="28" fillId="25" borderId="10" xfId="0" applyNumberFormat="1" applyFont="1" applyFill="1" applyBorder="1"/>
    <xf numFmtId="0" fontId="121" fillId="0" borderId="13" xfId="0" applyFont="1" applyBorder="1"/>
    <xf numFmtId="165" fontId="32" fillId="0" borderId="10" xfId="26" applyNumberFormat="1" applyFont="1" applyBorder="1" applyAlignment="1">
      <alignment horizontal="center"/>
    </xf>
    <xf numFmtId="1" fontId="122" fillId="25" borderId="10" xfId="26" applyNumberFormat="1" applyFont="1" applyFill="1" applyBorder="1"/>
    <xf numFmtId="0" fontId="123" fillId="0" borderId="0" xfId="0" applyFont="1"/>
    <xf numFmtId="0" fontId="65" fillId="28" borderId="15" xfId="0" applyFont="1" applyFill="1" applyBorder="1" applyAlignment="1"/>
    <xf numFmtId="0" fontId="52" fillId="0" borderId="0" xfId="0" applyFont="1"/>
    <xf numFmtId="0" fontId="65" fillId="28" borderId="16" xfId="0" applyFont="1" applyFill="1" applyBorder="1" applyAlignment="1">
      <alignment horizontal="center"/>
    </xf>
    <xf numFmtId="166" fontId="64" fillId="28" borderId="10" xfId="27" applyNumberFormat="1" applyFont="1" applyFill="1" applyBorder="1" applyAlignment="1">
      <alignment horizontal="center"/>
    </xf>
    <xf numFmtId="166" fontId="64" fillId="28" borderId="10" xfId="27" applyNumberFormat="1" applyFont="1" applyFill="1" applyBorder="1" applyAlignment="1"/>
    <xf numFmtId="0" fontId="65" fillId="28" borderId="14" xfId="0" applyFont="1" applyFill="1" applyBorder="1" applyAlignment="1"/>
    <xf numFmtId="165" fontId="69" fillId="25" borderId="10" xfId="27" applyNumberFormat="1" applyFont="1" applyFill="1" applyBorder="1"/>
    <xf numFmtId="165" fontId="77" fillId="0" borderId="10" xfId="26" applyNumberFormat="1" applyFont="1" applyBorder="1"/>
    <xf numFmtId="0" fontId="124" fillId="0" borderId="10" xfId="0" applyFont="1" applyBorder="1"/>
    <xf numFmtId="0" fontId="73" fillId="28" borderId="10" xfId="0" applyFont="1" applyFill="1" applyBorder="1"/>
    <xf numFmtId="165" fontId="69" fillId="28" borderId="10" xfId="27" applyNumberFormat="1" applyFont="1" applyFill="1" applyBorder="1"/>
    <xf numFmtId="165" fontId="90" fillId="28" borderId="10" xfId="27" applyNumberFormat="1" applyFont="1" applyFill="1" applyBorder="1"/>
    <xf numFmtId="0" fontId="124" fillId="0" borderId="0" xfId="0" applyFont="1"/>
    <xf numFmtId="165" fontId="64" fillId="28" borderId="10" xfId="27" applyNumberFormat="1" applyFont="1" applyFill="1" applyBorder="1"/>
    <xf numFmtId="165" fontId="89" fillId="28" borderId="10" xfId="27" applyNumberFormat="1" applyFont="1" applyFill="1" applyBorder="1"/>
    <xf numFmtId="0" fontId="64" fillId="28" borderId="10" xfId="0" applyFont="1" applyFill="1" applyBorder="1"/>
    <xf numFmtId="0" fontId="65" fillId="28" borderId="13" xfId="0" applyFont="1" applyFill="1" applyBorder="1" applyAlignment="1">
      <alignment horizontal="left"/>
    </xf>
    <xf numFmtId="0" fontId="69" fillId="28" borderId="10" xfId="0" applyFont="1" applyFill="1" applyBorder="1"/>
    <xf numFmtId="0" fontId="69" fillId="28" borderId="13" xfId="0" applyFont="1" applyFill="1" applyBorder="1"/>
    <xf numFmtId="165" fontId="69" fillId="26" borderId="10" xfId="27" applyNumberFormat="1" applyFont="1" applyFill="1" applyBorder="1"/>
    <xf numFmtId="165" fontId="61" fillId="28" borderId="10" xfId="27" applyNumberFormat="1" applyFont="1" applyFill="1" applyBorder="1"/>
    <xf numFmtId="16" fontId="63" fillId="0" borderId="10" xfId="0" applyNumberFormat="1" applyFont="1" applyBorder="1"/>
    <xf numFmtId="0" fontId="63" fillId="0" borderId="13" xfId="0" applyFont="1" applyBorder="1"/>
    <xf numFmtId="165" fontId="89" fillId="25" borderId="10" xfId="26" applyNumberFormat="1" applyFont="1" applyFill="1" applyBorder="1"/>
    <xf numFmtId="0" fontId="65" fillId="28" borderId="10" xfId="0" applyFont="1" applyFill="1" applyBorder="1"/>
    <xf numFmtId="0" fontId="65" fillId="28" borderId="13" xfId="0" applyFont="1" applyFill="1" applyBorder="1"/>
    <xf numFmtId="165" fontId="90" fillId="25" borderId="10" xfId="26" applyNumberFormat="1" applyFont="1" applyFill="1" applyBorder="1"/>
    <xf numFmtId="0" fontId="63" fillId="0" borderId="10" xfId="0" applyFont="1" applyBorder="1"/>
    <xf numFmtId="0" fontId="61" fillId="0" borderId="10" xfId="0" applyFont="1" applyBorder="1"/>
    <xf numFmtId="0" fontId="77" fillId="0" borderId="0" xfId="0" applyFont="1"/>
    <xf numFmtId="0" fontId="61" fillId="0" borderId="13" xfId="0" applyFont="1" applyBorder="1"/>
    <xf numFmtId="0" fontId="66" fillId="0" borderId="0" xfId="0" applyFont="1"/>
    <xf numFmtId="0" fontId="88" fillId="0" borderId="0" xfId="0" applyFont="1"/>
    <xf numFmtId="0" fontId="89" fillId="25" borderId="13" xfId="0" applyFont="1" applyFill="1" applyBorder="1"/>
    <xf numFmtId="0" fontId="61" fillId="25" borderId="13" xfId="0" applyFont="1" applyFill="1" applyBorder="1"/>
    <xf numFmtId="165" fontId="64" fillId="29" borderId="10" xfId="26" applyNumberFormat="1" applyFont="1" applyFill="1" applyBorder="1"/>
    <xf numFmtId="165" fontId="65" fillId="29" borderId="10" xfId="26" applyNumberFormat="1" applyFont="1" applyFill="1" applyBorder="1"/>
    <xf numFmtId="0" fontId="124" fillId="25" borderId="0" xfId="0" applyFont="1" applyFill="1"/>
    <xf numFmtId="165" fontId="66" fillId="25" borderId="0" xfId="26" applyNumberFormat="1" applyFont="1" applyFill="1" applyAlignment="1">
      <alignment horizontal="center"/>
    </xf>
    <xf numFmtId="165" fontId="66" fillId="25" borderId="0" xfId="26" applyNumberFormat="1" applyFont="1" applyFill="1"/>
    <xf numFmtId="165" fontId="77" fillId="25" borderId="0" xfId="26" applyNumberFormat="1" applyFont="1" applyFill="1"/>
    <xf numFmtId="0" fontId="66" fillId="25" borderId="0" xfId="0" applyFont="1" applyFill="1" applyAlignment="1">
      <alignment horizontal="center"/>
    </xf>
    <xf numFmtId="0" fontId="52" fillId="25" borderId="0" xfId="0" applyFont="1" applyFill="1"/>
    <xf numFmtId="0" fontId="77" fillId="25" borderId="0" xfId="0" applyFont="1" applyFill="1"/>
    <xf numFmtId="16" fontId="120" fillId="25" borderId="10" xfId="0" applyNumberFormat="1" applyFont="1" applyFill="1" applyBorder="1"/>
    <xf numFmtId="0" fontId="120" fillId="25" borderId="13" xfId="0" applyFont="1" applyFill="1" applyBorder="1"/>
    <xf numFmtId="165" fontId="117" fillId="26" borderId="10" xfId="26" applyNumberFormat="1" applyFont="1" applyFill="1" applyBorder="1"/>
    <xf numFmtId="165" fontId="116" fillId="25" borderId="10" xfId="26" applyNumberFormat="1" applyFont="1" applyFill="1" applyBorder="1"/>
    <xf numFmtId="165" fontId="116" fillId="28" borderId="10" xfId="26" applyNumberFormat="1" applyFont="1" applyFill="1" applyBorder="1"/>
    <xf numFmtId="0" fontId="125" fillId="0" borderId="0" xfId="0" applyFont="1"/>
    <xf numFmtId="165" fontId="121" fillId="28" borderId="10" xfId="27" applyNumberFormat="1" applyFont="1" applyFill="1" applyBorder="1"/>
    <xf numFmtId="165" fontId="124" fillId="28" borderId="0" xfId="0" applyNumberFormat="1" applyFont="1" applyFill="1"/>
    <xf numFmtId="0" fontId="124" fillId="28" borderId="0" xfId="0" applyFont="1" applyFill="1"/>
    <xf numFmtId="0" fontId="52" fillId="28" borderId="0" xfId="0" applyFont="1" applyFill="1"/>
    <xf numFmtId="0" fontId="63" fillId="0" borderId="15" xfId="0" applyFont="1" applyBorder="1"/>
    <xf numFmtId="0" fontId="63" fillId="25" borderId="27" xfId="0" applyFont="1" applyFill="1" applyBorder="1"/>
    <xf numFmtId="165" fontId="63" fillId="25" borderId="15" xfId="26" applyNumberFormat="1" applyFont="1" applyFill="1" applyBorder="1"/>
    <xf numFmtId="165" fontId="65" fillId="25" borderId="15" xfId="26" applyNumberFormat="1" applyFont="1" applyFill="1" applyBorder="1"/>
    <xf numFmtId="165" fontId="65" fillId="26" borderId="15" xfId="26" applyNumberFormat="1" applyFont="1" applyFill="1" applyBorder="1"/>
    <xf numFmtId="165" fontId="77" fillId="0" borderId="15" xfId="26" applyNumberFormat="1" applyFont="1" applyBorder="1"/>
    <xf numFmtId="165" fontId="52" fillId="0" borderId="12" xfId="0" applyNumberFormat="1" applyFont="1" applyBorder="1"/>
    <xf numFmtId="0" fontId="52" fillId="0" borderId="12" xfId="0" applyFont="1" applyBorder="1"/>
    <xf numFmtId="0" fontId="31" fillId="0" borderId="14" xfId="0" applyFont="1" applyBorder="1"/>
    <xf numFmtId="165" fontId="69" fillId="25" borderId="14" xfId="26" applyNumberFormat="1" applyFont="1" applyFill="1" applyBorder="1"/>
    <xf numFmtId="165" fontId="85" fillId="25" borderId="14" xfId="26" applyNumberFormat="1" applyFont="1" applyFill="1" applyBorder="1"/>
    <xf numFmtId="165" fontId="27" fillId="25" borderId="14" xfId="26" applyNumberFormat="1" applyFont="1" applyFill="1" applyBorder="1"/>
    <xf numFmtId="165" fontId="86" fillId="26" borderId="14" xfId="26" applyNumberFormat="1" applyFont="1" applyFill="1" applyBorder="1"/>
    <xf numFmtId="0" fontId="36" fillId="25" borderId="10" xfId="0" applyFont="1" applyFill="1" applyBorder="1"/>
    <xf numFmtId="0" fontId="65" fillId="25" borderId="10" xfId="0" applyFont="1" applyFill="1" applyBorder="1"/>
    <xf numFmtId="165" fontId="52" fillId="25" borderId="10" xfId="0" applyNumberFormat="1" applyFont="1" applyFill="1" applyBorder="1"/>
    <xf numFmtId="0" fontId="52" fillId="25" borderId="10" xfId="0" applyFont="1" applyFill="1" applyBorder="1"/>
    <xf numFmtId="0" fontId="62" fillId="25" borderId="10" xfId="0" applyFont="1" applyFill="1" applyBorder="1"/>
    <xf numFmtId="165" fontId="32" fillId="0" borderId="0" xfId="26" applyNumberFormat="1" applyFont="1" applyBorder="1" applyAlignment="1">
      <alignment horizontal="center"/>
    </xf>
    <xf numFmtId="0" fontId="61" fillId="0" borderId="48" xfId="0" applyFont="1" applyBorder="1"/>
    <xf numFmtId="0" fontId="77" fillId="0" borderId="10" xfId="0" applyFont="1" applyBorder="1"/>
    <xf numFmtId="165" fontId="66" fillId="0" borderId="10" xfId="26" applyNumberFormat="1" applyFont="1" applyBorder="1" applyAlignment="1">
      <alignment horizontal="center"/>
    </xf>
    <xf numFmtId="165" fontId="63" fillId="25" borderId="10" xfId="27" applyNumberFormat="1" applyFont="1" applyFill="1" applyBorder="1"/>
    <xf numFmtId="0" fontId="52" fillId="0" borderId="10" xfId="0" applyFont="1" applyBorder="1"/>
    <xf numFmtId="0" fontId="0" fillId="0" borderId="14" xfId="0" applyBorder="1" applyAlignment="1"/>
    <xf numFmtId="165" fontId="8" fillId="25" borderId="10" xfId="26" applyNumberFormat="1" applyFont="1" applyFill="1" applyBorder="1" applyAlignment="1"/>
    <xf numFmtId="165" fontId="52" fillId="0" borderId="10" xfId="0" applyNumberFormat="1" applyFont="1" applyBorder="1"/>
    <xf numFmtId="165" fontId="68" fillId="0" borderId="10" xfId="26" applyNumberFormat="1" applyFont="1" applyBorder="1"/>
    <xf numFmtId="165" fontId="31" fillId="0" borderId="10" xfId="0" applyNumberFormat="1" applyFont="1" applyBorder="1"/>
    <xf numFmtId="0" fontId="124" fillId="28" borderId="10" xfId="0" applyFont="1" applyFill="1" applyBorder="1"/>
    <xf numFmtId="165" fontId="68" fillId="28" borderId="10" xfId="26" applyNumberFormat="1" applyFont="1" applyFill="1" applyBorder="1"/>
    <xf numFmtId="0" fontId="52" fillId="28" borderId="10" xfId="0" applyFont="1" applyFill="1" applyBorder="1"/>
    <xf numFmtId="0" fontId="77" fillId="28" borderId="0" xfId="0" applyFont="1" applyFill="1"/>
    <xf numFmtId="165" fontId="124" fillId="28" borderId="10" xfId="0" applyNumberFormat="1" applyFont="1" applyFill="1" applyBorder="1"/>
    <xf numFmtId="165" fontId="52" fillId="28" borderId="10" xfId="0" applyNumberFormat="1" applyFont="1" applyFill="1" applyBorder="1"/>
    <xf numFmtId="1" fontId="67" fillId="0" borderId="10" xfId="26" applyNumberFormat="1" applyFont="1" applyBorder="1" applyAlignment="1">
      <alignment horizontal="right"/>
    </xf>
    <xf numFmtId="1" fontId="67" fillId="0" borderId="10" xfId="26" applyNumberFormat="1" applyFont="1" applyBorder="1"/>
    <xf numFmtId="0" fontId="75" fillId="28" borderId="10" xfId="0" applyFont="1" applyFill="1" applyBorder="1"/>
    <xf numFmtId="165" fontId="75" fillId="28" borderId="10" xfId="0" applyNumberFormat="1" applyFont="1" applyFill="1" applyBorder="1"/>
    <xf numFmtId="0" fontId="126" fillId="25" borderId="10" xfId="0" applyFont="1" applyFill="1" applyBorder="1" applyAlignment="1">
      <alignment horizontal="center"/>
    </xf>
    <xf numFmtId="0" fontId="127" fillId="0" borderId="10" xfId="0" applyFont="1" applyBorder="1" applyAlignment="1">
      <alignment horizontal="center"/>
    </xf>
    <xf numFmtId="49" fontId="121" fillId="24" borderId="10" xfId="26" applyNumberFormat="1" applyFont="1" applyFill="1" applyBorder="1" applyAlignment="1">
      <alignment horizontal="center"/>
    </xf>
    <xf numFmtId="49" fontId="6" fillId="0" borderId="10" xfId="0" applyNumberFormat="1" applyFont="1" applyBorder="1"/>
    <xf numFmtId="0" fontId="8" fillId="24" borderId="10" xfId="0" applyFont="1" applyFill="1" applyBorder="1"/>
    <xf numFmtId="1" fontId="8" fillId="24" borderId="10" xfId="0" applyNumberFormat="1" applyFont="1" applyFill="1" applyBorder="1"/>
    <xf numFmtId="165" fontId="95" fillId="24" borderId="10" xfId="26" applyNumberFormat="1" applyFont="1" applyFill="1" applyBorder="1"/>
    <xf numFmtId="0" fontId="110" fillId="0" borderId="0" xfId="0" applyFont="1" applyBorder="1"/>
    <xf numFmtId="3" fontId="110" fillId="0" borderId="0" xfId="0" applyNumberFormat="1" applyFont="1" applyBorder="1"/>
    <xf numFmtId="0" fontId="111" fillId="0" borderId="0" xfId="0" applyFont="1" applyBorder="1"/>
    <xf numFmtId="0" fontId="70" fillId="0" borderId="0" xfId="40" applyFont="1" applyFill="1" applyBorder="1"/>
    <xf numFmtId="3" fontId="111" fillId="0" borderId="0" xfId="0" applyNumberFormat="1" applyFont="1" applyBorder="1"/>
    <xf numFmtId="0" fontId="38" fillId="0" borderId="0" xfId="40" applyFont="1" applyFill="1" applyBorder="1" applyAlignment="1">
      <alignment wrapText="1"/>
    </xf>
    <xf numFmtId="0" fontId="110" fillId="0" borderId="0" xfId="0" applyFont="1" applyBorder="1" applyAlignment="1">
      <alignment wrapText="1"/>
    </xf>
    <xf numFmtId="0" fontId="110" fillId="0" borderId="0" xfId="0" applyFont="1" applyBorder="1" applyAlignment="1"/>
    <xf numFmtId="0" fontId="0" fillId="0" borderId="0" xfId="0" applyBorder="1" applyAlignment="1"/>
    <xf numFmtId="3" fontId="108" fillId="0" borderId="0" xfId="0" applyNumberFormat="1" applyFont="1" applyBorder="1"/>
    <xf numFmtId="0" fontId="0" fillId="0" borderId="0" xfId="0" applyBorder="1"/>
    <xf numFmtId="165" fontId="65" fillId="26" borderId="10" xfId="41" applyNumberFormat="1" applyFont="1" applyFill="1" applyBorder="1"/>
    <xf numFmtId="165" fontId="65" fillId="27" borderId="10" xfId="41" applyNumberFormat="1" applyFont="1" applyFill="1" applyBorder="1"/>
    <xf numFmtId="165" fontId="36" fillId="26" borderId="10" xfId="26" applyNumberFormat="1" applyFont="1" applyFill="1" applyBorder="1" applyAlignment="1"/>
    <xf numFmtId="167" fontId="0" fillId="0" borderId="0" xfId="0" applyNumberFormat="1"/>
    <xf numFmtId="0" fontId="28" fillId="25" borderId="16" xfId="42" applyFont="1" applyFill="1" applyBorder="1" applyAlignment="1" applyProtection="1">
      <alignment horizontal="left" vertical="center" indent="1"/>
    </xf>
    <xf numFmtId="167" fontId="28" fillId="25" borderId="16" xfId="42" applyNumberFormat="1" applyFont="1" applyFill="1" applyBorder="1" applyAlignment="1" applyProtection="1">
      <alignment vertical="center"/>
      <protection locked="0"/>
    </xf>
    <xf numFmtId="165" fontId="119" fillId="26" borderId="10" xfId="26" applyNumberFormat="1" applyFont="1" applyFill="1" applyBorder="1"/>
    <xf numFmtId="165" fontId="117" fillId="28" borderId="10" xfId="26" applyNumberFormat="1" applyFont="1" applyFill="1" applyBorder="1"/>
    <xf numFmtId="165" fontId="29" fillId="26" borderId="10" xfId="26" applyNumberFormat="1" applyFont="1" applyFill="1" applyBorder="1" applyAlignment="1">
      <alignment horizontal="center"/>
    </xf>
    <xf numFmtId="167" fontId="34" fillId="28" borderId="10" xfId="0" applyNumberFormat="1" applyFont="1" applyFill="1" applyBorder="1" applyAlignment="1" applyProtection="1">
      <alignment vertical="center" wrapText="1"/>
      <protection locked="0"/>
    </xf>
    <xf numFmtId="167" fontId="117" fillId="28" borderId="10" xfId="0" applyNumberFormat="1" applyFont="1" applyFill="1" applyBorder="1" applyAlignment="1" applyProtection="1">
      <alignment vertical="center" wrapText="1"/>
      <protection locked="0"/>
    </xf>
    <xf numFmtId="167" fontId="34" fillId="28" borderId="14" xfId="0" applyNumberFormat="1" applyFont="1" applyFill="1" applyBorder="1" applyAlignment="1" applyProtection="1">
      <alignment vertical="center" wrapText="1"/>
      <protection locked="0"/>
    </xf>
    <xf numFmtId="167" fontId="69" fillId="25" borderId="14" xfId="0" applyNumberFormat="1" applyFont="1" applyFill="1" applyBorder="1" applyAlignment="1" applyProtection="1">
      <alignment vertical="center" wrapText="1"/>
      <protection locked="0"/>
    </xf>
    <xf numFmtId="167" fontId="118" fillId="25" borderId="14" xfId="0" applyNumberFormat="1" applyFont="1" applyFill="1" applyBorder="1" applyAlignment="1" applyProtection="1">
      <alignment vertical="center" wrapText="1"/>
      <protection locked="0"/>
    </xf>
    <xf numFmtId="165" fontId="103" fillId="26" borderId="10" xfId="27" applyNumberFormat="1" applyFont="1" applyFill="1" applyBorder="1"/>
    <xf numFmtId="0" fontId="69" fillId="25" borderId="0" xfId="0" applyFont="1" applyFill="1" applyBorder="1" applyAlignment="1"/>
    <xf numFmtId="165" fontId="69" fillId="25" borderId="0" xfId="27" applyNumberFormat="1" applyFont="1" applyFill="1" applyBorder="1"/>
    <xf numFmtId="165" fontId="63" fillId="25" borderId="0" xfId="27" applyNumberFormat="1" applyFont="1" applyFill="1" applyBorder="1"/>
    <xf numFmtId="165" fontId="64" fillId="28" borderId="0" xfId="27" applyNumberFormat="1" applyFont="1" applyFill="1" applyBorder="1"/>
    <xf numFmtId="165" fontId="69" fillId="28" borderId="0" xfId="27" applyNumberFormat="1" applyFont="1" applyFill="1" applyBorder="1"/>
    <xf numFmtId="165" fontId="61" fillId="28" borderId="0" xfId="27" applyNumberFormat="1" applyFont="1" applyFill="1" applyBorder="1"/>
    <xf numFmtId="165" fontId="8" fillId="28" borderId="0" xfId="26" applyNumberFormat="1" applyFont="1" applyFill="1" applyBorder="1"/>
    <xf numFmtId="165" fontId="8" fillId="25" borderId="0" xfId="26" applyNumberFormat="1" applyFont="1" applyFill="1" applyBorder="1"/>
    <xf numFmtId="165" fontId="27" fillId="25" borderId="0" xfId="26" applyNumberFormat="1" applyFont="1" applyFill="1" applyBorder="1"/>
    <xf numFmtId="165" fontId="69" fillId="28" borderId="0" xfId="26" applyNumberFormat="1" applyFont="1" applyFill="1" applyBorder="1"/>
    <xf numFmtId="165" fontId="63" fillId="25" borderId="0" xfId="26" applyNumberFormat="1" applyFont="1" applyFill="1" applyBorder="1"/>
    <xf numFmtId="165" fontId="33" fillId="25" borderId="0" xfId="26" applyNumberFormat="1" applyFont="1" applyFill="1" applyBorder="1"/>
    <xf numFmtId="165" fontId="69" fillId="25" borderId="0" xfId="26" applyNumberFormat="1" applyFont="1" applyFill="1" applyBorder="1"/>
    <xf numFmtId="165" fontId="28" fillId="25" borderId="0" xfId="26" applyNumberFormat="1" applyFont="1" applyFill="1" applyBorder="1"/>
    <xf numFmtId="0" fontId="52" fillId="0" borderId="0" xfId="0" applyFont="1" applyBorder="1"/>
    <xf numFmtId="165" fontId="89" fillId="28" borderId="0" xfId="26" applyNumberFormat="1" applyFont="1" applyFill="1" applyBorder="1"/>
    <xf numFmtId="165" fontId="61" fillId="28" borderId="0" xfId="26" applyNumberFormat="1" applyFont="1" applyFill="1" applyBorder="1"/>
    <xf numFmtId="165" fontId="28" fillId="28" borderId="0" xfId="26" applyNumberFormat="1" applyFont="1" applyFill="1" applyBorder="1"/>
    <xf numFmtId="165" fontId="9" fillId="28" borderId="0" xfId="26" applyNumberFormat="1" applyFont="1" applyFill="1" applyBorder="1"/>
    <xf numFmtId="165" fontId="33" fillId="28" borderId="0" xfId="26" applyNumberFormat="1" applyFont="1" applyFill="1" applyBorder="1"/>
    <xf numFmtId="0" fontId="71" fillId="25" borderId="0" xfId="0" applyFont="1" applyFill="1" applyBorder="1"/>
    <xf numFmtId="0" fontId="124" fillId="0" borderId="0" xfId="0" applyFont="1" applyBorder="1"/>
    <xf numFmtId="0" fontId="90" fillId="28" borderId="10" xfId="0" applyFont="1" applyFill="1" applyBorder="1" applyAlignment="1"/>
    <xf numFmtId="0" fontId="69" fillId="28" borderId="10" xfId="0" applyFont="1" applyFill="1" applyBorder="1" applyAlignment="1"/>
    <xf numFmtId="165" fontId="63" fillId="28" borderId="10" xfId="27" applyNumberFormat="1" applyFont="1" applyFill="1" applyBorder="1"/>
    <xf numFmtId="165" fontId="69" fillId="25" borderId="15" xfId="26" applyNumberFormat="1" applyFont="1" applyFill="1" applyBorder="1"/>
    <xf numFmtId="0" fontId="71" fillId="0" borderId="31" xfId="0" applyFont="1" applyBorder="1"/>
    <xf numFmtId="165" fontId="69" fillId="29" borderId="10" xfId="26" applyNumberFormat="1" applyFont="1" applyFill="1" applyBorder="1"/>
    <xf numFmtId="0" fontId="124" fillId="0" borderId="31" xfId="0" applyFont="1" applyBorder="1"/>
    <xf numFmtId="0" fontId="52" fillId="0" borderId="31" xfId="0" applyFont="1" applyBorder="1"/>
    <xf numFmtId="0" fontId="124" fillId="0" borderId="49" xfId="0" applyFont="1" applyBorder="1"/>
    <xf numFmtId="0" fontId="52" fillId="0" borderId="49" xfId="0" applyFont="1" applyBorder="1"/>
    <xf numFmtId="0" fontId="90" fillId="25" borderId="0" xfId="0" applyFont="1" applyFill="1" applyBorder="1" applyAlignment="1">
      <alignment horizontal="center"/>
    </xf>
    <xf numFmtId="165" fontId="65" fillId="28" borderId="10" xfId="26" applyNumberFormat="1" applyFont="1" applyFill="1" applyBorder="1" applyAlignment="1"/>
    <xf numFmtId="165" fontId="65" fillId="28" borderId="10" xfId="26" applyNumberFormat="1" applyFont="1" applyFill="1" applyBorder="1" applyAlignment="1" applyProtection="1">
      <alignment vertical="center" wrapText="1"/>
    </xf>
    <xf numFmtId="165" fontId="64" fillId="28" borderId="10" xfId="26" applyNumberFormat="1" applyFont="1" applyFill="1" applyBorder="1" applyAlignment="1"/>
    <xf numFmtId="165" fontId="65" fillId="26" borderId="10" xfId="26" applyNumberFormat="1" applyFont="1" applyFill="1" applyBorder="1" applyAlignment="1">
      <alignment vertical="center" wrapText="1"/>
    </xf>
    <xf numFmtId="0" fontId="112" fillId="0" borderId="50" xfId="0" applyFont="1" applyBorder="1" applyAlignment="1">
      <alignment horizontal="left" vertical="center"/>
    </xf>
    <xf numFmtId="0" fontId="109" fillId="0" borderId="51" xfId="0" applyFont="1" applyBorder="1" applyAlignment="1">
      <alignment horizontal="left" vertical="center"/>
    </xf>
    <xf numFmtId="0" fontId="112" fillId="0" borderId="52" xfId="0" applyFont="1" applyBorder="1" applyAlignment="1">
      <alignment horizontal="right" vertical="center"/>
    </xf>
    <xf numFmtId="0" fontId="109" fillId="0" borderId="0" xfId="0" applyFont="1" applyBorder="1" applyAlignment="1">
      <alignment horizontal="left" vertical="center"/>
    </xf>
    <xf numFmtId="0" fontId="109" fillId="0" borderId="39" xfId="0" applyFont="1" applyBorder="1" applyAlignment="1">
      <alignment horizontal="right"/>
    </xf>
    <xf numFmtId="0" fontId="110" fillId="0" borderId="36" xfId="0" applyFont="1" applyBorder="1" applyAlignment="1">
      <alignment horizontal="center"/>
    </xf>
    <xf numFmtId="0" fontId="110" fillId="0" borderId="53" xfId="0" applyFont="1" applyBorder="1"/>
    <xf numFmtId="0" fontId="110" fillId="0" borderId="44" xfId="0" applyFont="1" applyBorder="1"/>
    <xf numFmtId="3" fontId="110" fillId="0" borderId="44" xfId="0" applyNumberFormat="1" applyFont="1" applyBorder="1"/>
    <xf numFmtId="0" fontId="111" fillId="0" borderId="54" xfId="0" applyFont="1" applyBorder="1"/>
    <xf numFmtId="0" fontId="111" fillId="0" borderId="43" xfId="0" applyFont="1" applyBorder="1"/>
    <xf numFmtId="3" fontId="111" fillId="0" borderId="43" xfId="0" applyNumberFormat="1" applyFont="1" applyBorder="1"/>
    <xf numFmtId="0" fontId="111" fillId="0" borderId="55" xfId="0" applyFont="1" applyBorder="1"/>
    <xf numFmtId="0" fontId="111" fillId="0" borderId="40" xfId="0" applyFont="1" applyBorder="1"/>
    <xf numFmtId="3" fontId="111" fillId="0" borderId="40" xfId="0" applyNumberFormat="1" applyFont="1" applyBorder="1"/>
    <xf numFmtId="3" fontId="108" fillId="0" borderId="36" xfId="0" applyNumberFormat="1" applyFont="1" applyBorder="1"/>
    <xf numFmtId="0" fontId="109" fillId="0" borderId="38" xfId="0" applyFont="1" applyBorder="1" applyAlignment="1">
      <alignment horizontal="left" vertical="center"/>
    </xf>
    <xf numFmtId="0" fontId="109" fillId="0" borderId="39" xfId="0" applyFont="1" applyBorder="1" applyAlignment="1">
      <alignment horizontal="left" vertical="center"/>
    </xf>
    <xf numFmtId="166" fontId="29" fillId="32" borderId="10" xfId="27" applyNumberFormat="1" applyFont="1" applyFill="1" applyBorder="1"/>
    <xf numFmtId="165" fontId="32" fillId="25" borderId="10" xfId="26" applyNumberFormat="1" applyFont="1" applyFill="1" applyBorder="1"/>
    <xf numFmtId="165" fontId="89" fillId="28" borderId="10" xfId="26" applyNumberFormat="1" applyFont="1" applyFill="1" applyBorder="1"/>
    <xf numFmtId="165" fontId="120" fillId="25" borderId="10" xfId="26" applyNumberFormat="1" applyFont="1" applyFill="1" applyBorder="1"/>
    <xf numFmtId="0" fontId="29" fillId="25" borderId="10" xfId="0" applyFont="1" applyFill="1" applyBorder="1" applyAlignment="1">
      <alignment horizontal="center"/>
    </xf>
    <xf numFmtId="165" fontId="119" fillId="28" borderId="10" xfId="26" applyNumberFormat="1" applyFont="1" applyFill="1" applyBorder="1"/>
    <xf numFmtId="0" fontId="63" fillId="25" borderId="27" xfId="0" applyFont="1" applyFill="1" applyBorder="1" applyAlignment="1">
      <alignment wrapText="1"/>
    </xf>
    <xf numFmtId="167" fontId="126" fillId="25" borderId="16" xfId="42" applyNumberFormat="1" applyFont="1" applyFill="1" applyBorder="1" applyAlignment="1" applyProtection="1">
      <alignment vertical="center"/>
      <protection locked="0"/>
    </xf>
    <xf numFmtId="167" fontId="126" fillId="0" borderId="19" xfId="42" applyNumberFormat="1" applyFont="1" applyFill="1" applyBorder="1" applyAlignment="1" applyProtection="1">
      <alignment vertical="center"/>
    </xf>
    <xf numFmtId="167" fontId="126" fillId="0" borderId="10" xfId="42" applyNumberFormat="1" applyFont="1" applyFill="1" applyBorder="1" applyAlignment="1" applyProtection="1">
      <alignment vertical="center"/>
      <protection locked="0"/>
    </xf>
    <xf numFmtId="3" fontId="112" fillId="0" borderId="37" xfId="0" applyNumberFormat="1" applyFont="1" applyBorder="1" applyAlignment="1">
      <alignment horizontal="left"/>
    </xf>
    <xf numFmtId="3" fontId="0" fillId="0" borderId="37" xfId="0" applyNumberFormat="1" applyBorder="1"/>
    <xf numFmtId="0" fontId="123" fillId="0" borderId="10" xfId="0" applyFont="1" applyBorder="1"/>
    <xf numFmtId="165" fontId="51" fillId="0" borderId="10" xfId="26" applyNumberFormat="1" applyFont="1" applyBorder="1"/>
    <xf numFmtId="0" fontId="116" fillId="25" borderId="13" xfId="0" applyFont="1" applyFill="1" applyBorder="1"/>
    <xf numFmtId="1" fontId="128" fillId="25" borderId="10" xfId="26" applyNumberFormat="1" applyFont="1" applyFill="1" applyBorder="1"/>
    <xf numFmtId="167" fontId="116" fillId="25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8" fillId="25" borderId="0" xfId="0" applyFont="1" applyFill="1" applyBorder="1" applyAlignment="1"/>
    <xf numFmtId="0" fontId="67" fillId="25" borderId="0" xfId="0" applyFont="1" applyFill="1" applyBorder="1"/>
    <xf numFmtId="165" fontId="68" fillId="25" borderId="0" xfId="26" applyNumberFormat="1" applyFont="1" applyFill="1" applyBorder="1"/>
    <xf numFmtId="165" fontId="67" fillId="25" borderId="0" xfId="26" applyNumberFormat="1" applyFont="1" applyFill="1" applyBorder="1"/>
    <xf numFmtId="0" fontId="31" fillId="25" borderId="0" xfId="0" applyFont="1" applyFill="1" applyBorder="1"/>
    <xf numFmtId="165" fontId="98" fillId="25" borderId="0" xfId="26" applyNumberFormat="1" applyFont="1" applyFill="1" applyBorder="1"/>
    <xf numFmtId="165" fontId="66" fillId="25" borderId="0" xfId="26" applyNumberFormat="1" applyFont="1" applyFill="1" applyBorder="1"/>
    <xf numFmtId="165" fontId="97" fillId="25" borderId="0" xfId="26" applyNumberFormat="1" applyFont="1" applyFill="1" applyBorder="1"/>
    <xf numFmtId="165" fontId="51" fillId="0" borderId="0" xfId="26" applyNumberFormat="1" applyFont="1" applyBorder="1"/>
    <xf numFmtId="165" fontId="51" fillId="27" borderId="0" xfId="26" applyNumberFormat="1" applyFont="1" applyFill="1" applyBorder="1"/>
    <xf numFmtId="165" fontId="0" fillId="0" borderId="0" xfId="26" applyNumberFormat="1" applyFont="1" applyBorder="1"/>
    <xf numFmtId="165" fontId="97" fillId="27" borderId="0" xfId="26" applyNumberFormat="1" applyFont="1" applyFill="1" applyBorder="1"/>
    <xf numFmtId="3" fontId="120" fillId="0" borderId="10" xfId="0" applyNumberFormat="1" applyFont="1" applyBorder="1"/>
    <xf numFmtId="1" fontId="117" fillId="25" borderId="10" xfId="26" applyNumberFormat="1" applyFont="1" applyFill="1" applyBorder="1" applyAlignment="1">
      <alignment horizontal="center"/>
    </xf>
    <xf numFmtId="0" fontId="124" fillId="0" borderId="13" xfId="0" applyFont="1" applyBorder="1"/>
    <xf numFmtId="165" fontId="66" fillId="0" borderId="13" xfId="26" applyNumberFormat="1" applyFont="1" applyBorder="1" applyAlignment="1">
      <alignment horizontal="center"/>
    </xf>
    <xf numFmtId="0" fontId="112" fillId="0" borderId="37" xfId="0" applyFont="1" applyBorder="1"/>
    <xf numFmtId="3" fontId="112" fillId="0" borderId="56" xfId="0" applyNumberFormat="1" applyFont="1" applyFill="1" applyBorder="1"/>
    <xf numFmtId="167" fontId="126" fillId="0" borderId="11" xfId="42" applyNumberFormat="1" applyFont="1" applyFill="1" applyBorder="1" applyAlignment="1" applyProtection="1">
      <alignment vertical="center"/>
      <protection locked="0"/>
    </xf>
    <xf numFmtId="0" fontId="28" fillId="0" borderId="16" xfId="42" applyFont="1" applyFill="1" applyBorder="1" applyAlignment="1" applyProtection="1">
      <alignment horizontal="left" vertical="center" indent="1"/>
      <protection locked="0"/>
    </xf>
    <xf numFmtId="167" fontId="28" fillId="0" borderId="16" xfId="42" applyNumberFormat="1" applyFont="1" applyFill="1" applyBorder="1" applyAlignment="1" applyProtection="1">
      <alignment vertical="center"/>
      <protection locked="0"/>
    </xf>
    <xf numFmtId="167" fontId="126" fillId="0" borderId="29" xfId="42" applyNumberFormat="1" applyFont="1" applyFill="1" applyBorder="1" applyAlignment="1" applyProtection="1">
      <alignment vertical="center"/>
    </xf>
    <xf numFmtId="0" fontId="29" fillId="28" borderId="16" xfId="0" applyFont="1" applyFill="1" applyBorder="1" applyAlignment="1">
      <alignment horizontal="center"/>
    </xf>
    <xf numFmtId="165" fontId="32" fillId="0" borderId="10" xfId="26" applyNumberFormat="1" applyFont="1" applyBorder="1" applyAlignment="1">
      <alignment horizontal="center"/>
    </xf>
    <xf numFmtId="0" fontId="132" fillId="0" borderId="10" xfId="0" applyFont="1" applyBorder="1"/>
    <xf numFmtId="165" fontId="133" fillId="0" borderId="10" xfId="26" applyNumberFormat="1" applyFont="1" applyBorder="1"/>
    <xf numFmtId="165" fontId="134" fillId="28" borderId="10" xfId="26" applyNumberFormat="1" applyFont="1" applyFill="1" applyBorder="1"/>
    <xf numFmtId="0" fontId="135" fillId="0" borderId="10" xfId="0" applyFont="1" applyBorder="1"/>
    <xf numFmtId="1" fontId="136" fillId="25" borderId="10" xfId="26" applyNumberFormat="1" applyFont="1" applyFill="1" applyBorder="1"/>
    <xf numFmtId="165" fontId="137" fillId="0" borderId="10" xfId="26" applyNumberFormat="1" applyFont="1" applyBorder="1"/>
    <xf numFmtId="165" fontId="138" fillId="0" borderId="10" xfId="26" applyNumberFormat="1" applyFont="1" applyBorder="1"/>
    <xf numFmtId="165" fontId="138" fillId="25" borderId="10" xfId="26" applyNumberFormat="1" applyFont="1" applyFill="1" applyBorder="1" applyAlignment="1">
      <alignment horizontal="center"/>
    </xf>
    <xf numFmtId="165" fontId="133" fillId="0" borderId="15" xfId="26" applyNumberFormat="1" applyFont="1" applyBorder="1"/>
    <xf numFmtId="165" fontId="138" fillId="0" borderId="10" xfId="26" applyNumberFormat="1" applyFont="1" applyBorder="1" applyAlignment="1">
      <alignment horizontal="center"/>
    </xf>
    <xf numFmtId="165" fontId="140" fillId="0" borderId="10" xfId="26" applyNumberFormat="1" applyFont="1" applyBorder="1"/>
    <xf numFmtId="165" fontId="139" fillId="25" borderId="10" xfId="26" applyNumberFormat="1" applyFont="1" applyFill="1" applyBorder="1"/>
    <xf numFmtId="165" fontId="117" fillId="26" borderId="10" xfId="41" applyNumberFormat="1" applyFont="1" applyFill="1" applyBorder="1"/>
    <xf numFmtId="0" fontId="9" fillId="25" borderId="10" xfId="0" applyFont="1" applyFill="1" applyBorder="1" applyAlignment="1">
      <alignment wrapText="1"/>
    </xf>
    <xf numFmtId="167" fontId="28" fillId="28" borderId="11" xfId="0" applyNumberFormat="1" applyFont="1" applyFill="1" applyBorder="1" applyAlignment="1" applyProtection="1">
      <alignment vertical="center" wrapText="1"/>
      <protection locked="0"/>
    </xf>
    <xf numFmtId="164" fontId="119" fillId="28" borderId="10" xfId="26" applyNumberFormat="1" applyFont="1" applyFill="1" applyBorder="1" applyAlignment="1" applyProtection="1">
      <alignment vertical="center" wrapText="1"/>
    </xf>
    <xf numFmtId="167" fontId="29" fillId="28" borderId="16" xfId="0" applyNumberFormat="1" applyFont="1" applyFill="1" applyBorder="1" applyAlignment="1">
      <alignment horizontal="center" vertical="center" wrapText="1"/>
    </xf>
    <xf numFmtId="0" fontId="29" fillId="28" borderId="10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7" fontId="29" fillId="28" borderId="15" xfId="0" applyNumberFormat="1" applyFont="1" applyFill="1" applyBorder="1" applyAlignment="1" applyProtection="1">
      <alignment horizontal="center" vertical="center" wrapText="1"/>
    </xf>
    <xf numFmtId="167" fontId="29" fillId="28" borderId="16" xfId="0" applyNumberFormat="1" applyFont="1" applyFill="1" applyBorder="1" applyAlignment="1" applyProtection="1">
      <alignment horizontal="center" vertical="center" wrapText="1"/>
    </xf>
    <xf numFmtId="167" fontId="29" fillId="28" borderId="14" xfId="0" applyNumberFormat="1" applyFont="1" applyFill="1" applyBorder="1" applyAlignment="1" applyProtection="1">
      <alignment horizontal="center" vertical="center" wrapText="1"/>
    </xf>
    <xf numFmtId="165" fontId="119" fillId="28" borderId="10" xfId="27" applyNumberFormat="1" applyFont="1" applyFill="1" applyBorder="1"/>
    <xf numFmtId="165" fontId="126" fillId="25" borderId="10" xfId="27" applyNumberFormat="1" applyFont="1" applyFill="1" applyBorder="1"/>
    <xf numFmtId="0" fontId="121" fillId="28" borderId="13" xfId="0" applyFont="1" applyFill="1" applyBorder="1"/>
    <xf numFmtId="0" fontId="126" fillId="28" borderId="13" xfId="0" applyFont="1" applyFill="1" applyBorder="1"/>
    <xf numFmtId="165" fontId="126" fillId="28" borderId="10" xfId="27" applyNumberFormat="1" applyFont="1" applyFill="1" applyBorder="1"/>
    <xf numFmtId="0" fontId="28" fillId="0" borderId="13" xfId="0" applyFont="1" applyBorder="1" applyAlignment="1">
      <alignment wrapText="1"/>
    </xf>
    <xf numFmtId="165" fontId="117" fillId="26" borderId="15" xfId="26" applyNumberFormat="1" applyFont="1" applyFill="1" applyBorder="1"/>
    <xf numFmtId="0" fontId="29" fillId="34" borderId="13" xfId="0" applyFont="1" applyFill="1" applyBorder="1"/>
    <xf numFmtId="165" fontId="53" fillId="34" borderId="10" xfId="26" applyNumberFormat="1" applyFont="1" applyFill="1" applyBorder="1"/>
    <xf numFmtId="165" fontId="33" fillId="34" borderId="10" xfId="26" applyNumberFormat="1" applyFont="1" applyFill="1" applyBorder="1"/>
    <xf numFmtId="165" fontId="119" fillId="34" borderId="10" xfId="26" applyNumberFormat="1" applyFont="1" applyFill="1" applyBorder="1"/>
    <xf numFmtId="165" fontId="64" fillId="34" borderId="10" xfId="26" applyNumberFormat="1" applyFont="1" applyFill="1" applyBorder="1"/>
    <xf numFmtId="0" fontId="29" fillId="28" borderId="27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 wrapText="1"/>
    </xf>
    <xf numFmtId="165" fontId="117" fillId="25" borderId="10" xfId="26" applyNumberFormat="1" applyFont="1" applyFill="1" applyBorder="1"/>
    <xf numFmtId="165" fontId="121" fillId="28" borderId="10" xfId="26" applyNumberFormat="1" applyFont="1" applyFill="1" applyBorder="1"/>
    <xf numFmtId="165" fontId="118" fillId="25" borderId="10" xfId="26" applyNumberFormat="1" applyFont="1" applyFill="1" applyBorder="1"/>
    <xf numFmtId="0" fontId="38" fillId="28" borderId="27" xfId="0" applyFont="1" applyFill="1" applyBorder="1" applyAlignment="1">
      <alignment horizontal="center" vertical="center" wrapText="1"/>
    </xf>
    <xf numFmtId="0" fontId="42" fillId="28" borderId="16" xfId="0" applyFont="1" applyFill="1" applyBorder="1" applyAlignment="1">
      <alignment horizontal="center" vertical="center" wrapText="1"/>
    </xf>
    <xf numFmtId="165" fontId="8" fillId="26" borderId="14" xfId="26" applyNumberFormat="1" applyFont="1" applyFill="1" applyBorder="1" applyAlignment="1">
      <alignment horizontal="center"/>
    </xf>
    <xf numFmtId="165" fontId="36" fillId="35" borderId="10" xfId="26" applyNumberFormat="1" applyFont="1" applyFill="1" applyBorder="1" applyAlignment="1"/>
    <xf numFmtId="165" fontId="117" fillId="35" borderId="10" xfId="26" applyNumberFormat="1" applyFont="1" applyFill="1" applyBorder="1"/>
    <xf numFmtId="165" fontId="117" fillId="35" borderId="10" xfId="26" applyNumberFormat="1" applyFont="1" applyFill="1" applyBorder="1" applyAlignment="1"/>
    <xf numFmtId="165" fontId="117" fillId="35" borderId="10" xfId="26" applyNumberFormat="1" applyFont="1" applyFill="1" applyBorder="1" applyAlignment="1" applyProtection="1">
      <alignment vertical="center" wrapText="1"/>
    </xf>
    <xf numFmtId="165" fontId="36" fillId="35" borderId="10" xfId="26" applyNumberFormat="1" applyFont="1" applyFill="1" applyBorder="1" applyAlignment="1" applyProtection="1">
      <alignment vertical="center" wrapText="1"/>
    </xf>
    <xf numFmtId="165" fontId="119" fillId="28" borderId="10" xfId="26" applyNumberFormat="1" applyFont="1" applyFill="1" applyBorder="1" applyAlignment="1" applyProtection="1">
      <alignment vertical="center" wrapText="1"/>
    </xf>
    <xf numFmtId="165" fontId="27" fillId="35" borderId="10" xfId="26" applyNumberFormat="1" applyFont="1" applyFill="1" applyBorder="1" applyAlignment="1"/>
    <xf numFmtId="0" fontId="141" fillId="0" borderId="0" xfId="0" applyFont="1"/>
    <xf numFmtId="165" fontId="119" fillId="36" borderId="10" xfId="26" applyNumberFormat="1" applyFont="1" applyFill="1" applyBorder="1"/>
    <xf numFmtId="165" fontId="29" fillId="27" borderId="0" xfId="26" applyNumberFormat="1" applyFont="1" applyFill="1" applyBorder="1"/>
    <xf numFmtId="165" fontId="29" fillId="34" borderId="10" xfId="26" applyNumberFormat="1" applyFont="1" applyFill="1" applyBorder="1"/>
    <xf numFmtId="165" fontId="29" fillId="36" borderId="10" xfId="26" applyNumberFormat="1" applyFont="1" applyFill="1" applyBorder="1"/>
    <xf numFmtId="165" fontId="27" fillId="0" borderId="10" xfId="26" applyNumberFormat="1" applyFont="1" applyFill="1" applyBorder="1" applyAlignment="1">
      <alignment horizontal="center"/>
    </xf>
    <xf numFmtId="165" fontId="8" fillId="0" borderId="10" xfId="26" applyNumberFormat="1" applyFont="1" applyFill="1" applyBorder="1"/>
    <xf numFmtId="167" fontId="27" fillId="28" borderId="69" xfId="0" applyNumberFormat="1" applyFont="1" applyFill="1" applyBorder="1" applyAlignment="1" applyProtection="1">
      <alignment horizontal="right" vertical="center" wrapText="1"/>
    </xf>
    <xf numFmtId="167" fontId="27" fillId="28" borderId="11" xfId="0" applyNumberFormat="1" applyFont="1" applyFill="1" applyBorder="1" applyAlignment="1" applyProtection="1">
      <alignment vertical="center" wrapText="1"/>
      <protection locked="0"/>
    </xf>
    <xf numFmtId="167" fontId="27" fillId="28" borderId="49" xfId="0" applyNumberFormat="1" applyFont="1" applyFill="1" applyBorder="1" applyAlignment="1" applyProtection="1">
      <alignment horizontal="right" vertical="center" wrapText="1"/>
    </xf>
    <xf numFmtId="167" fontId="29" fillId="28" borderId="14" xfId="0" applyNumberFormat="1" applyFont="1" applyFill="1" applyBorder="1" applyAlignment="1">
      <alignment horizontal="center" vertical="center" wrapText="1"/>
    </xf>
    <xf numFmtId="165" fontId="31" fillId="26" borderId="15" xfId="26" applyNumberFormat="1" applyFont="1" applyFill="1" applyBorder="1"/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29" fillId="28" borderId="10" xfId="0" applyFont="1" applyFill="1" applyBorder="1" applyAlignment="1">
      <alignment horizontal="center" wrapText="1"/>
    </xf>
    <xf numFmtId="167" fontId="29" fillId="28" borderId="15" xfId="0" applyNumberFormat="1" applyFont="1" applyFill="1" applyBorder="1" applyAlignment="1" applyProtection="1">
      <alignment horizontal="center" vertical="center" wrapText="1"/>
    </xf>
    <xf numFmtId="167" fontId="29" fillId="28" borderId="16" xfId="0" applyNumberFormat="1" applyFont="1" applyFill="1" applyBorder="1" applyAlignment="1" applyProtection="1">
      <alignment horizontal="center" vertical="center" wrapText="1"/>
    </xf>
    <xf numFmtId="167" fontId="29" fillId="28" borderId="14" xfId="0" applyNumberFormat="1" applyFont="1" applyFill="1" applyBorder="1" applyAlignment="1" applyProtection="1">
      <alignment horizontal="center" vertical="center" wrapText="1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28" fillId="0" borderId="15" xfId="0" applyFont="1" applyBorder="1"/>
    <xf numFmtId="0" fontId="28" fillId="25" borderId="27" xfId="0" applyFont="1" applyFill="1" applyBorder="1"/>
    <xf numFmtId="165" fontId="142" fillId="26" borderId="10" xfId="27" applyNumberFormat="1" applyFont="1" applyFill="1" applyBorder="1"/>
    <xf numFmtId="0" fontId="28" fillId="0" borderId="11" xfId="0" applyFont="1" applyBorder="1"/>
    <xf numFmtId="0" fontId="35" fillId="37" borderId="10" xfId="0" applyFont="1" applyFill="1" applyBorder="1" applyAlignment="1">
      <alignment horizontal="center"/>
    </xf>
    <xf numFmtId="165" fontId="7" fillId="37" borderId="10" xfId="26" applyNumberFormat="1" applyFont="1" applyFill="1" applyBorder="1"/>
    <xf numFmtId="0" fontId="35" fillId="35" borderId="10" xfId="0" applyFont="1" applyFill="1" applyBorder="1" applyAlignment="1">
      <alignment horizontal="center"/>
    </xf>
    <xf numFmtId="165" fontId="7" fillId="35" borderId="10" xfId="26" applyNumberFormat="1" applyFont="1" applyFill="1" applyBorder="1"/>
    <xf numFmtId="0" fontId="0" fillId="0" borderId="0" xfId="0"/>
    <xf numFmtId="0" fontId="143" fillId="38" borderId="10" xfId="0" applyFont="1" applyFill="1" applyBorder="1" applyAlignment="1">
      <alignment horizontal="center" vertical="top" wrapText="1"/>
    </xf>
    <xf numFmtId="0" fontId="112" fillId="0" borderId="10" xfId="0" applyFont="1" applyBorder="1" applyAlignment="1">
      <alignment horizontal="left" vertical="top" wrapText="1"/>
    </xf>
    <xf numFmtId="3" fontId="112" fillId="0" borderId="10" xfId="0" applyNumberFormat="1" applyFont="1" applyBorder="1" applyAlignment="1">
      <alignment horizontal="right" vertical="top" wrapText="1"/>
    </xf>
    <xf numFmtId="0" fontId="109" fillId="0" borderId="10" xfId="0" applyFont="1" applyBorder="1" applyAlignment="1">
      <alignment horizontal="left" vertical="top" wrapText="1"/>
    </xf>
    <xf numFmtId="3" fontId="109" fillId="0" borderId="10" xfId="0" applyNumberFormat="1" applyFont="1" applyBorder="1" applyAlignment="1">
      <alignment horizontal="right" vertical="top" wrapText="1"/>
    </xf>
    <xf numFmtId="0" fontId="112" fillId="35" borderId="10" xfId="0" applyFont="1" applyFill="1" applyBorder="1" applyAlignment="1">
      <alignment horizontal="left" vertical="top" wrapText="1"/>
    </xf>
    <xf numFmtId="0" fontId="143" fillId="35" borderId="10" xfId="0" applyFont="1" applyFill="1" applyBorder="1" applyAlignment="1">
      <alignment horizontal="right" vertical="top" wrapText="1"/>
    </xf>
    <xf numFmtId="0" fontId="144" fillId="35" borderId="10" xfId="0" applyFont="1" applyFill="1" applyBorder="1" applyAlignment="1">
      <alignment horizontal="right" vertical="top" wrapText="1"/>
    </xf>
    <xf numFmtId="0" fontId="145" fillId="35" borderId="10" xfId="0" applyFont="1" applyFill="1" applyBorder="1" applyAlignment="1">
      <alignment horizontal="left" vertical="top" wrapText="1"/>
    </xf>
    <xf numFmtId="0" fontId="112" fillId="35" borderId="10" xfId="0" applyFont="1" applyFill="1" applyBorder="1" applyAlignment="1">
      <alignment horizontal="right" vertical="top" wrapText="1"/>
    </xf>
    <xf numFmtId="0" fontId="146" fillId="35" borderId="10" xfId="0" applyFont="1" applyFill="1" applyBorder="1" applyAlignment="1">
      <alignment horizontal="right" vertical="top" wrapText="1"/>
    </xf>
    <xf numFmtId="165" fontId="8" fillId="26" borderId="11" xfId="26" applyNumberFormat="1" applyFont="1" applyFill="1" applyBorder="1" applyAlignment="1">
      <alignment horizontal="center"/>
    </xf>
    <xf numFmtId="165" fontId="8" fillId="26" borderId="12" xfId="26" applyNumberFormat="1" applyFont="1" applyFill="1" applyBorder="1" applyAlignment="1">
      <alignment horizontal="center"/>
    </xf>
    <xf numFmtId="165" fontId="8" fillId="26" borderId="13" xfId="26" applyNumberFormat="1" applyFont="1" applyFill="1" applyBorder="1" applyAlignment="1">
      <alignment horizontal="center"/>
    </xf>
    <xf numFmtId="0" fontId="8" fillId="26" borderId="15" xfId="0" applyFont="1" applyFill="1" applyBorder="1" applyAlignment="1">
      <alignment horizontal="center"/>
    </xf>
    <xf numFmtId="0" fontId="8" fillId="26" borderId="14" xfId="0" applyFont="1" applyFill="1" applyBorder="1" applyAlignment="1">
      <alignment horizontal="center"/>
    </xf>
    <xf numFmtId="0" fontId="0" fillId="26" borderId="15" xfId="0" applyFill="1" applyBorder="1" applyAlignment="1">
      <alignment horizontal="center"/>
    </xf>
    <xf numFmtId="0" fontId="0" fillId="26" borderId="14" xfId="0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26" borderId="12" xfId="0" applyFont="1" applyFill="1" applyBorder="1" applyAlignment="1">
      <alignment horizontal="center"/>
    </xf>
    <xf numFmtId="0" fontId="8" fillId="26" borderId="13" xfId="0" applyFont="1" applyFill="1" applyBorder="1" applyAlignment="1">
      <alignment horizontal="center"/>
    </xf>
    <xf numFmtId="0" fontId="29" fillId="26" borderId="10" xfId="0" applyFont="1" applyFill="1" applyBorder="1" applyAlignment="1">
      <alignment horizontal="center"/>
    </xf>
    <xf numFmtId="167" fontId="69" fillId="28" borderId="10" xfId="0" applyNumberFormat="1" applyFont="1" applyFill="1" applyBorder="1" applyAlignment="1">
      <alignment horizontal="center" vertical="center" wrapText="1"/>
    </xf>
    <xf numFmtId="0" fontId="67" fillId="28" borderId="10" xfId="0" applyFont="1" applyFill="1" applyBorder="1" applyAlignment="1">
      <alignment horizontal="left"/>
    </xf>
    <xf numFmtId="167" fontId="72" fillId="28" borderId="10" xfId="0" applyNumberFormat="1" applyFont="1" applyFill="1" applyBorder="1" applyAlignment="1">
      <alignment horizontal="center" vertical="center" wrapText="1"/>
    </xf>
    <xf numFmtId="167" fontId="29" fillId="28" borderId="57" xfId="0" applyNumberFormat="1" applyFont="1" applyFill="1" applyBorder="1" applyAlignment="1">
      <alignment horizontal="center" vertical="center" wrapText="1"/>
    </xf>
    <xf numFmtId="167" fontId="29" fillId="28" borderId="49" xfId="0" applyNumberFormat="1" applyFont="1" applyFill="1" applyBorder="1" applyAlignment="1">
      <alignment horizontal="center" vertical="center" wrapText="1"/>
    </xf>
    <xf numFmtId="167" fontId="29" fillId="28" borderId="58" xfId="0" applyNumberFormat="1" applyFont="1" applyFill="1" applyBorder="1" applyAlignment="1">
      <alignment horizontal="center" vertical="center" wrapText="1"/>
    </xf>
    <xf numFmtId="167" fontId="65" fillId="28" borderId="1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29" fillId="28" borderId="10" xfId="0" applyFont="1" applyFill="1" applyBorder="1" applyAlignment="1">
      <alignment horizontal="center" wrapText="1"/>
    </xf>
    <xf numFmtId="0" fontId="5" fillId="31" borderId="15" xfId="0" applyFont="1" applyFill="1" applyBorder="1" applyAlignment="1">
      <alignment horizontal="center" textRotation="45"/>
    </xf>
    <xf numFmtId="0" fontId="5" fillId="31" borderId="14" xfId="0" applyFont="1" applyFill="1" applyBorder="1" applyAlignment="1">
      <alignment horizontal="center" textRotation="45"/>
    </xf>
    <xf numFmtId="0" fontId="92" fillId="27" borderId="15" xfId="0" applyFont="1" applyFill="1" applyBorder="1" applyAlignment="1">
      <alignment horizontal="center"/>
    </xf>
    <xf numFmtId="0" fontId="92" fillId="27" borderId="14" xfId="0" applyFont="1" applyFill="1" applyBorder="1" applyAlignment="1">
      <alignment horizontal="center"/>
    </xf>
    <xf numFmtId="0" fontId="29" fillId="28" borderId="10" xfId="0" applyFont="1" applyFill="1" applyBorder="1" applyAlignment="1">
      <alignment horizontal="center"/>
    </xf>
    <xf numFmtId="0" fontId="8" fillId="28" borderId="10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3" fontId="8" fillId="26" borderId="11" xfId="0" applyNumberFormat="1" applyFont="1" applyFill="1" applyBorder="1" applyAlignment="1">
      <alignment horizontal="center"/>
    </xf>
    <xf numFmtId="3" fontId="8" fillId="26" borderId="13" xfId="0" applyNumberFormat="1" applyFont="1" applyFill="1" applyBorder="1" applyAlignment="1">
      <alignment horizontal="center"/>
    </xf>
    <xf numFmtId="3" fontId="8" fillId="28" borderId="11" xfId="0" applyNumberFormat="1" applyFont="1" applyFill="1" applyBorder="1" applyAlignment="1">
      <alignment horizontal="center"/>
    </xf>
    <xf numFmtId="3" fontId="8" fillId="28" borderId="13" xfId="0" applyNumberFormat="1" applyFont="1" applyFill="1" applyBorder="1" applyAlignment="1">
      <alignment horizontal="center"/>
    </xf>
    <xf numFmtId="0" fontId="41" fillId="29" borderId="11" xfId="0" applyFont="1" applyFill="1" applyBorder="1" applyAlignment="1">
      <alignment horizontal="center"/>
    </xf>
    <xf numFmtId="0" fontId="41" fillId="29" borderId="13" xfId="0" applyFont="1" applyFill="1" applyBorder="1" applyAlignment="1">
      <alignment horizontal="center"/>
    </xf>
    <xf numFmtId="0" fontId="29" fillId="26" borderId="27" xfId="0" applyFont="1" applyFill="1" applyBorder="1" applyAlignment="1">
      <alignment horizontal="center"/>
    </xf>
    <xf numFmtId="0" fontId="29" fillId="26" borderId="31" xfId="0" applyFont="1" applyFill="1" applyBorder="1" applyAlignment="1">
      <alignment horizontal="center"/>
    </xf>
    <xf numFmtId="0" fontId="29" fillId="26" borderId="48" xfId="0" applyFont="1" applyFill="1" applyBorder="1" applyAlignment="1">
      <alignment horizontal="center"/>
    </xf>
    <xf numFmtId="0" fontId="29" fillId="26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29" fillId="26" borderId="12" xfId="0" applyFont="1" applyFill="1" applyBorder="1" applyAlignment="1">
      <alignment horizontal="center"/>
    </xf>
    <xf numFmtId="0" fontId="107" fillId="27" borderId="15" xfId="0" applyFont="1" applyFill="1" applyBorder="1" applyAlignment="1">
      <alignment horizontal="center" vertical="center" wrapText="1"/>
    </xf>
    <xf numFmtId="0" fontId="107" fillId="27" borderId="14" xfId="0" applyFont="1" applyFill="1" applyBorder="1" applyAlignment="1">
      <alignment horizontal="center" vertical="center" wrapText="1"/>
    </xf>
    <xf numFmtId="0" fontId="38" fillId="28" borderId="11" xfId="0" applyFont="1" applyFill="1" applyBorder="1" applyAlignment="1">
      <alignment horizontal="center" vertical="center" wrapText="1"/>
    </xf>
    <xf numFmtId="0" fontId="38" fillId="28" borderId="12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>
      <alignment horizontal="center" vertical="center" wrapText="1"/>
    </xf>
    <xf numFmtId="0" fontId="29" fillId="28" borderId="15" xfId="0" applyFont="1" applyFill="1" applyBorder="1" applyAlignment="1">
      <alignment horizontal="center" vertical="center" wrapText="1"/>
    </xf>
    <xf numFmtId="0" fontId="29" fillId="28" borderId="16" xfId="0" applyFont="1" applyFill="1" applyBorder="1" applyAlignment="1">
      <alignment horizontal="center" vertical="center" wrapText="1"/>
    </xf>
    <xf numFmtId="167" fontId="29" fillId="28" borderId="15" xfId="0" applyNumberFormat="1" applyFont="1" applyFill="1" applyBorder="1" applyAlignment="1" applyProtection="1">
      <alignment horizontal="center" vertical="center" wrapText="1"/>
    </xf>
    <xf numFmtId="167" fontId="29" fillId="28" borderId="16" xfId="0" applyNumberFormat="1" applyFont="1" applyFill="1" applyBorder="1" applyAlignment="1" applyProtection="1">
      <alignment horizontal="center" vertical="center" wrapText="1"/>
    </xf>
    <xf numFmtId="167" fontId="29" fillId="28" borderId="14" xfId="0" applyNumberFormat="1" applyFont="1" applyFill="1" applyBorder="1" applyAlignment="1" applyProtection="1">
      <alignment horizontal="center" vertical="center" wrapText="1"/>
    </xf>
    <xf numFmtId="0" fontId="7" fillId="31" borderId="15" xfId="0" applyFont="1" applyFill="1" applyBorder="1" applyAlignment="1">
      <alignment horizontal="center" textRotation="45"/>
    </xf>
    <xf numFmtId="0" fontId="7" fillId="31" borderId="16" xfId="0" applyFont="1" applyFill="1" applyBorder="1" applyAlignment="1">
      <alignment horizontal="center" textRotation="45"/>
    </xf>
    <xf numFmtId="0" fontId="7" fillId="31" borderId="14" xfId="0" applyFont="1" applyFill="1" applyBorder="1" applyAlignment="1">
      <alignment horizontal="center" textRotation="45"/>
    </xf>
    <xf numFmtId="167" fontId="93" fillId="27" borderId="15" xfId="0" applyNumberFormat="1" applyFont="1" applyFill="1" applyBorder="1" applyAlignment="1">
      <alignment horizontal="center" vertical="center" wrapText="1"/>
    </xf>
    <xf numFmtId="167" fontId="93" fillId="27" borderId="16" xfId="0" applyNumberFormat="1" applyFont="1" applyFill="1" applyBorder="1" applyAlignment="1">
      <alignment horizontal="center" vertical="center" wrapText="1"/>
    </xf>
    <xf numFmtId="167" fontId="93" fillId="27" borderId="14" xfId="0" applyNumberFormat="1" applyFont="1" applyFill="1" applyBorder="1" applyAlignment="1">
      <alignment horizontal="center" vertical="center" wrapText="1"/>
    </xf>
    <xf numFmtId="167" fontId="29" fillId="28" borderId="10" xfId="0" applyNumberFormat="1" applyFont="1" applyFill="1" applyBorder="1" applyAlignment="1" applyProtection="1">
      <alignment horizontal="center" vertical="center" wrapText="1"/>
    </xf>
    <xf numFmtId="167" fontId="27" fillId="28" borderId="10" xfId="0" applyNumberFormat="1" applyFont="1" applyFill="1" applyBorder="1" applyAlignment="1" applyProtection="1">
      <alignment horizontal="center" vertical="center" wrapText="1"/>
    </xf>
    <xf numFmtId="167" fontId="29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28" borderId="59" xfId="41" applyFont="1" applyFill="1" applyBorder="1" applyAlignment="1">
      <alignment horizontal="center"/>
    </xf>
    <xf numFmtId="0" fontId="8" fillId="28" borderId="45" xfId="41" applyFont="1" applyFill="1" applyBorder="1" applyAlignment="1">
      <alignment horizontal="center"/>
    </xf>
    <xf numFmtId="0" fontId="8" fillId="28" borderId="27" xfId="41" applyFont="1" applyFill="1" applyBorder="1" applyAlignment="1">
      <alignment horizontal="center"/>
    </xf>
    <xf numFmtId="0" fontId="8" fillId="28" borderId="58" xfId="41" applyFont="1" applyFill="1" applyBorder="1" applyAlignment="1">
      <alignment horizontal="center"/>
    </xf>
    <xf numFmtId="0" fontId="8" fillId="28" borderId="60" xfId="41" applyFont="1" applyFill="1" applyBorder="1" applyAlignment="1">
      <alignment horizontal="center"/>
    </xf>
    <xf numFmtId="0" fontId="8" fillId="28" borderId="48" xfId="41" applyFont="1" applyFill="1" applyBorder="1" applyAlignment="1">
      <alignment horizontal="center"/>
    </xf>
    <xf numFmtId="0" fontId="73" fillId="31" borderId="15" xfId="41" applyFont="1" applyFill="1" applyBorder="1" applyAlignment="1">
      <alignment horizontal="center" textRotation="45"/>
    </xf>
    <xf numFmtId="0" fontId="73" fillId="31" borderId="16" xfId="41" applyFont="1" applyFill="1" applyBorder="1" applyAlignment="1">
      <alignment horizontal="center" textRotation="45"/>
    </xf>
    <xf numFmtId="0" fontId="73" fillId="31" borderId="14" xfId="41" applyFont="1" applyFill="1" applyBorder="1" applyAlignment="1">
      <alignment horizontal="center" textRotation="45"/>
    </xf>
    <xf numFmtId="0" fontId="130" fillId="0" borderId="61" xfId="43" applyFont="1" applyBorder="1" applyAlignment="1">
      <alignment wrapText="1"/>
    </xf>
    <xf numFmtId="0" fontId="131" fillId="0" borderId="62" xfId="43" applyFont="1" applyBorder="1" applyAlignment="1">
      <alignment wrapText="1"/>
    </xf>
    <xf numFmtId="0" fontId="131" fillId="0" borderId="63" xfId="43" applyFont="1" applyBorder="1" applyAlignment="1">
      <alignment wrapText="1"/>
    </xf>
    <xf numFmtId="0" fontId="7" fillId="0" borderId="0" xfId="0" applyFont="1" applyAlignment="1">
      <alignment horizontal="center"/>
    </xf>
    <xf numFmtId="0" fontId="67" fillId="25" borderId="0" xfId="0" applyFont="1" applyFill="1" applyBorder="1" applyAlignment="1">
      <alignment horizontal="center"/>
    </xf>
    <xf numFmtId="165" fontId="68" fillId="25" borderId="0" xfId="26" applyNumberFormat="1" applyFont="1" applyFill="1" applyBorder="1" applyAlignment="1">
      <alignment horizontal="center"/>
    </xf>
    <xf numFmtId="0" fontId="8" fillId="31" borderId="15" xfId="0" applyFont="1" applyFill="1" applyBorder="1" applyAlignment="1">
      <alignment horizontal="center"/>
    </xf>
    <xf numFmtId="0" fontId="8" fillId="31" borderId="16" xfId="0" applyFont="1" applyFill="1" applyBorder="1" applyAlignment="1">
      <alignment horizontal="center"/>
    </xf>
    <xf numFmtId="0" fontId="8" fillId="31" borderId="14" xfId="0" applyFont="1" applyFill="1" applyBorder="1" applyAlignment="1">
      <alignment horizontal="center"/>
    </xf>
    <xf numFmtId="0" fontId="29" fillId="28" borderId="15" xfId="0" applyFont="1" applyFill="1" applyBorder="1" applyAlignment="1">
      <alignment horizontal="center"/>
    </xf>
    <xf numFmtId="0" fontId="29" fillId="28" borderId="14" xfId="0" applyFont="1" applyFill="1" applyBorder="1" applyAlignment="1">
      <alignment horizontal="center"/>
    </xf>
    <xf numFmtId="0" fontId="29" fillId="28" borderId="16" xfId="0" applyFont="1" applyFill="1" applyBorder="1" applyAlignment="1">
      <alignment horizontal="center"/>
    </xf>
    <xf numFmtId="0" fontId="8" fillId="28" borderId="15" xfId="0" applyFont="1" applyFill="1" applyBorder="1" applyAlignment="1">
      <alignment horizontal="center"/>
    </xf>
    <xf numFmtId="0" fontId="8" fillId="28" borderId="16" xfId="0" applyFont="1" applyFill="1" applyBorder="1" applyAlignment="1">
      <alignment horizontal="center"/>
    </xf>
    <xf numFmtId="0" fontId="8" fillId="28" borderId="14" xfId="0" applyFont="1" applyFill="1" applyBorder="1" applyAlignment="1">
      <alignment horizontal="center"/>
    </xf>
    <xf numFmtId="0" fontId="29" fillId="28" borderId="11" xfId="0" applyFont="1" applyFill="1" applyBorder="1" applyAlignment="1">
      <alignment horizontal="center"/>
    </xf>
    <xf numFmtId="0" fontId="29" fillId="28" borderId="13" xfId="0" applyFont="1" applyFill="1" applyBorder="1" applyAlignment="1">
      <alignment horizontal="center"/>
    </xf>
    <xf numFmtId="0" fontId="68" fillId="25" borderId="0" xfId="0" applyFont="1" applyFill="1" applyBorder="1" applyAlignment="1">
      <alignment horizontal="center"/>
    </xf>
    <xf numFmtId="165" fontId="32" fillId="32" borderId="15" xfId="26" applyNumberFormat="1" applyFont="1" applyFill="1" applyBorder="1" applyAlignment="1">
      <alignment horizontal="center" wrapText="1"/>
    </xf>
    <xf numFmtId="0" fontId="52" fillId="32" borderId="16" xfId="0" applyFont="1" applyFill="1" applyBorder="1" applyAlignment="1">
      <alignment horizontal="center" wrapText="1"/>
    </xf>
    <xf numFmtId="0" fontId="52" fillId="32" borderId="14" xfId="0" applyFont="1" applyFill="1" applyBorder="1" applyAlignment="1">
      <alignment horizontal="center" wrapText="1"/>
    </xf>
    <xf numFmtId="0" fontId="0" fillId="32" borderId="16" xfId="0" applyFill="1" applyBorder="1" applyAlignment="1">
      <alignment horizontal="center" wrapText="1"/>
    </xf>
    <xf numFmtId="0" fontId="0" fillId="32" borderId="14" xfId="0" applyFill="1" applyBorder="1" applyAlignment="1">
      <alignment horizontal="center" wrapText="1"/>
    </xf>
    <xf numFmtId="0" fontId="7" fillId="31" borderId="15" xfId="0" applyFont="1" applyFill="1" applyBorder="1" applyAlignment="1">
      <alignment horizontal="center" textRotation="255"/>
    </xf>
    <xf numFmtId="0" fontId="66" fillId="31" borderId="16" xfId="0" applyFont="1" applyFill="1" applyBorder="1" applyAlignment="1">
      <alignment horizontal="center" textRotation="255"/>
    </xf>
    <xf numFmtId="0" fontId="66" fillId="31" borderId="14" xfId="0" applyFont="1" applyFill="1" applyBorder="1" applyAlignment="1">
      <alignment horizontal="center" textRotation="255"/>
    </xf>
    <xf numFmtId="166" fontId="65" fillId="28" borderId="10" xfId="27" applyNumberFormat="1" applyFont="1" applyFill="1" applyBorder="1" applyAlignment="1">
      <alignment horizontal="center"/>
    </xf>
    <xf numFmtId="166" fontId="64" fillId="28" borderId="10" xfId="27" applyNumberFormat="1" applyFont="1" applyFill="1" applyBorder="1" applyAlignment="1">
      <alignment horizontal="center"/>
    </xf>
    <xf numFmtId="165" fontId="31" fillId="0" borderId="10" xfId="26" applyNumberFormat="1" applyFont="1" applyBorder="1" applyAlignment="1">
      <alignment horizontal="left"/>
    </xf>
    <xf numFmtId="165" fontId="32" fillId="0" borderId="10" xfId="26" applyNumberFormat="1" applyFont="1" applyBorder="1" applyAlignment="1">
      <alignment horizontal="center"/>
    </xf>
    <xf numFmtId="0" fontId="0" fillId="32" borderId="15" xfId="0" applyFill="1" applyBorder="1" applyAlignment="1">
      <alignment horizontal="center" wrapText="1"/>
    </xf>
    <xf numFmtId="165" fontId="32" fillId="32" borderId="16" xfId="26" applyNumberFormat="1" applyFont="1" applyFill="1" applyBorder="1" applyAlignment="1">
      <alignment horizontal="center" wrapText="1"/>
    </xf>
    <xf numFmtId="165" fontId="32" fillId="32" borderId="14" xfId="26" applyNumberFormat="1" applyFont="1" applyFill="1" applyBorder="1" applyAlignment="1">
      <alignment horizontal="center" wrapText="1"/>
    </xf>
    <xf numFmtId="165" fontId="31" fillId="33" borderId="15" xfId="26" applyNumberFormat="1" applyFont="1" applyFill="1" applyBorder="1" applyAlignment="1">
      <alignment wrapText="1"/>
    </xf>
    <xf numFmtId="0" fontId="0" fillId="33" borderId="16" xfId="0" applyFont="1" applyFill="1" applyBorder="1" applyAlignment="1">
      <alignment wrapText="1"/>
    </xf>
    <xf numFmtId="0" fontId="0" fillId="33" borderId="14" xfId="0" applyFont="1" applyFill="1" applyBorder="1" applyAlignment="1">
      <alignment wrapText="1"/>
    </xf>
    <xf numFmtId="165" fontId="32" fillId="0" borderId="0" xfId="26" applyNumberFormat="1" applyFont="1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5" fontId="7" fillId="32" borderId="15" xfId="26" applyNumberFormat="1" applyFont="1" applyFill="1" applyBorder="1" applyAlignment="1">
      <alignment horizontal="center" wrapText="1"/>
    </xf>
    <xf numFmtId="165" fontId="7" fillId="32" borderId="16" xfId="26" applyNumberFormat="1" applyFont="1" applyFill="1" applyBorder="1" applyAlignment="1">
      <alignment horizontal="center" wrapText="1"/>
    </xf>
    <xf numFmtId="165" fontId="7" fillId="32" borderId="14" xfId="26" applyNumberFormat="1" applyFont="1" applyFill="1" applyBorder="1" applyAlignment="1">
      <alignment horizontal="center" wrapText="1"/>
    </xf>
    <xf numFmtId="165" fontId="31" fillId="33" borderId="15" xfId="26" applyNumberFormat="1" applyFont="1" applyFill="1" applyBorder="1" applyAlignment="1">
      <alignment horizontal="right" wrapText="1"/>
    </xf>
    <xf numFmtId="0" fontId="0" fillId="33" borderId="16" xfId="0" applyFont="1" applyFill="1" applyBorder="1" applyAlignment="1">
      <alignment horizontal="right" wrapText="1"/>
    </xf>
    <xf numFmtId="0" fontId="0" fillId="33" borderId="14" xfId="0" applyFont="1" applyFill="1" applyBorder="1" applyAlignment="1">
      <alignment horizontal="right" wrapText="1"/>
    </xf>
    <xf numFmtId="0" fontId="7" fillId="25" borderId="0" xfId="0" applyFont="1" applyFill="1" applyAlignment="1">
      <alignment horizontal="center"/>
    </xf>
    <xf numFmtId="0" fontId="0" fillId="32" borderId="16" xfId="0" applyFill="1" applyBorder="1" applyAlignment="1">
      <alignment horizontal="center"/>
    </xf>
    <xf numFmtId="0" fontId="0" fillId="32" borderId="14" xfId="0" applyFill="1" applyBorder="1" applyAlignment="1">
      <alignment horizontal="center"/>
    </xf>
    <xf numFmtId="165" fontId="120" fillId="32" borderId="15" xfId="26" applyNumberFormat="1" applyFont="1" applyFill="1" applyBorder="1" applyAlignment="1">
      <alignment wrapText="1"/>
    </xf>
    <xf numFmtId="165" fontId="120" fillId="32" borderId="16" xfId="26" applyNumberFormat="1" applyFont="1" applyFill="1" applyBorder="1" applyAlignment="1">
      <alignment wrapText="1"/>
    </xf>
    <xf numFmtId="165" fontId="120" fillId="32" borderId="14" xfId="26" applyNumberFormat="1" applyFont="1" applyFill="1" applyBorder="1" applyAlignment="1">
      <alignment wrapText="1"/>
    </xf>
    <xf numFmtId="165" fontId="32" fillId="32" borderId="10" xfId="26" applyNumberFormat="1" applyFont="1" applyFill="1" applyBorder="1" applyAlignment="1">
      <alignment horizontal="center" wrapText="1"/>
    </xf>
    <xf numFmtId="166" fontId="8" fillId="28" borderId="10" xfId="27" applyNumberFormat="1" applyFont="1" applyFill="1" applyBorder="1" applyAlignment="1">
      <alignment horizontal="center"/>
    </xf>
    <xf numFmtId="0" fontId="7" fillId="31" borderId="16" xfId="0" applyFont="1" applyFill="1" applyBorder="1" applyAlignment="1">
      <alignment horizontal="center" textRotation="255"/>
    </xf>
    <xf numFmtId="0" fontId="7" fillId="31" borderId="14" xfId="0" applyFont="1" applyFill="1" applyBorder="1" applyAlignment="1">
      <alignment horizontal="center" textRotation="255"/>
    </xf>
    <xf numFmtId="166" fontId="29" fillId="28" borderId="10" xfId="27" applyNumberFormat="1" applyFont="1" applyFill="1" applyBorder="1" applyAlignment="1">
      <alignment horizontal="center"/>
    </xf>
    <xf numFmtId="0" fontId="55" fillId="0" borderId="64" xfId="42" applyFont="1" applyFill="1" applyBorder="1" applyAlignment="1" applyProtection="1">
      <alignment horizontal="left" vertical="center" indent="1"/>
    </xf>
    <xf numFmtId="0" fontId="55" fillId="0" borderId="62" xfId="42" applyFont="1" applyFill="1" applyBorder="1" applyAlignment="1" applyProtection="1">
      <alignment horizontal="left" vertical="center" indent="1"/>
    </xf>
    <xf numFmtId="0" fontId="55" fillId="0" borderId="63" xfId="42" applyFont="1" applyFill="1" applyBorder="1" applyAlignment="1" applyProtection="1">
      <alignment horizontal="left" vertical="center" inden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24" borderId="11" xfId="0" applyFont="1" applyFill="1" applyBorder="1" applyAlignment="1">
      <alignment horizontal="center"/>
    </xf>
    <xf numFmtId="0" fontId="8" fillId="24" borderId="12" xfId="0" applyFont="1" applyFill="1" applyBorder="1" applyAlignment="1">
      <alignment horizontal="center"/>
    </xf>
    <xf numFmtId="0" fontId="8" fillId="24" borderId="13" xfId="0" applyFont="1" applyFill="1" applyBorder="1" applyAlignment="1">
      <alignment horizontal="center"/>
    </xf>
    <xf numFmtId="0" fontId="110" fillId="0" borderId="61" xfId="0" applyFont="1" applyBorder="1" applyAlignment="1">
      <alignment horizontal="left"/>
    </xf>
    <xf numFmtId="0" fontId="110" fillId="0" borderId="63" xfId="0" applyFont="1" applyBorder="1" applyAlignment="1">
      <alignment horizontal="left"/>
    </xf>
    <xf numFmtId="0" fontId="108" fillId="0" borderId="50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108" fillId="0" borderId="52" xfId="0" applyFont="1" applyBorder="1" applyAlignment="1">
      <alignment horizontal="center" vertical="center"/>
    </xf>
    <xf numFmtId="0" fontId="0" fillId="0" borderId="38" xfId="0" applyBorder="1" applyAlignment="1"/>
    <xf numFmtId="0" fontId="0" fillId="0" borderId="0" xfId="0" applyBorder="1" applyAlignment="1"/>
    <xf numFmtId="0" fontId="0" fillId="0" borderId="39" xfId="0" applyBorder="1" applyAlignment="1"/>
    <xf numFmtId="0" fontId="0" fillId="0" borderId="65" xfId="0" applyBorder="1" applyAlignment="1"/>
    <xf numFmtId="0" fontId="0" fillId="0" borderId="66" xfId="0" applyBorder="1" applyAlignment="1"/>
    <xf numFmtId="0" fontId="0" fillId="0" borderId="67" xfId="0" applyBorder="1" applyAlignment="1"/>
    <xf numFmtId="0" fontId="70" fillId="0" borderId="68" xfId="40" applyFont="1" applyFill="1" applyBorder="1" applyAlignment="1">
      <alignment horizontal="center"/>
    </xf>
    <xf numFmtId="0" fontId="70" fillId="0" borderId="56" xfId="40" applyFont="1" applyFill="1" applyBorder="1" applyAlignment="1">
      <alignment horizontal="center"/>
    </xf>
    <xf numFmtId="0" fontId="109" fillId="0" borderId="36" xfId="40" applyFont="1" applyBorder="1" applyAlignment="1">
      <alignment horizontal="center"/>
    </xf>
    <xf numFmtId="0" fontId="109" fillId="0" borderId="61" xfId="40" applyFont="1" applyBorder="1" applyAlignment="1">
      <alignment horizontal="center"/>
    </xf>
    <xf numFmtId="0" fontId="109" fillId="0" borderId="63" xfId="40" applyFont="1" applyBorder="1" applyAlignment="1">
      <alignment horizontal="center"/>
    </xf>
    <xf numFmtId="0" fontId="109" fillId="0" borderId="0" xfId="0" applyFont="1" applyAlignment="1">
      <alignment horizontal="center"/>
    </xf>
    <xf numFmtId="0" fontId="113" fillId="0" borderId="15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 vertical="center"/>
    </xf>
    <xf numFmtId="0" fontId="109" fillId="0" borderId="60" xfId="0" applyFont="1" applyBorder="1" applyAlignment="1">
      <alignment horizontal="center"/>
    </xf>
    <xf numFmtId="0" fontId="59" fillId="0" borderId="6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 2" xfId="27" xr:uid="{00000000-0005-0000-0000-000020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1" xfId="31" builtinId="29" customBuiltin="1"/>
    <cellStyle name="Jelölőszín 2" xfId="32" builtinId="33" customBuiltin="1"/>
    <cellStyle name="Jelölőszín 3" xfId="33" builtinId="37" customBuiltin="1"/>
    <cellStyle name="Jelölőszín 4" xfId="34" builtinId="41" customBuiltin="1"/>
    <cellStyle name="Jelölőszín 5" xfId="35" builtinId="45" customBuiltin="1"/>
    <cellStyle name="Jelölőszín 6" xfId="36" builtinId="49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 2" xfId="40" xr:uid="{00000000-0005-0000-0000-000028000000}"/>
    <cellStyle name="Normál_Pénzátad." xfId="41" xr:uid="{00000000-0005-0000-0000-000029000000}"/>
    <cellStyle name="Normál_SEGEDLETEK" xfId="42" xr:uid="{00000000-0005-0000-0000-00002A000000}"/>
    <cellStyle name="Normál_Szoc.jutt." xfId="43" xr:uid="{00000000-0005-0000-0000-00002B000000}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85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dvar2014/Ktgv%20Mudvar%202014.%20rende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vetési mérleg"/>
      <sheetName val="Műk-felh.mérleg"/>
      <sheetName val="Bevétel össz."/>
      <sheetName val="Állami"/>
      <sheetName val="Ber.-felú."/>
      <sheetName val="Pénze.átadás"/>
      <sheetName val="Szoc.jutt."/>
      <sheetName val="Önkormányzat"/>
      <sheetName val="Önk.hivatal"/>
      <sheetName val="Eu tám."/>
      <sheetName val="Áth.köt."/>
      <sheetName val="Ktett tám."/>
      <sheetName val="Ei. felh.terv"/>
    </sheetNames>
    <sheetDataSet>
      <sheetData sheetId="0"/>
      <sheetData sheetId="1"/>
      <sheetData sheetId="2"/>
      <sheetData sheetId="3"/>
      <sheetData sheetId="4" refreshError="1">
        <row r="31">
          <cell r="G31">
            <v>0</v>
          </cell>
        </row>
        <row r="37">
          <cell r="G37">
            <v>0</v>
          </cell>
        </row>
        <row r="43">
          <cell r="G43">
            <v>0</v>
          </cell>
        </row>
      </sheetData>
      <sheetData sheetId="5" refreshError="1">
        <row r="20">
          <cell r="G20">
            <v>0</v>
          </cell>
        </row>
        <row r="23">
          <cell r="G23">
            <v>0</v>
          </cell>
        </row>
        <row r="31">
          <cell r="G31">
            <v>0</v>
          </cell>
        </row>
        <row r="35">
          <cell r="G35">
            <v>0</v>
          </cell>
        </row>
      </sheetData>
      <sheetData sheetId="6" refreshError="1">
        <row r="35">
          <cell r="G35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P34"/>
  <sheetViews>
    <sheetView tabSelected="1" workbookViewId="0">
      <selection activeCell="H12" sqref="H12"/>
    </sheetView>
  </sheetViews>
  <sheetFormatPr defaultRowHeight="12.75" x14ac:dyDescent="0.2"/>
  <cols>
    <col min="1" max="1" width="6.28515625" customWidth="1"/>
    <col min="2" max="2" width="44.7109375" customWidth="1"/>
    <col min="3" max="3" width="14.5703125" hidden="1" customWidth="1"/>
    <col min="4" max="4" width="13.140625" hidden="1" customWidth="1"/>
    <col min="5" max="5" width="14" hidden="1" customWidth="1"/>
    <col min="6" max="8" width="20.7109375" customWidth="1"/>
    <col min="9" max="9" width="7" customWidth="1"/>
    <col min="10" max="10" width="47" customWidth="1"/>
    <col min="11" max="11" width="14.42578125" hidden="1" customWidth="1"/>
    <col min="12" max="13" width="14.5703125" hidden="1" customWidth="1"/>
    <col min="14" max="16" width="21.5703125" customWidth="1"/>
  </cols>
  <sheetData>
    <row r="1" spans="1:16" ht="24.95" customHeight="1" x14ac:dyDescent="0.25">
      <c r="A1" s="880"/>
      <c r="B1" s="885" t="s">
        <v>88</v>
      </c>
      <c r="C1" s="882" t="s">
        <v>53</v>
      </c>
      <c r="D1" s="883"/>
      <c r="E1" s="884"/>
      <c r="F1" s="77" t="s">
        <v>730</v>
      </c>
      <c r="G1" s="77" t="s">
        <v>726</v>
      </c>
      <c r="H1" s="77" t="s">
        <v>726</v>
      </c>
      <c r="I1" s="878"/>
      <c r="J1" s="885" t="s">
        <v>9</v>
      </c>
      <c r="K1" s="875" t="s">
        <v>53</v>
      </c>
      <c r="L1" s="876"/>
      <c r="M1" s="877"/>
      <c r="N1" s="77" t="s">
        <v>730</v>
      </c>
      <c r="O1" s="802" t="s">
        <v>726</v>
      </c>
      <c r="P1" s="847" t="s">
        <v>726</v>
      </c>
    </row>
    <row r="2" spans="1:16" ht="24.95" customHeight="1" x14ac:dyDescent="0.25">
      <c r="A2" s="881"/>
      <c r="B2" s="885"/>
      <c r="C2" s="94" t="s">
        <v>59</v>
      </c>
      <c r="D2" s="94" t="s">
        <v>395</v>
      </c>
      <c r="E2" s="94" t="s">
        <v>73</v>
      </c>
      <c r="F2" s="78" t="s">
        <v>430</v>
      </c>
      <c r="G2" s="78" t="s">
        <v>742</v>
      </c>
      <c r="H2" s="78" t="s">
        <v>789</v>
      </c>
      <c r="I2" s="879"/>
      <c r="J2" s="885"/>
      <c r="K2" s="94" t="s">
        <v>59</v>
      </c>
      <c r="L2" s="94" t="s">
        <v>415</v>
      </c>
      <c r="M2" s="94" t="s">
        <v>73</v>
      </c>
      <c r="N2" s="78" t="s">
        <v>430</v>
      </c>
      <c r="O2" s="802" t="s">
        <v>742</v>
      </c>
      <c r="P2" s="847" t="s">
        <v>764</v>
      </c>
    </row>
    <row r="3" spans="1:16" ht="24.95" customHeight="1" x14ac:dyDescent="0.25">
      <c r="A3" s="210" t="s">
        <v>329</v>
      </c>
      <c r="B3" s="2" t="s">
        <v>322</v>
      </c>
      <c r="C3" s="135">
        <f>SUM('Bevétel össz.'!C9)</f>
        <v>0</v>
      </c>
      <c r="D3" s="135">
        <f>SUM('Bevétel össz.'!D9)</f>
        <v>0</v>
      </c>
      <c r="E3" s="135">
        <f>SUM('Bevétel össz.'!E9)</f>
        <v>0</v>
      </c>
      <c r="F3" s="198">
        <f>SUM('Bevétel össz.'!F9)</f>
        <v>54861068</v>
      </c>
      <c r="G3" s="198">
        <f>'Műk-felh.mérleg'!G4</f>
        <v>55699940</v>
      </c>
      <c r="H3" s="198">
        <f>'Műk-felh.mérleg'!H4</f>
        <v>59199501</v>
      </c>
      <c r="I3" s="144" t="s">
        <v>170</v>
      </c>
      <c r="J3" s="151" t="s">
        <v>2</v>
      </c>
      <c r="K3" s="245" t="e">
        <f>SUM('Kiadás ktgvszervenként'!#REF!)</f>
        <v>#REF!</v>
      </c>
      <c r="L3" s="245" t="e">
        <f>SUM('Kiadás ktgvszervenként'!#REF!)</f>
        <v>#REF!</v>
      </c>
      <c r="M3" s="245" t="e">
        <f>SUM('Kiadás ktgvszervenként'!#REF!)</f>
        <v>#REF!</v>
      </c>
      <c r="N3" s="229">
        <f>SUM('Kiadás ktgvszervenként'!U6)</f>
        <v>76999735</v>
      </c>
      <c r="O3" s="229">
        <f>'Műk-felh.mérleg'!P4</f>
        <v>77268436</v>
      </c>
      <c r="P3" s="229">
        <f>'Műk-felh.mérleg'!Q4</f>
        <v>85925465</v>
      </c>
    </row>
    <row r="4" spans="1:16" ht="24.95" customHeight="1" x14ac:dyDescent="0.25">
      <c r="A4" s="210" t="s">
        <v>330</v>
      </c>
      <c r="B4" s="2" t="s">
        <v>416</v>
      </c>
      <c r="C4" s="240">
        <f>SUM('Bevétel össz.'!C14)</f>
        <v>0</v>
      </c>
      <c r="D4" s="240">
        <f>SUM('Bevétel össz.'!D14)</f>
        <v>0</v>
      </c>
      <c r="E4" s="240">
        <f>SUM('Bevétel össz.'!E14)</f>
        <v>0</v>
      </c>
      <c r="F4" s="28">
        <f>SUM('Bevétel össz.'!F14)</f>
        <v>19117600</v>
      </c>
      <c r="G4" s="198">
        <f>'Műk-felh.mérleg'!G5</f>
        <v>19117600</v>
      </c>
      <c r="H4" s="198">
        <f>'Műk-felh.mérleg'!H5</f>
        <v>24478014</v>
      </c>
      <c r="I4" s="144" t="s">
        <v>175</v>
      </c>
      <c r="J4" s="151" t="s">
        <v>58</v>
      </c>
      <c r="K4" s="245" t="e">
        <f>SUM('Kiadás ktgvszervenként'!#REF!)</f>
        <v>#REF!</v>
      </c>
      <c r="L4" s="245" t="e">
        <f>SUM('Kiadás ktgvszervenként'!#REF!)</f>
        <v>#REF!</v>
      </c>
      <c r="M4" s="245" t="e">
        <f>SUM('Kiadás ktgvszervenként'!#REF!)</f>
        <v>#REF!</v>
      </c>
      <c r="N4" s="229">
        <f>SUM('Kiadás ktgvszervenként'!U7)</f>
        <v>15734031</v>
      </c>
      <c r="O4" s="229">
        <f>'Műk-felh.mérleg'!P5</f>
        <v>15787642</v>
      </c>
      <c r="P4" s="229">
        <f>'Műk-felh.mérleg'!Q5</f>
        <v>17127901</v>
      </c>
    </row>
    <row r="5" spans="1:16" ht="24.95" customHeight="1" x14ac:dyDescent="0.25">
      <c r="A5" s="212" t="s">
        <v>321</v>
      </c>
      <c r="B5" s="151" t="s">
        <v>431</v>
      </c>
      <c r="C5" s="225">
        <f>SUM(C3:C4)</f>
        <v>0</v>
      </c>
      <c r="D5" s="144">
        <f>SUM(D3:D4)</f>
        <v>0</v>
      </c>
      <c r="E5" s="225">
        <f>SUM(E3:E4)</f>
        <v>0</v>
      </c>
      <c r="F5" s="229">
        <f>SUM(F3:F4)</f>
        <v>73978668</v>
      </c>
      <c r="G5" s="229">
        <f>G3+G4</f>
        <v>74817540</v>
      </c>
      <c r="H5" s="229">
        <f>H3+H4</f>
        <v>83677515</v>
      </c>
      <c r="I5" s="144" t="s">
        <v>235</v>
      </c>
      <c r="J5" s="151" t="s">
        <v>3</v>
      </c>
      <c r="K5" s="245" t="e">
        <f>SUM('Kiadás ktgvszervenként'!#REF!)</f>
        <v>#REF!</v>
      </c>
      <c r="L5" s="245" t="e">
        <f>SUM('Kiadás ktgvszervenként'!#REF!)</f>
        <v>#REF!</v>
      </c>
      <c r="M5" s="245" t="e">
        <f>SUM('Kiadás ktgvszervenként'!#REF!)</f>
        <v>#REF!</v>
      </c>
      <c r="N5" s="229">
        <f>SUM('Kiadás ktgvszervenként'!U8)</f>
        <v>84136650</v>
      </c>
      <c r="O5" s="229">
        <f>'Műk-felh.mérleg'!P6</f>
        <v>84764650</v>
      </c>
      <c r="P5" s="229">
        <f>'Műk-felh.mérleg'!Q6</f>
        <v>90211968</v>
      </c>
    </row>
    <row r="6" spans="1:16" ht="24.95" customHeight="1" x14ac:dyDescent="0.25">
      <c r="A6" s="210" t="s">
        <v>334</v>
      </c>
      <c r="B6" s="2" t="s">
        <v>417</v>
      </c>
      <c r="C6" s="240">
        <f>SUM('Bevétel össz.'!C16)</f>
        <v>0</v>
      </c>
      <c r="D6" s="240">
        <f>SUM('Bevétel össz.'!D16)</f>
        <v>0</v>
      </c>
      <c r="E6" s="240">
        <f>SUM('Bevétel össz.'!E16)</f>
        <v>0</v>
      </c>
      <c r="F6" s="231">
        <f>SUM('Bevétel össz.'!F16)</f>
        <v>4104815</v>
      </c>
      <c r="G6" s="231">
        <f>'Műk-felh.mérleg'!G18</f>
        <v>4104815</v>
      </c>
      <c r="H6" s="231">
        <f>'Műk-felh.mérleg'!H18</f>
        <v>7593025</v>
      </c>
      <c r="I6" s="144" t="s">
        <v>267</v>
      </c>
      <c r="J6" s="151" t="s">
        <v>4</v>
      </c>
      <c r="K6" s="245" t="e">
        <f>SUM('Kiadás ktgvszervenként'!#REF!)</f>
        <v>#REF!</v>
      </c>
      <c r="L6" s="245" t="e">
        <f>SUM('Kiadás ktgvszervenként'!#REF!)</f>
        <v>#REF!</v>
      </c>
      <c r="M6" s="245" t="e">
        <f>SUM('Kiadás ktgvszervenként'!#REF!)</f>
        <v>#REF!</v>
      </c>
      <c r="N6" s="229">
        <f>SUM('Kiadás ktgvszervenként'!U9)</f>
        <v>4736800</v>
      </c>
      <c r="O6" s="229">
        <f>'Műk-felh.mérleg'!P7</f>
        <v>4736800</v>
      </c>
      <c r="P6" s="229">
        <f>'Műk-felh.mérleg'!Q7</f>
        <v>7236521</v>
      </c>
    </row>
    <row r="7" spans="1:16" ht="24.95" customHeight="1" x14ac:dyDescent="0.25">
      <c r="A7" s="216" t="s">
        <v>332</v>
      </c>
      <c r="B7" s="2" t="s">
        <v>418</v>
      </c>
      <c r="C7" s="240">
        <f>SUM('Bevétel össz.'!C20)</f>
        <v>0</v>
      </c>
      <c r="D7" s="240">
        <f>SUM('Bevétel össz.'!D20)</f>
        <v>0</v>
      </c>
      <c r="E7" s="240">
        <f>SUM('Bevétel össz.'!E20)</f>
        <v>0</v>
      </c>
      <c r="F7" s="231">
        <f>SUM('Bevétel össz.'!F20)</f>
        <v>0</v>
      </c>
      <c r="G7" s="231"/>
      <c r="H7" s="231"/>
      <c r="I7" s="602" t="s">
        <v>606</v>
      </c>
      <c r="J7" s="603" t="s">
        <v>269</v>
      </c>
      <c r="K7" s="227" t="e">
        <f>SUM('Kiadás ktgvszervenként'!#REF!)</f>
        <v>#REF!</v>
      </c>
      <c r="L7" s="241" t="e">
        <f>SUM('Kiadás ktgvszervenként'!#REF!)</f>
        <v>#REF!</v>
      </c>
      <c r="M7" s="227" t="e">
        <f>SUM('Kiadás ktgvszervenként'!#REF!)</f>
        <v>#REF!</v>
      </c>
      <c r="N7" s="230">
        <f>SUM('Kiadás ktgvszervenként'!F10)</f>
        <v>10555551</v>
      </c>
      <c r="O7" s="229">
        <f>'Műk-felh.mérleg'!P8</f>
        <v>10555551</v>
      </c>
      <c r="P7" s="229">
        <f>'Műk-felh.mérleg'!Q8</f>
        <v>10555551</v>
      </c>
    </row>
    <row r="8" spans="1:16" ht="24.95" customHeight="1" x14ac:dyDescent="0.25">
      <c r="A8" s="217" t="s">
        <v>333</v>
      </c>
      <c r="B8" s="151" t="s">
        <v>420</v>
      </c>
      <c r="C8" s="144">
        <f>SUM(C6:C7)</f>
        <v>0</v>
      </c>
      <c r="D8" s="144">
        <f>SUM(D6:D7)</f>
        <v>0</v>
      </c>
      <c r="E8" s="225">
        <f>SUM(E6:E7)</f>
        <v>0</v>
      </c>
      <c r="F8" s="229">
        <f>SUM(F6:F7)</f>
        <v>4104815</v>
      </c>
      <c r="G8" s="229">
        <f>SUM(G6:G7)</f>
        <v>4104815</v>
      </c>
      <c r="H8" s="229">
        <f>'Műk-felh.mérleg'!H20</f>
        <v>7593025</v>
      </c>
      <c r="I8" s="223" t="s">
        <v>270</v>
      </c>
      <c r="J8" s="83" t="s">
        <v>306</v>
      </c>
      <c r="K8" s="227" t="e">
        <f>SUM('Kiadás ktgvszervenként'!#REF!)</f>
        <v>#REF!</v>
      </c>
      <c r="L8" s="241" t="e">
        <f>SUM('Kiadás ktgvszervenként'!#REF!)</f>
        <v>#REF!</v>
      </c>
      <c r="M8" s="227" t="e">
        <f>SUM('Kiadás ktgvszervenként'!#REF!)</f>
        <v>#REF!</v>
      </c>
      <c r="N8" s="230">
        <f>SUM('Kiadás ktgvszervenként'!F11)</f>
        <v>15567267</v>
      </c>
      <c r="O8" s="229">
        <f>'Műk-felh.mérleg'!P9</f>
        <v>15577267</v>
      </c>
      <c r="P8" s="229">
        <f>'Műk-felh.mérleg'!Q9</f>
        <v>17440719</v>
      </c>
    </row>
    <row r="9" spans="1:16" ht="24.95" customHeight="1" x14ac:dyDescent="0.25">
      <c r="A9" s="218" t="s">
        <v>336</v>
      </c>
      <c r="B9" s="233" t="s">
        <v>437</v>
      </c>
      <c r="C9" s="240">
        <f>SUM('Bevétel össz.'!C22)</f>
        <v>0</v>
      </c>
      <c r="D9" s="240">
        <f>SUM('Bevétel össz.'!D22)</f>
        <v>0</v>
      </c>
      <c r="E9" s="240">
        <f>SUM('Bevétel össz.'!E22)</f>
        <v>0</v>
      </c>
      <c r="F9" s="231">
        <f>SUM('Bevétel össz.'!F22)</f>
        <v>2000000</v>
      </c>
      <c r="G9" s="231">
        <f>'Bevétel össz.'!L22</f>
        <v>2000000</v>
      </c>
      <c r="H9" s="231">
        <f>'Bevétel össz.'!M22</f>
        <v>2000000</v>
      </c>
      <c r="I9" s="209" t="s">
        <v>268</v>
      </c>
      <c r="J9" s="142" t="s">
        <v>738</v>
      </c>
      <c r="K9" s="227" t="e">
        <f>SUM('Kiadás ktgvszervenként'!#REF!)</f>
        <v>#REF!</v>
      </c>
      <c r="L9" s="241" t="e">
        <f>SUM('Kiadás ktgvszervenként'!#REF!)</f>
        <v>#REF!</v>
      </c>
      <c r="M9" s="227" t="e">
        <f>SUM('Kiadás ktgvszervenként'!#REF!)</f>
        <v>#REF!</v>
      </c>
      <c r="N9" s="230">
        <f>SUM('Kiadás ktgvszervenként'!F12)</f>
        <v>0</v>
      </c>
      <c r="O9" s="229">
        <f>'Műk-felh.mérleg'!P10</f>
        <v>75072</v>
      </c>
      <c r="P9" s="229">
        <f>'Műk-felh.mérleg'!Q10</f>
        <v>75072</v>
      </c>
    </row>
    <row r="10" spans="1:16" ht="24.95" customHeight="1" x14ac:dyDescent="0.25">
      <c r="A10" s="218" t="s">
        <v>338</v>
      </c>
      <c r="B10" s="233" t="s">
        <v>438</v>
      </c>
      <c r="C10" s="240">
        <f>SUM('Bevétel össz.'!C23)</f>
        <v>0</v>
      </c>
      <c r="D10" s="240">
        <f>SUM('Bevétel össz.'!D23)</f>
        <v>0</v>
      </c>
      <c r="E10" s="240">
        <f>SUM('Bevétel össz.'!E23)</f>
        <v>0</v>
      </c>
      <c r="F10" s="231">
        <f>SUM('Bevétel össz.'!F23)</f>
        <v>7000000</v>
      </c>
      <c r="G10" s="231">
        <f>'Bevétel össz.'!L23</f>
        <v>7000000</v>
      </c>
      <c r="H10" s="231">
        <f>'Bevétel össz.'!M23</f>
        <v>7000000</v>
      </c>
      <c r="I10" s="209" t="s">
        <v>274</v>
      </c>
      <c r="J10" s="83" t="s">
        <v>308</v>
      </c>
      <c r="K10" s="227" t="e">
        <f>SUM('Kiadás ktgvszervenként'!#REF!)</f>
        <v>#REF!</v>
      </c>
      <c r="L10" s="241" t="e">
        <f>SUM('Kiadás ktgvszervenként'!#REF!)</f>
        <v>#REF!</v>
      </c>
      <c r="M10" s="227" t="e">
        <f>SUM('Kiadás ktgvszervenként'!#REF!)</f>
        <v>#REF!</v>
      </c>
      <c r="N10" s="230">
        <f>SUM('Kiadás ktgvszervenként'!F13)</f>
        <v>13569268</v>
      </c>
      <c r="O10" s="229">
        <f>'Műk-felh.mérleg'!P11</f>
        <v>13664518</v>
      </c>
      <c r="P10" s="229">
        <f>'Műk-felh.mérleg'!Q11</f>
        <v>17017445</v>
      </c>
    </row>
    <row r="11" spans="1:16" ht="24.95" customHeight="1" x14ac:dyDescent="0.25">
      <c r="A11" s="1" t="s">
        <v>640</v>
      </c>
      <c r="B11" s="554" t="s">
        <v>593</v>
      </c>
      <c r="C11" s="205"/>
      <c r="D11" s="204"/>
      <c r="E11" s="204"/>
      <c r="F11" s="677">
        <f>SUM(Önkormányzat!F113)</f>
        <v>1500000</v>
      </c>
      <c r="G11" s="231">
        <v>1500000</v>
      </c>
      <c r="H11" s="231">
        <v>1500000</v>
      </c>
      <c r="I11" s="144" t="s">
        <v>278</v>
      </c>
      <c r="J11" s="151" t="s">
        <v>426</v>
      </c>
      <c r="K11" s="144"/>
      <c r="L11" s="144"/>
      <c r="M11" s="144"/>
      <c r="N11" s="81">
        <f>SUM(N7:N10)</f>
        <v>39692086</v>
      </c>
      <c r="O11" s="81">
        <f>O7+O8+O9+O10</f>
        <v>39872408</v>
      </c>
      <c r="P11" s="81">
        <f>P7+P8+P9+P10</f>
        <v>45088787</v>
      </c>
    </row>
    <row r="12" spans="1:16" ht="24.95" customHeight="1" x14ac:dyDescent="0.25">
      <c r="A12" s="1" t="s">
        <v>640</v>
      </c>
      <c r="B12" s="554" t="s">
        <v>594</v>
      </c>
      <c r="C12" s="205"/>
      <c r="D12" s="204"/>
      <c r="E12" s="204"/>
      <c r="F12" s="677">
        <f>SUM(Önkormányzat!F112)</f>
        <v>4200000</v>
      </c>
      <c r="G12" s="231">
        <f>'Bevétel össz.'!L25</f>
        <v>4200000</v>
      </c>
      <c r="H12" s="231">
        <f>'Bevétel össz.'!M25</f>
        <v>4200000</v>
      </c>
      <c r="I12" s="144"/>
      <c r="J12" s="151"/>
      <c r="K12" s="144"/>
      <c r="L12" s="144"/>
      <c r="M12" s="144"/>
      <c r="N12" s="81"/>
      <c r="O12" s="81"/>
      <c r="P12" s="229"/>
    </row>
    <row r="13" spans="1:16" ht="24.95" customHeight="1" x14ac:dyDescent="0.25">
      <c r="A13" s="218" t="s">
        <v>340</v>
      </c>
      <c r="B13" s="234" t="s">
        <v>439</v>
      </c>
      <c r="C13" s="240">
        <f>SUM('Bevétel össz.'!C24)</f>
        <v>0</v>
      </c>
      <c r="D13" s="240">
        <f>SUM('Bevétel össz.'!D24)</f>
        <v>0</v>
      </c>
      <c r="E13" s="240">
        <f>SUM('Bevétel össz.'!E24)</f>
        <v>0</v>
      </c>
      <c r="F13" s="231">
        <f>SUM('Bevétel össz.'!F24)</f>
        <v>140000000</v>
      </c>
      <c r="G13" s="231">
        <v>140000000</v>
      </c>
      <c r="H13" s="231">
        <v>140000000</v>
      </c>
      <c r="I13" s="221" t="s">
        <v>249</v>
      </c>
      <c r="J13" s="222" t="s">
        <v>5</v>
      </c>
      <c r="K13" s="245" t="e">
        <f>SUM('Kiadás ktgvszervenként'!#REF!)</f>
        <v>#REF!</v>
      </c>
      <c r="L13" s="245" t="e">
        <f>SUM('Kiadás ktgvszervenként'!#REF!)</f>
        <v>#REF!</v>
      </c>
      <c r="M13" s="245" t="e">
        <f>SUM('Kiadás ktgvszervenként'!#REF!)</f>
        <v>#REF!</v>
      </c>
      <c r="N13" s="229">
        <f>SUM('Kiadás ktgvszervenként'!U15)</f>
        <v>29690960</v>
      </c>
      <c r="O13" s="229">
        <f>'Műk-felh.mérleg'!P18</f>
        <v>42750161</v>
      </c>
      <c r="P13" s="229">
        <f>'Műk-felh.mérleg'!Q18</f>
        <v>40628282</v>
      </c>
    </row>
    <row r="14" spans="1:16" ht="24.95" customHeight="1" x14ac:dyDescent="0.25">
      <c r="A14" s="218" t="s">
        <v>342</v>
      </c>
      <c r="B14" s="90" t="s">
        <v>344</v>
      </c>
      <c r="C14" s="240">
        <f>SUM('Bevétel össz.'!C27)</f>
        <v>0</v>
      </c>
      <c r="D14" s="240">
        <f>SUM('Bevétel össz.'!D27)</f>
        <v>0</v>
      </c>
      <c r="E14" s="240">
        <f>SUM('Bevétel össz.'!E27)</f>
        <v>0</v>
      </c>
      <c r="F14" s="231">
        <f>SUM('Bevétel össz.'!F27)</f>
        <v>6000000</v>
      </c>
      <c r="G14" s="231">
        <f>'Bevétel össz.'!L27</f>
        <v>6000000</v>
      </c>
      <c r="H14" s="231">
        <f>'Bevétel össz.'!M27</f>
        <v>6000000</v>
      </c>
      <c r="I14" s="221" t="s">
        <v>255</v>
      </c>
      <c r="J14" s="222" t="s">
        <v>65</v>
      </c>
      <c r="K14" s="245" t="e">
        <f>SUM('Kiadás ktgvszervenként'!#REF!)</f>
        <v>#REF!</v>
      </c>
      <c r="L14" s="245" t="e">
        <f>SUM('Kiadás ktgvszervenként'!#REF!)</f>
        <v>#REF!</v>
      </c>
      <c r="M14" s="245" t="e">
        <f>SUM('Kiadás ktgvszervenként'!#REF!)</f>
        <v>#REF!</v>
      </c>
      <c r="N14" s="229">
        <f>SUM('Kiadás ktgvszervenként'!U16)</f>
        <v>72211298</v>
      </c>
      <c r="O14" s="229">
        <f>'Műk-felh.mérleg'!P19</f>
        <v>72465298</v>
      </c>
      <c r="P14" s="229">
        <f>'Műk-felh.mérleg'!Q19</f>
        <v>80080023</v>
      </c>
    </row>
    <row r="15" spans="1:16" ht="24.95" customHeight="1" x14ac:dyDescent="0.25">
      <c r="A15" s="218" t="s">
        <v>343</v>
      </c>
      <c r="B15" s="234" t="s">
        <v>440</v>
      </c>
      <c r="C15" s="240">
        <f>SUM('Bevétel össz.'!C28)</f>
        <v>0</v>
      </c>
      <c r="D15" s="240">
        <f>SUM('Bevétel össz.'!D28)</f>
        <v>0</v>
      </c>
      <c r="E15" s="240">
        <f>SUM('Bevétel össz.'!E28)</f>
        <v>0</v>
      </c>
      <c r="F15" s="231">
        <f>SUM('Bevétel össz.'!F28)</f>
        <v>200000</v>
      </c>
      <c r="G15" s="231">
        <f>'Bevétel össz.'!L28</f>
        <v>200000</v>
      </c>
      <c r="H15" s="231">
        <f>'Bevétel össz.'!M28</f>
        <v>200000</v>
      </c>
      <c r="I15" s="2" t="s">
        <v>257</v>
      </c>
      <c r="J15" s="83" t="s">
        <v>313</v>
      </c>
      <c r="K15" s="227" t="e">
        <f>SUM('Kiadás ktgvszervenként'!#REF!)</f>
        <v>#REF!</v>
      </c>
      <c r="L15" s="227" t="e">
        <f>SUM('Kiadás ktgvszervenként'!#REF!)</f>
        <v>#REF!</v>
      </c>
      <c r="M15" s="227" t="e">
        <f>SUM('Kiadás ktgvszervenként'!#REF!)</f>
        <v>#REF!</v>
      </c>
      <c r="N15" s="230">
        <f>SUM('Kiadás ktgvszervenként'!U17)</f>
        <v>0</v>
      </c>
      <c r="O15" s="230"/>
      <c r="P15" s="230"/>
    </row>
    <row r="16" spans="1:16" ht="24.95" customHeight="1" x14ac:dyDescent="0.25">
      <c r="A16" s="218"/>
      <c r="B16" s="211" t="s">
        <v>346</v>
      </c>
      <c r="C16" s="240">
        <f>SUM('Bevétel össz.'!C29)</f>
        <v>0</v>
      </c>
      <c r="D16" s="240">
        <f>SUM('Bevétel össz.'!D29)</f>
        <v>0</v>
      </c>
      <c r="E16" s="240">
        <f>SUM('Bevétel össz.'!E29)</f>
        <v>0</v>
      </c>
      <c r="F16" s="231">
        <f>SUM('Bevétel össz.'!F29)</f>
        <v>15000</v>
      </c>
      <c r="G16" s="231">
        <f>'Bevétel össz.'!L29</f>
        <v>15000</v>
      </c>
      <c r="H16" s="231">
        <f>'Bevétel össz.'!M29</f>
        <v>15000</v>
      </c>
      <c r="I16" s="2" t="s">
        <v>258</v>
      </c>
      <c r="J16" s="83" t="s">
        <v>314</v>
      </c>
      <c r="K16" s="227" t="e">
        <f>SUM('Kiadás ktgvszervenként'!#REF!)</f>
        <v>#REF!</v>
      </c>
      <c r="L16" s="227" t="e">
        <f>SUM('Kiadás ktgvszervenként'!#REF!)</f>
        <v>#REF!</v>
      </c>
      <c r="M16" s="227" t="e">
        <f>SUM('Kiadás ktgvszervenként'!#REF!)</f>
        <v>#REF!</v>
      </c>
      <c r="N16" s="230">
        <f>SUM('Kiadás ktgvszervenként'!U18)</f>
        <v>0</v>
      </c>
      <c r="O16" s="230"/>
      <c r="P16" s="230"/>
    </row>
    <row r="17" spans="1:16" ht="24.95" customHeight="1" x14ac:dyDescent="0.25">
      <c r="A17" s="217" t="s">
        <v>347</v>
      </c>
      <c r="B17" s="151" t="s">
        <v>419</v>
      </c>
      <c r="C17" s="225">
        <f>SUM(C9:C16)</f>
        <v>0</v>
      </c>
      <c r="D17" s="228">
        <f>SUM(D9:D16)</f>
        <v>0</v>
      </c>
      <c r="E17" s="225">
        <f>SUM(E9:E16)</f>
        <v>0</v>
      </c>
      <c r="F17" s="229">
        <f>SUM(F9:F16)</f>
        <v>160915000</v>
      </c>
      <c r="G17" s="229">
        <f>G9+G10+G11+G12+G13+G14+G15+G16</f>
        <v>160915000</v>
      </c>
      <c r="H17" s="229">
        <f>H9+H10+H11+H12+H13+H14+H15+H16</f>
        <v>160915000</v>
      </c>
      <c r="I17" s="2" t="s">
        <v>259</v>
      </c>
      <c r="J17" s="83" t="s">
        <v>315</v>
      </c>
      <c r="K17" s="227" t="e">
        <f>SUM('Kiadás ktgvszervenként'!#REF!)</f>
        <v>#REF!</v>
      </c>
      <c r="L17" s="227" t="e">
        <f>SUM('Kiadás ktgvszervenként'!#REF!)</f>
        <v>#REF!</v>
      </c>
      <c r="M17" s="227" t="e">
        <f>SUM('Kiadás ktgvszervenként'!#REF!)</f>
        <v>#REF!</v>
      </c>
      <c r="N17" s="230">
        <f>SUM('Kiadás ktgvszervenként'!U19)</f>
        <v>0</v>
      </c>
      <c r="O17" s="230"/>
      <c r="P17" s="230"/>
    </row>
    <row r="18" spans="1:16" ht="24.95" customHeight="1" x14ac:dyDescent="0.25">
      <c r="A18" s="212" t="s">
        <v>349</v>
      </c>
      <c r="B18" s="151" t="s">
        <v>112</v>
      </c>
      <c r="C18" s="225" t="e">
        <f>SUM('Bevétel össz.'!C40)</f>
        <v>#REF!</v>
      </c>
      <c r="D18" s="228" t="e">
        <f>SUM('Bevétel össz.'!D40)</f>
        <v>#REF!</v>
      </c>
      <c r="E18" s="225" t="e">
        <f>SUM('Bevétel össz.'!E40)</f>
        <v>#REF!</v>
      </c>
      <c r="F18" s="229">
        <f>SUM('Bevétel össz.'!F40)</f>
        <v>15537484</v>
      </c>
      <c r="G18" s="229">
        <f>'Bevétel össz.'!L40</f>
        <v>15537484</v>
      </c>
      <c r="H18" s="229">
        <f>'Műk-felh.mérleg'!H9</f>
        <v>16946032</v>
      </c>
      <c r="I18" s="144" t="s">
        <v>261</v>
      </c>
      <c r="J18" s="151" t="s">
        <v>427</v>
      </c>
      <c r="K18" s="144" t="e">
        <f>SUM(K15:K17)</f>
        <v>#REF!</v>
      </c>
      <c r="L18" s="144" t="e">
        <f>SUM(L15:L17)</f>
        <v>#REF!</v>
      </c>
      <c r="M18" s="144" t="e">
        <f>SUM(M15:M17)</f>
        <v>#REF!</v>
      </c>
      <c r="N18" s="81">
        <f>SUM(N15:N17)</f>
        <v>0</v>
      </c>
      <c r="O18" s="81"/>
      <c r="P18" s="81"/>
    </row>
    <row r="19" spans="1:16" ht="24.95" customHeight="1" x14ac:dyDescent="0.25">
      <c r="A19" s="212" t="s">
        <v>421</v>
      </c>
      <c r="B19" s="151" t="s">
        <v>422</v>
      </c>
      <c r="C19" s="225">
        <f>SUM('Bevétel össz.'!C43)</f>
        <v>0</v>
      </c>
      <c r="D19" s="228">
        <f>SUM('Bevétel össz.'!D43)</f>
        <v>0</v>
      </c>
      <c r="E19" s="225">
        <f>SUM('Bevétel össz.'!E43)</f>
        <v>0</v>
      </c>
      <c r="F19" s="229">
        <f>SUM('Bevétel össz.'!F43)</f>
        <v>0</v>
      </c>
      <c r="G19" s="229"/>
      <c r="H19" s="229"/>
      <c r="I19" s="5" t="s">
        <v>276</v>
      </c>
      <c r="J19" s="83" t="s">
        <v>62</v>
      </c>
      <c r="K19" s="240" t="e">
        <f>SUM('Kiadás ktgvszervenként'!#REF!)</f>
        <v>#REF!</v>
      </c>
      <c r="L19" s="240" t="e">
        <f>SUM('Kiadás ktgvszervenként'!#REF!)</f>
        <v>#REF!</v>
      </c>
      <c r="M19" s="240" t="e">
        <f>SUM('Kiadás ktgvszervenként'!#REF!)</f>
        <v>#REF!</v>
      </c>
      <c r="N19" s="231">
        <f>SUM('Kiadás ktgvszervenként'!U21)</f>
        <v>99231341</v>
      </c>
      <c r="O19" s="231">
        <f>'Műk-felh.mérleg'!P13</f>
        <v>85626378</v>
      </c>
      <c r="P19" s="231">
        <f>'Műk-felh.mérleg'!Q13</f>
        <v>60729559</v>
      </c>
    </row>
    <row r="20" spans="1:16" ht="24.95" customHeight="1" x14ac:dyDescent="0.25">
      <c r="A20" s="219" t="s">
        <v>372</v>
      </c>
      <c r="B20" s="83" t="s">
        <v>432</v>
      </c>
      <c r="C20" s="232">
        <f>SUM('Bevétel össz.'!C44)</f>
        <v>0</v>
      </c>
      <c r="D20" s="232">
        <f>SUM('Bevétel össz.'!D44)</f>
        <v>0</v>
      </c>
      <c r="E20" s="242">
        <f>SUM('Bevétel össz.'!E44)</f>
        <v>0</v>
      </c>
      <c r="F20" s="231">
        <f>SUM('Bevétel össz.'!F44)</f>
        <v>0</v>
      </c>
      <c r="G20" s="231"/>
      <c r="H20" s="231"/>
      <c r="I20" s="7"/>
      <c r="J20" s="215"/>
      <c r="K20" s="12"/>
      <c r="L20" s="12"/>
      <c r="M20" s="12"/>
      <c r="N20" s="28"/>
      <c r="O20" s="28"/>
      <c r="P20" s="28"/>
    </row>
    <row r="21" spans="1:16" ht="24.95" customHeight="1" x14ac:dyDescent="0.25">
      <c r="A21" s="219" t="s">
        <v>374</v>
      </c>
      <c r="B21" s="83" t="s">
        <v>433</v>
      </c>
      <c r="C21" s="232">
        <f>SUM('Bevétel össz.'!C45)</f>
        <v>0</v>
      </c>
      <c r="D21" s="232">
        <f>SUM('Bevétel össz.'!D45)</f>
        <v>0</v>
      </c>
      <c r="E21" s="242">
        <f>SUM('Bevétel össz.'!E45)</f>
        <v>0</v>
      </c>
      <c r="F21" s="231">
        <f>SUM('Bevétel össz.'!F45)</f>
        <v>0</v>
      </c>
      <c r="G21" s="231"/>
      <c r="H21" s="231"/>
      <c r="I21" s="7"/>
      <c r="J21" s="2"/>
      <c r="K21" s="11"/>
      <c r="L21" s="12"/>
      <c r="M21" s="11"/>
      <c r="N21" s="28"/>
      <c r="O21" s="28"/>
      <c r="P21" s="28"/>
    </row>
    <row r="22" spans="1:16" ht="24.95" customHeight="1" x14ac:dyDescent="0.25">
      <c r="A22" s="220" t="s">
        <v>376</v>
      </c>
      <c r="B22" s="153" t="s">
        <v>434</v>
      </c>
      <c r="C22" s="228">
        <f>SUM(C20:C21)</f>
        <v>0</v>
      </c>
      <c r="D22" s="228">
        <f>SUM(D20:D21)</f>
        <v>0</v>
      </c>
      <c r="E22" s="225">
        <f>SUM(E20:E21)</f>
        <v>0</v>
      </c>
      <c r="F22" s="226">
        <f>SUM(F20:F21)</f>
        <v>0</v>
      </c>
      <c r="G22" s="226"/>
      <c r="H22" s="226"/>
      <c r="I22" s="7"/>
      <c r="J22" s="2"/>
      <c r="K22" s="11"/>
      <c r="L22" s="12"/>
      <c r="M22" s="11"/>
      <c r="N22" s="28"/>
      <c r="O22" s="28"/>
      <c r="P22" s="28"/>
    </row>
    <row r="23" spans="1:16" ht="24.95" customHeight="1" x14ac:dyDescent="0.25">
      <c r="A23" s="219" t="s">
        <v>380</v>
      </c>
      <c r="B23" s="83" t="s">
        <v>381</v>
      </c>
      <c r="C23" s="244">
        <f>SUM('Bevétel össz.'!C47)</f>
        <v>0</v>
      </c>
      <c r="D23" s="11">
        <f>SUM('Bevétel össz.'!D47)</f>
        <v>0</v>
      </c>
      <c r="E23" s="12">
        <f>SUM('Bevétel össz.'!E47)</f>
        <v>0</v>
      </c>
      <c r="F23" s="198">
        <f>SUM('Bevétel össz.'!F47)</f>
        <v>382500</v>
      </c>
      <c r="G23" s="198">
        <f>'Műk-felh.mérleg'!G22</f>
        <v>382500</v>
      </c>
      <c r="H23" s="198">
        <f>'Műk-felh.mérleg'!H22</f>
        <v>382500</v>
      </c>
      <c r="I23" s="7"/>
      <c r="J23" s="2"/>
      <c r="K23" s="11"/>
      <c r="L23" s="12"/>
      <c r="M23" s="11"/>
      <c r="N23" s="28"/>
      <c r="O23" s="28"/>
      <c r="P23" s="28"/>
    </row>
    <row r="24" spans="1:16" ht="24.95" customHeight="1" x14ac:dyDescent="0.25">
      <c r="A24" s="219" t="s">
        <v>382</v>
      </c>
      <c r="B24" s="83" t="s">
        <v>436</v>
      </c>
      <c r="C24" s="244">
        <f>SUM('Bevétel össz.'!C48)</f>
        <v>0</v>
      </c>
      <c r="D24" s="11">
        <f>SUM('Bevétel össz.'!D48)</f>
        <v>0</v>
      </c>
      <c r="E24" s="12">
        <f>SUM('Bevétel össz.'!E48)</f>
        <v>0</v>
      </c>
      <c r="F24" s="198">
        <f>SUM('Bevétel össz.'!F48)</f>
        <v>2886600</v>
      </c>
      <c r="G24" s="198">
        <f>'Műk-felh.mérleg'!G23</f>
        <v>2886600</v>
      </c>
      <c r="H24" s="198">
        <f>'Műk-felh.mérleg'!H23</f>
        <v>2886600</v>
      </c>
      <c r="I24" s="7"/>
      <c r="J24" s="2"/>
      <c r="K24" s="11"/>
      <c r="L24" s="12"/>
      <c r="M24" s="11"/>
      <c r="N24" s="28"/>
      <c r="O24" s="28"/>
      <c r="P24" s="28"/>
    </row>
    <row r="25" spans="1:16" ht="24.95" customHeight="1" x14ac:dyDescent="0.3">
      <c r="A25" s="220" t="s">
        <v>377</v>
      </c>
      <c r="B25" s="153" t="s">
        <v>435</v>
      </c>
      <c r="C25" s="243">
        <f>SUM(C23:C24)</f>
        <v>0</v>
      </c>
      <c r="D25" s="235">
        <f>SUM(D23:D24)</f>
        <v>0</v>
      </c>
      <c r="E25" s="243">
        <f>SUM(E23:E24)</f>
        <v>0</v>
      </c>
      <c r="F25" s="236">
        <f>SUM(F23:F24)</f>
        <v>3269100</v>
      </c>
      <c r="G25" s="236">
        <f>G23+G24</f>
        <v>3269100</v>
      </c>
      <c r="H25" s="236">
        <f>H23+H24</f>
        <v>3269100</v>
      </c>
      <c r="I25" s="213"/>
      <c r="J25" s="2"/>
      <c r="K25" s="11"/>
      <c r="L25" s="12"/>
      <c r="M25" s="11"/>
      <c r="N25" s="28"/>
      <c r="O25" s="28"/>
      <c r="P25" s="28"/>
    </row>
    <row r="26" spans="1:16" ht="24.95" customHeight="1" x14ac:dyDescent="0.25">
      <c r="A26" s="212"/>
      <c r="B26" s="157" t="s">
        <v>424</v>
      </c>
      <c r="C26" s="144" t="e">
        <f t="shared" ref="C26:H26" si="0">SUM(C25,C22,C17,C8,C5,C18,C19)</f>
        <v>#REF!</v>
      </c>
      <c r="D26" s="225" t="e">
        <f t="shared" si="0"/>
        <v>#REF!</v>
      </c>
      <c r="E26" s="144" t="e">
        <f t="shared" si="0"/>
        <v>#REF!</v>
      </c>
      <c r="F26" s="478">
        <f t="shared" si="0"/>
        <v>257805067</v>
      </c>
      <c r="G26" s="478">
        <f t="shared" si="0"/>
        <v>258643939</v>
      </c>
      <c r="H26" s="478">
        <f t="shared" si="0"/>
        <v>272400672</v>
      </c>
      <c r="I26" s="144"/>
      <c r="J26" s="157" t="s">
        <v>425</v>
      </c>
      <c r="K26" s="144" t="e">
        <f>SUM(K3:K6,K10:K14,K18,K19)</f>
        <v>#REF!</v>
      </c>
      <c r="L26" s="225" t="e">
        <f>SUM(L3:L6,L10:L14,L18,L19)</f>
        <v>#REF!</v>
      </c>
      <c r="M26" s="144" t="e">
        <f>SUM(M3:M6,M10:M14,M18,M19)</f>
        <v>#REF!</v>
      </c>
      <c r="N26" s="478">
        <f>SUM(N3+N4+N5+N6+N11+N13+N14+N19)</f>
        <v>422432901</v>
      </c>
      <c r="O26" s="478">
        <f>SUM(O3+O4+O5+O6+O11+O13+O14+O19)</f>
        <v>423271773</v>
      </c>
      <c r="P26" s="478">
        <f>SUM(P3+P4+P5+P6+P11+P13+P14+P19)</f>
        <v>427028506</v>
      </c>
    </row>
    <row r="27" spans="1:16" ht="24.95" customHeight="1" x14ac:dyDescent="0.2">
      <c r="A27" s="224" t="s">
        <v>387</v>
      </c>
      <c r="B27" s="93" t="s">
        <v>386</v>
      </c>
      <c r="C27" s="244">
        <f>SUM('Bevétel össz.'!C51)</f>
        <v>0</v>
      </c>
      <c r="D27" s="11">
        <f>SUM('Bevétel össz.'!D51)</f>
        <v>0</v>
      </c>
      <c r="E27" s="12">
        <f>SUM('Bevétel össz.'!E51)</f>
        <v>0</v>
      </c>
      <c r="F27" s="237">
        <f>SUM('Bevétel össz.'!F51)</f>
        <v>0</v>
      </c>
      <c r="G27" s="237"/>
      <c r="H27" s="237"/>
      <c r="I27" s="2" t="s">
        <v>317</v>
      </c>
      <c r="J27" s="93" t="s">
        <v>318</v>
      </c>
      <c r="K27" s="244" t="e">
        <f>SUM('Kiadás ktgvszervenként'!#REF!)</f>
        <v>#REF!</v>
      </c>
      <c r="L27" s="244" t="e">
        <f>SUM('Kiadás ktgvszervenként'!#REF!)</f>
        <v>#REF!</v>
      </c>
      <c r="M27" s="244" t="e">
        <f>SUM('Kiadás ktgvszervenként'!#REF!)</f>
        <v>#REF!</v>
      </c>
      <c r="N27" s="246"/>
      <c r="O27" s="246"/>
      <c r="P27" s="246"/>
    </row>
    <row r="28" spans="1:16" ht="24.95" customHeight="1" x14ac:dyDescent="0.25">
      <c r="A28" s="224" t="s">
        <v>388</v>
      </c>
      <c r="B28" s="93" t="s">
        <v>389</v>
      </c>
      <c r="C28" s="244" t="e">
        <f>SUM('Bevétel össz.'!C52)</f>
        <v>#REF!</v>
      </c>
      <c r="D28" s="11" t="e">
        <f>SUM('Bevétel össz.'!D52)</f>
        <v>#REF!</v>
      </c>
      <c r="E28" s="12" t="e">
        <f>SUM('Bevétel össz.'!E52)</f>
        <v>#REF!</v>
      </c>
      <c r="F28" s="198">
        <f>SUM('Bevétel össz.'!F52)</f>
        <v>167515977</v>
      </c>
      <c r="G28" s="198">
        <f>'Bevétel össz.'!M52</f>
        <v>167515977</v>
      </c>
      <c r="H28" s="198">
        <f>'Műk-felh.mérleg'!H27</f>
        <v>167515977</v>
      </c>
      <c r="I28" s="2"/>
      <c r="J28" s="93"/>
      <c r="K28" s="244" t="e">
        <f>SUM('Kiadás ktgvszervenként'!#REF!)</f>
        <v>#REF!</v>
      </c>
      <c r="L28" s="244" t="e">
        <f>SUM('Kiadás ktgvszervenként'!#REF!)</f>
        <v>#REF!</v>
      </c>
      <c r="M28" s="244" t="e">
        <f>SUM('Kiadás ktgvszervenként'!#REF!)</f>
        <v>#REF!</v>
      </c>
      <c r="N28" s="246"/>
      <c r="O28" s="246"/>
      <c r="P28" s="246"/>
    </row>
    <row r="29" spans="1:16" ht="24.95" customHeight="1" x14ac:dyDescent="0.25">
      <c r="A29" s="471"/>
      <c r="B29" s="472" t="s">
        <v>501</v>
      </c>
      <c r="C29" s="86" t="e">
        <f t="shared" ref="C29:H29" si="1">SUM(C26:C28)</f>
        <v>#REF!</v>
      </c>
      <c r="D29" s="473" t="e">
        <f t="shared" si="1"/>
        <v>#REF!</v>
      </c>
      <c r="E29" s="86" t="e">
        <f t="shared" si="1"/>
        <v>#REF!</v>
      </c>
      <c r="F29" s="239">
        <f t="shared" si="1"/>
        <v>425321044</v>
      </c>
      <c r="G29" s="239">
        <f t="shared" si="1"/>
        <v>426159916</v>
      </c>
      <c r="H29" s="239">
        <f t="shared" si="1"/>
        <v>439916649</v>
      </c>
      <c r="I29" s="474"/>
      <c r="J29" s="472" t="s">
        <v>501</v>
      </c>
      <c r="K29" s="86" t="e">
        <f t="shared" ref="K29:P29" si="2">SUM(K26:K28)</f>
        <v>#REF!</v>
      </c>
      <c r="L29" s="475" t="e">
        <f t="shared" si="2"/>
        <v>#REF!</v>
      </c>
      <c r="M29" s="86" t="e">
        <f t="shared" si="2"/>
        <v>#REF!</v>
      </c>
      <c r="N29" s="239">
        <f t="shared" si="2"/>
        <v>422432901</v>
      </c>
      <c r="O29" s="239">
        <f t="shared" si="2"/>
        <v>423271773</v>
      </c>
      <c r="P29" s="239">
        <f t="shared" si="2"/>
        <v>427028506</v>
      </c>
    </row>
    <row r="30" spans="1:16" ht="24.95" customHeight="1" x14ac:dyDescent="0.25">
      <c r="A30" s="224" t="s">
        <v>390</v>
      </c>
      <c r="B30" s="93" t="s">
        <v>79</v>
      </c>
      <c r="C30" s="244" t="e">
        <f>SUM('Bevétel össz.'!C53)</f>
        <v>#REF!</v>
      </c>
      <c r="D30" s="11" t="e">
        <f>SUM('Bevétel össz.'!D53)</f>
        <v>#REF!</v>
      </c>
      <c r="E30" s="12" t="e">
        <f>SUM('Bevétel össz.'!E53)</f>
        <v>#REF!</v>
      </c>
      <c r="F30" s="237">
        <f>SUM('Bevétel össz.'!F53)</f>
        <v>62937550</v>
      </c>
      <c r="G30" s="237">
        <f>'Műk-felh.mérleg'!G26</f>
        <v>62940179</v>
      </c>
      <c r="H30" s="237">
        <f>'Műk-felh.mérleg'!H26</f>
        <v>62950691</v>
      </c>
      <c r="I30" s="2" t="s">
        <v>305</v>
      </c>
      <c r="J30" s="93" t="s">
        <v>79</v>
      </c>
      <c r="K30" s="244" t="e">
        <f>SUM('Kiadás ktgvszervenként'!C24)</f>
        <v>#REF!</v>
      </c>
      <c r="L30" s="244" t="e">
        <f>SUM('Kiadás ktgvszervenként'!D24)</f>
        <v>#REF!</v>
      </c>
      <c r="M30" s="244" t="e">
        <f>SUM('Kiadás ktgvszervenként'!E24)</f>
        <v>#REF!</v>
      </c>
      <c r="N30" s="231">
        <f>SUM('Kiadás ktgvszervenként'!U24)</f>
        <v>62937550</v>
      </c>
      <c r="O30" s="231">
        <f>'Műk-felh.mérleg'!P26</f>
        <v>62940179</v>
      </c>
      <c r="P30" s="231">
        <f>'Műk-felh.mérleg'!Q26</f>
        <v>62950691</v>
      </c>
    </row>
    <row r="31" spans="1:16" ht="24.95" customHeight="1" x14ac:dyDescent="0.25">
      <c r="A31" s="224"/>
      <c r="B31" s="93"/>
      <c r="C31" s="244"/>
      <c r="D31" s="11"/>
      <c r="E31" s="12"/>
      <c r="F31" s="237"/>
      <c r="G31" s="844"/>
      <c r="H31" s="844"/>
      <c r="I31" s="612" t="s">
        <v>659</v>
      </c>
      <c r="J31" s="613" t="s">
        <v>660</v>
      </c>
      <c r="K31" s="614"/>
      <c r="L31" s="615"/>
      <c r="M31" s="615"/>
      <c r="N31" s="616">
        <f>'Kiadás ktgvszervenként'!U25</f>
        <v>1578635</v>
      </c>
      <c r="O31" s="231">
        <f>'Műk-felh.mérleg'!P25</f>
        <v>1578635</v>
      </c>
      <c r="P31" s="231">
        <f>'Műk-felh.mérleg'!Q25</f>
        <v>1578635</v>
      </c>
    </row>
    <row r="32" spans="1:16" ht="24.95" customHeight="1" x14ac:dyDescent="0.2">
      <c r="A32" s="224" t="s">
        <v>391</v>
      </c>
      <c r="B32" s="93" t="s">
        <v>392</v>
      </c>
      <c r="C32" s="244">
        <f>SUM('Bevétel össz.'!C54)</f>
        <v>0</v>
      </c>
      <c r="D32" s="11">
        <f>SUM('Bevétel össz.'!D54)</f>
        <v>0</v>
      </c>
      <c r="E32" s="12">
        <f>SUM('Bevétel össz.'!E54)</f>
        <v>0</v>
      </c>
      <c r="F32" s="237">
        <f>SUM('Bevétel össz.'!F54)</f>
        <v>0</v>
      </c>
      <c r="G32" s="237"/>
      <c r="H32" s="237"/>
      <c r="I32" s="5" t="s">
        <v>654</v>
      </c>
      <c r="J32" s="183" t="s">
        <v>655</v>
      </c>
      <c r="K32" s="244" t="e">
        <f>SUM('Kiadás ktgvszervenként'!#REF!)</f>
        <v>#REF!</v>
      </c>
      <c r="L32" s="244" t="e">
        <f>SUM('Kiadás ktgvszervenként'!#REF!)</f>
        <v>#REF!</v>
      </c>
      <c r="M32" s="244" t="e">
        <f>SUM('Kiadás ktgvszervenként'!#REF!)</f>
        <v>#REF!</v>
      </c>
      <c r="N32" s="246">
        <f>'Kiadás ktgvszervenként'!U23</f>
        <v>1309508</v>
      </c>
      <c r="O32" s="246">
        <f>'Műk-felh.mérleg'!P24</f>
        <v>1309508</v>
      </c>
      <c r="P32" s="246">
        <f>'Műk-felh.mérleg'!Q24</f>
        <v>1309508</v>
      </c>
    </row>
    <row r="33" spans="1:16" ht="24.95" customHeight="1" x14ac:dyDescent="0.2">
      <c r="A33" s="224"/>
      <c r="B33" s="93"/>
      <c r="C33" s="244"/>
      <c r="D33" s="11"/>
      <c r="E33" s="12"/>
      <c r="F33" s="237"/>
      <c r="G33" s="237"/>
      <c r="H33" s="237"/>
      <c r="I33" s="5"/>
      <c r="J33" s="183" t="s">
        <v>64</v>
      </c>
      <c r="K33" s="244"/>
      <c r="L33" s="244"/>
      <c r="M33" s="244"/>
      <c r="N33" s="246"/>
      <c r="O33" s="246"/>
      <c r="P33" s="246">
        <f>'Műk-felh.mérleg'!Q27</f>
        <v>10000000</v>
      </c>
    </row>
    <row r="34" spans="1:16" ht="24.95" customHeight="1" x14ac:dyDescent="0.25">
      <c r="A34" s="479"/>
      <c r="B34" s="151" t="s">
        <v>428</v>
      </c>
      <c r="C34" s="76" t="e">
        <f>SUM(C26:C32)</f>
        <v>#REF!</v>
      </c>
      <c r="D34" s="480" t="e">
        <f>SUM(D26:D32)</f>
        <v>#REF!</v>
      </c>
      <c r="E34" s="76" t="e">
        <f>SUM(E26:E32)</f>
        <v>#REF!</v>
      </c>
      <c r="F34" s="481">
        <f>SUM(F29:F30)</f>
        <v>488258594</v>
      </c>
      <c r="G34" s="481">
        <f>SUM(G29:G30)</f>
        <v>489100095</v>
      </c>
      <c r="H34" s="481">
        <f>SUM(H29:H30)</f>
        <v>502867340</v>
      </c>
      <c r="I34" s="81"/>
      <c r="J34" s="151" t="s">
        <v>429</v>
      </c>
      <c r="K34" s="144" t="e">
        <f>SUM(K26:K32)</f>
        <v>#REF!</v>
      </c>
      <c r="L34" s="225" t="e">
        <f>SUM(L26:L32)</f>
        <v>#REF!</v>
      </c>
      <c r="M34" s="144" t="e">
        <f>SUM(M26:M32)</f>
        <v>#REF!</v>
      </c>
      <c r="N34" s="482">
        <f>SUM(N29:N32)</f>
        <v>488258594</v>
      </c>
      <c r="O34" s="482">
        <f>SUM(O29:O32)</f>
        <v>489100095</v>
      </c>
      <c r="P34" s="482">
        <f>SUM(P29:P33)</f>
        <v>502867340</v>
      </c>
    </row>
  </sheetData>
  <mergeCells count="6">
    <mergeCell ref="K1:M1"/>
    <mergeCell ref="I1:I2"/>
    <mergeCell ref="A1:A2"/>
    <mergeCell ref="C1:E1"/>
    <mergeCell ref="J1:J2"/>
    <mergeCell ref="B1:B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&amp;LLevél Községi Önkormányzat&amp;CKöltségvetési mérleg 2018.&amp;R1.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9">
    <tabColor rgb="FFFF0000"/>
  </sheetPr>
  <dimension ref="A1:J132"/>
  <sheetViews>
    <sheetView view="pageLayout" topLeftCell="A93" zoomScaleNormal="100" workbookViewId="0">
      <selection activeCell="G4" sqref="G4"/>
    </sheetView>
  </sheetViews>
  <sheetFormatPr defaultRowHeight="12.75" x14ac:dyDescent="0.2"/>
  <cols>
    <col min="1" max="1" width="5.42578125" customWidth="1"/>
    <col min="2" max="2" width="59.140625" customWidth="1"/>
    <col min="3" max="3" width="14.28515625" hidden="1" customWidth="1"/>
    <col min="4" max="4" width="12.140625" hidden="1" customWidth="1"/>
    <col min="5" max="5" width="4.5703125" hidden="1" customWidth="1"/>
    <col min="6" max="9" width="21.28515625" customWidth="1"/>
    <col min="10" max="10" width="11.5703125" customWidth="1"/>
  </cols>
  <sheetData>
    <row r="1" spans="1:10" ht="20.25" customHeight="1" x14ac:dyDescent="0.3">
      <c r="A1" s="971" t="s">
        <v>288</v>
      </c>
      <c r="B1" s="188"/>
      <c r="C1" s="1004" t="s">
        <v>53</v>
      </c>
      <c r="D1" s="1004"/>
      <c r="E1" s="1004"/>
      <c r="F1" s="314"/>
      <c r="G1" s="314"/>
      <c r="H1" s="314"/>
      <c r="I1" s="314"/>
      <c r="J1" s="315" t="s">
        <v>133</v>
      </c>
    </row>
    <row r="2" spans="1:10" ht="20.25" x14ac:dyDescent="0.3">
      <c r="A2" s="1002"/>
      <c r="B2" s="187" t="s">
        <v>454</v>
      </c>
      <c r="C2" s="1004"/>
      <c r="D2" s="1004"/>
      <c r="E2" s="1004"/>
      <c r="F2" s="319" t="s">
        <v>728</v>
      </c>
      <c r="G2" s="799" t="s">
        <v>726</v>
      </c>
      <c r="H2" s="854" t="s">
        <v>726</v>
      </c>
      <c r="I2" s="799" t="s">
        <v>726</v>
      </c>
      <c r="J2" s="316" t="s">
        <v>136</v>
      </c>
    </row>
    <row r="3" spans="1:10" ht="20.25" x14ac:dyDescent="0.3">
      <c r="A3" s="1002"/>
      <c r="B3" s="360"/>
      <c r="C3" s="1001" t="s">
        <v>264</v>
      </c>
      <c r="D3" s="1001"/>
      <c r="E3" s="1001" t="s">
        <v>73</v>
      </c>
      <c r="F3" s="319" t="s">
        <v>74</v>
      </c>
      <c r="G3" s="799" t="s">
        <v>735</v>
      </c>
      <c r="H3" s="854" t="s">
        <v>756</v>
      </c>
      <c r="I3" s="799" t="s">
        <v>736</v>
      </c>
      <c r="J3" s="316" t="s">
        <v>137</v>
      </c>
    </row>
    <row r="4" spans="1:10" ht="20.25" x14ac:dyDescent="0.3">
      <c r="A4" s="1003"/>
      <c r="B4" s="190"/>
      <c r="C4" s="361" t="s">
        <v>300</v>
      </c>
      <c r="D4" s="362" t="s">
        <v>301</v>
      </c>
      <c r="E4" s="1001"/>
      <c r="F4" s="317"/>
      <c r="G4" s="317"/>
      <c r="H4" s="317"/>
      <c r="I4" s="317"/>
      <c r="J4" s="318" t="s">
        <v>138</v>
      </c>
    </row>
    <row r="5" spans="1:10" ht="18" x14ac:dyDescent="0.25">
      <c r="A5" s="1" t="s">
        <v>143</v>
      </c>
      <c r="B5" s="83" t="s">
        <v>144</v>
      </c>
      <c r="C5" s="363"/>
      <c r="D5" s="364"/>
      <c r="E5" s="363"/>
      <c r="F5" s="365">
        <v>34594674</v>
      </c>
      <c r="G5" s="365">
        <v>34594674</v>
      </c>
      <c r="H5" s="365">
        <v>34197674</v>
      </c>
      <c r="I5" s="365">
        <v>34159329</v>
      </c>
      <c r="J5" s="363"/>
    </row>
    <row r="6" spans="1:10" ht="18" x14ac:dyDescent="0.25">
      <c r="A6" s="1" t="s">
        <v>143</v>
      </c>
      <c r="B6" s="83" t="s">
        <v>592</v>
      </c>
      <c r="C6" s="363"/>
      <c r="D6" s="364"/>
      <c r="E6" s="363"/>
      <c r="F6" s="365"/>
      <c r="G6" s="365"/>
      <c r="H6" s="365"/>
      <c r="I6" s="365"/>
      <c r="J6" s="363"/>
    </row>
    <row r="7" spans="1:10" ht="18" x14ac:dyDescent="0.25">
      <c r="A7" s="1" t="s">
        <v>145</v>
      </c>
      <c r="B7" s="83" t="s">
        <v>146</v>
      </c>
      <c r="C7" s="363"/>
      <c r="D7" s="364"/>
      <c r="E7" s="363"/>
      <c r="F7" s="365">
        <v>2693178</v>
      </c>
      <c r="G7" s="365">
        <v>2693178</v>
      </c>
      <c r="H7" s="365">
        <v>3150178</v>
      </c>
      <c r="I7" s="365">
        <v>3143050</v>
      </c>
      <c r="J7" s="363"/>
    </row>
    <row r="8" spans="1:10" ht="18" x14ac:dyDescent="0.25">
      <c r="A8" s="1" t="s">
        <v>145</v>
      </c>
      <c r="B8" s="83" t="s">
        <v>575</v>
      </c>
      <c r="C8" s="363"/>
      <c r="D8" s="364"/>
      <c r="E8" s="363"/>
      <c r="F8" s="365"/>
      <c r="G8" s="365"/>
      <c r="H8" s="365"/>
      <c r="I8" s="365"/>
      <c r="J8" s="363"/>
    </row>
    <row r="9" spans="1:10" ht="18" x14ac:dyDescent="0.25">
      <c r="A9" s="1" t="s">
        <v>147</v>
      </c>
      <c r="B9" s="83" t="s">
        <v>148</v>
      </c>
      <c r="C9" s="363"/>
      <c r="D9" s="364"/>
      <c r="E9" s="363"/>
      <c r="F9" s="365"/>
      <c r="G9" s="365"/>
      <c r="H9" s="365"/>
      <c r="I9" s="365"/>
      <c r="J9" s="363"/>
    </row>
    <row r="10" spans="1:10" ht="18" x14ac:dyDescent="0.25">
      <c r="A10" s="1" t="s">
        <v>149</v>
      </c>
      <c r="B10" s="83" t="s">
        <v>150</v>
      </c>
      <c r="C10" s="363"/>
      <c r="D10" s="364"/>
      <c r="E10" s="363"/>
      <c r="F10" s="365">
        <v>450000</v>
      </c>
      <c r="G10" s="365">
        <v>450000</v>
      </c>
      <c r="H10" s="365">
        <v>340000</v>
      </c>
      <c r="I10" s="365"/>
      <c r="J10" s="363"/>
    </row>
    <row r="11" spans="1:10" ht="18" x14ac:dyDescent="0.25">
      <c r="A11" s="1" t="s">
        <v>151</v>
      </c>
      <c r="B11" s="83" t="s">
        <v>152</v>
      </c>
      <c r="C11" s="363"/>
      <c r="D11" s="364"/>
      <c r="E11" s="363"/>
      <c r="F11" s="365">
        <v>602910</v>
      </c>
      <c r="G11" s="365">
        <v>602910</v>
      </c>
      <c r="H11" s="365">
        <v>602910</v>
      </c>
      <c r="I11" s="365">
        <v>602910</v>
      </c>
      <c r="J11" s="363"/>
    </row>
    <row r="12" spans="1:10" ht="18" x14ac:dyDescent="0.25">
      <c r="A12" s="1" t="s">
        <v>153</v>
      </c>
      <c r="B12" s="83" t="s">
        <v>154</v>
      </c>
      <c r="C12" s="363"/>
      <c r="D12" s="364"/>
      <c r="E12" s="363"/>
      <c r="F12" s="365">
        <v>1564595</v>
      </c>
      <c r="G12" s="365">
        <v>1564595</v>
      </c>
      <c r="H12" s="365">
        <v>1614595</v>
      </c>
      <c r="I12" s="365">
        <v>1609848</v>
      </c>
      <c r="J12" s="363"/>
    </row>
    <row r="13" spans="1:10" ht="18" x14ac:dyDescent="0.25">
      <c r="A13" s="1" t="s">
        <v>153</v>
      </c>
      <c r="B13" s="83" t="s">
        <v>578</v>
      </c>
      <c r="C13" s="363"/>
      <c r="D13" s="364"/>
      <c r="E13" s="363"/>
      <c r="F13" s="365"/>
      <c r="G13" s="365"/>
      <c r="H13" s="365"/>
      <c r="I13" s="365"/>
      <c r="J13" s="363"/>
    </row>
    <row r="14" spans="1:10" ht="18" x14ac:dyDescent="0.25">
      <c r="A14" s="1" t="s">
        <v>155</v>
      </c>
      <c r="B14" s="83" t="s">
        <v>494</v>
      </c>
      <c r="C14" s="363"/>
      <c r="D14" s="364"/>
      <c r="E14" s="363"/>
      <c r="F14" s="457"/>
      <c r="G14" s="457"/>
      <c r="H14" s="457"/>
      <c r="I14" s="457"/>
      <c r="J14" s="363"/>
    </row>
    <row r="15" spans="1:10" ht="18" x14ac:dyDescent="0.25">
      <c r="A15" s="1" t="s">
        <v>157</v>
      </c>
      <c r="B15" s="83" t="s">
        <v>158</v>
      </c>
      <c r="C15" s="363"/>
      <c r="D15" s="364"/>
      <c r="E15" s="363"/>
      <c r="F15" s="365">
        <v>280000</v>
      </c>
      <c r="G15" s="365">
        <v>280000</v>
      </c>
      <c r="H15" s="365">
        <v>280000</v>
      </c>
      <c r="I15" s="365">
        <v>220004</v>
      </c>
      <c r="J15" s="363"/>
    </row>
    <row r="16" spans="1:10" ht="18" x14ac:dyDescent="0.25">
      <c r="A16" s="1" t="s">
        <v>159</v>
      </c>
      <c r="B16" s="83" t="s">
        <v>160</v>
      </c>
      <c r="C16" s="363"/>
      <c r="D16" s="364"/>
      <c r="E16" s="363"/>
      <c r="F16" s="365"/>
      <c r="G16" s="365"/>
      <c r="H16" s="365"/>
      <c r="I16" s="365"/>
      <c r="J16" s="363"/>
    </row>
    <row r="17" spans="1:10" ht="18" x14ac:dyDescent="0.25">
      <c r="A17" s="1" t="s">
        <v>161</v>
      </c>
      <c r="B17" s="83" t="s">
        <v>195</v>
      </c>
      <c r="C17" s="363"/>
      <c r="D17" s="364"/>
      <c r="E17" s="363"/>
      <c r="F17" s="365">
        <v>150000</v>
      </c>
      <c r="G17" s="365">
        <v>152200</v>
      </c>
      <c r="H17" s="365">
        <v>237076</v>
      </c>
      <c r="I17" s="365">
        <v>182689</v>
      </c>
      <c r="J17" s="363"/>
    </row>
    <row r="18" spans="1:10" ht="18" x14ac:dyDescent="0.25">
      <c r="A18" s="366" t="s">
        <v>168</v>
      </c>
      <c r="B18" s="153" t="s">
        <v>167</v>
      </c>
      <c r="C18" s="367">
        <f>SUM(C5:C17)</f>
        <v>0</v>
      </c>
      <c r="D18" s="368">
        <f>SUM(D5:D17)</f>
        <v>0</v>
      </c>
      <c r="E18" s="367">
        <f>SUM(E5:E17)</f>
        <v>0</v>
      </c>
      <c r="F18" s="369">
        <f>SUM(F5:F17)</f>
        <v>40335357</v>
      </c>
      <c r="G18" s="369">
        <f t="shared" ref="G18:I18" si="0">SUM(G5:G17)</f>
        <v>40337557</v>
      </c>
      <c r="H18" s="369">
        <f t="shared" si="0"/>
        <v>40422433</v>
      </c>
      <c r="I18" s="369">
        <f t="shared" si="0"/>
        <v>39917830</v>
      </c>
      <c r="J18" s="367">
        <f>SUM(J5:J17)</f>
        <v>0</v>
      </c>
    </row>
    <row r="19" spans="1:10" ht="18" x14ac:dyDescent="0.25">
      <c r="A19" s="1" t="s">
        <v>162</v>
      </c>
      <c r="B19" s="83" t="s">
        <v>165</v>
      </c>
      <c r="C19" s="363"/>
      <c r="D19" s="364"/>
      <c r="E19" s="363"/>
      <c r="F19" s="365"/>
      <c r="G19" s="365"/>
      <c r="H19" s="365"/>
      <c r="I19" s="365"/>
      <c r="J19" s="364"/>
    </row>
    <row r="20" spans="1:10" ht="18" x14ac:dyDescent="0.25">
      <c r="A20" s="1" t="s">
        <v>163</v>
      </c>
      <c r="B20" s="83" t="s">
        <v>166</v>
      </c>
      <c r="C20" s="363"/>
      <c r="D20" s="364"/>
      <c r="E20" s="363"/>
      <c r="F20" s="365">
        <v>300000</v>
      </c>
      <c r="G20" s="365">
        <v>300000</v>
      </c>
      <c r="H20" s="365">
        <v>300000</v>
      </c>
      <c r="I20" s="365">
        <v>252350</v>
      </c>
      <c r="J20" s="364"/>
    </row>
    <row r="21" spans="1:10" ht="18" x14ac:dyDescent="0.25">
      <c r="A21" s="1" t="s">
        <v>164</v>
      </c>
      <c r="B21" s="83" t="s">
        <v>196</v>
      </c>
      <c r="C21" s="363"/>
      <c r="D21" s="363"/>
      <c r="E21" s="363"/>
      <c r="F21" s="365"/>
      <c r="G21" s="365"/>
      <c r="H21" s="365"/>
      <c r="I21" s="365"/>
      <c r="J21" s="364"/>
    </row>
    <row r="22" spans="1:10" ht="18" x14ac:dyDescent="0.25">
      <c r="A22" s="366" t="s">
        <v>169</v>
      </c>
      <c r="B22" s="153" t="s">
        <v>75</v>
      </c>
      <c r="C22" s="367">
        <f>SUM(C19:C21)</f>
        <v>0</v>
      </c>
      <c r="D22" s="368">
        <f>SUM(D19:D21)</f>
        <v>0</v>
      </c>
      <c r="E22" s="367">
        <f>SUM(E19:E21)</f>
        <v>0</v>
      </c>
      <c r="F22" s="369">
        <f>SUM(F19:F21)</f>
        <v>300000</v>
      </c>
      <c r="G22" s="369">
        <f t="shared" ref="G22:I22" si="1">SUM(G19:G21)</f>
        <v>300000</v>
      </c>
      <c r="H22" s="369">
        <f t="shared" si="1"/>
        <v>300000</v>
      </c>
      <c r="I22" s="369">
        <f t="shared" si="1"/>
        <v>252350</v>
      </c>
      <c r="J22" s="368"/>
    </row>
    <row r="23" spans="1:10" ht="18" x14ac:dyDescent="0.25">
      <c r="A23" s="145" t="s">
        <v>170</v>
      </c>
      <c r="B23" s="155" t="s">
        <v>177</v>
      </c>
      <c r="C23" s="370">
        <f>SUM(C18,C22)</f>
        <v>0</v>
      </c>
      <c r="D23" s="371">
        <f>SUM(D18,D22)</f>
        <v>0</v>
      </c>
      <c r="E23" s="370">
        <f>SUM(E18,E22)</f>
        <v>0</v>
      </c>
      <c r="F23" s="369">
        <f>SUM(F18,F22)</f>
        <v>40635357</v>
      </c>
      <c r="G23" s="369">
        <f t="shared" ref="G23:J23" si="2">SUM(G18,G22)</f>
        <v>40637557</v>
      </c>
      <c r="H23" s="369">
        <f t="shared" si="2"/>
        <v>40722433</v>
      </c>
      <c r="I23" s="369">
        <f t="shared" si="2"/>
        <v>40170180</v>
      </c>
      <c r="J23" s="369">
        <f t="shared" si="2"/>
        <v>0</v>
      </c>
    </row>
    <row r="24" spans="1:10" ht="18" x14ac:dyDescent="0.25">
      <c r="A24" s="1" t="s">
        <v>171</v>
      </c>
      <c r="B24" s="91" t="s">
        <v>76</v>
      </c>
      <c r="C24" s="363"/>
      <c r="D24" s="364"/>
      <c r="E24" s="363"/>
      <c r="F24" s="365">
        <v>7583699</v>
      </c>
      <c r="G24" s="365"/>
      <c r="H24" s="365"/>
      <c r="I24" s="365"/>
      <c r="J24" s="363"/>
    </row>
    <row r="25" spans="1:10" ht="18" x14ac:dyDescent="0.25">
      <c r="A25" s="1" t="s">
        <v>172</v>
      </c>
      <c r="B25" s="91" t="s">
        <v>77</v>
      </c>
      <c r="C25" s="363"/>
      <c r="D25" s="364"/>
      <c r="E25" s="363"/>
      <c r="F25" s="458">
        <v>258471</v>
      </c>
      <c r="G25" s="458"/>
      <c r="H25" s="458"/>
      <c r="I25" s="458"/>
      <c r="J25" s="363"/>
    </row>
    <row r="26" spans="1:10" ht="18" x14ac:dyDescent="0.25">
      <c r="A26" s="1" t="s">
        <v>173</v>
      </c>
      <c r="B26" s="91" t="s">
        <v>495</v>
      </c>
      <c r="C26" s="363"/>
      <c r="D26" s="364"/>
      <c r="E26" s="363"/>
      <c r="F26" s="365">
        <v>100000</v>
      </c>
      <c r="G26" s="365"/>
      <c r="H26" s="365"/>
      <c r="I26" s="365"/>
      <c r="J26" s="363"/>
    </row>
    <row r="27" spans="1:10" ht="18" x14ac:dyDescent="0.25">
      <c r="A27" s="1" t="s">
        <v>174</v>
      </c>
      <c r="B27" s="91" t="s">
        <v>72</v>
      </c>
      <c r="C27" s="363"/>
      <c r="D27" s="364"/>
      <c r="E27" s="364"/>
      <c r="F27" s="458">
        <v>276933</v>
      </c>
      <c r="G27" s="458"/>
      <c r="H27" s="458"/>
      <c r="I27" s="458"/>
      <c r="J27" s="363"/>
    </row>
    <row r="28" spans="1:10" ht="18" x14ac:dyDescent="0.25">
      <c r="A28" s="151" t="s">
        <v>175</v>
      </c>
      <c r="B28" s="180" t="s">
        <v>176</v>
      </c>
      <c r="C28" s="371">
        <f>SUM(C24:C27)</f>
        <v>0</v>
      </c>
      <c r="D28" s="370">
        <f>SUM(D24:D27)</f>
        <v>0</v>
      </c>
      <c r="E28" s="371">
        <f>SUM(E24:E27)</f>
        <v>0</v>
      </c>
      <c r="F28" s="369">
        <f>SUM(F24:F27)</f>
        <v>8219103</v>
      </c>
      <c r="G28" s="369">
        <v>8219532</v>
      </c>
      <c r="H28" s="369">
        <v>8221244</v>
      </c>
      <c r="I28" s="369">
        <v>8052927</v>
      </c>
      <c r="J28" s="368">
        <f>SUM(J24:J27)</f>
        <v>0</v>
      </c>
    </row>
    <row r="29" spans="1:10" ht="18" x14ac:dyDescent="0.25">
      <c r="A29" s="1" t="s">
        <v>179</v>
      </c>
      <c r="B29" s="91" t="s">
        <v>96</v>
      </c>
      <c r="C29" s="363"/>
      <c r="D29" s="364"/>
      <c r="E29" s="363"/>
      <c r="F29" s="365">
        <v>19685</v>
      </c>
      <c r="G29" s="365"/>
      <c r="H29" s="365"/>
      <c r="I29" s="365"/>
      <c r="J29" s="363"/>
    </row>
    <row r="30" spans="1:10" ht="18" x14ac:dyDescent="0.25">
      <c r="A30" s="1" t="s">
        <v>180</v>
      </c>
      <c r="B30" s="83" t="s">
        <v>181</v>
      </c>
      <c r="C30" s="363"/>
      <c r="D30" s="364"/>
      <c r="E30" s="363"/>
      <c r="F30" s="365">
        <v>233070</v>
      </c>
      <c r="G30" s="365"/>
      <c r="H30" s="365"/>
      <c r="I30" s="365"/>
      <c r="J30" s="363"/>
    </row>
    <row r="31" spans="1:10" ht="18" x14ac:dyDescent="0.25">
      <c r="A31" s="1" t="s">
        <v>182</v>
      </c>
      <c r="B31" s="83" t="s">
        <v>652</v>
      </c>
      <c r="C31" s="363"/>
      <c r="D31" s="364"/>
      <c r="E31" s="363"/>
      <c r="F31" s="365">
        <v>118110</v>
      </c>
      <c r="G31" s="365"/>
      <c r="H31" s="365"/>
      <c r="I31" s="365"/>
      <c r="J31" s="363"/>
    </row>
    <row r="32" spans="1:10" ht="18" x14ac:dyDescent="0.25">
      <c r="A32" s="1" t="s">
        <v>182</v>
      </c>
      <c r="B32" s="83" t="s">
        <v>653</v>
      </c>
      <c r="C32" s="363"/>
      <c r="D32" s="364"/>
      <c r="E32" s="363"/>
      <c r="F32" s="365">
        <v>141732</v>
      </c>
      <c r="G32" s="365"/>
      <c r="H32" s="365"/>
      <c r="I32" s="365"/>
      <c r="J32" s="363"/>
    </row>
    <row r="33" spans="1:10" ht="15" x14ac:dyDescent="0.2">
      <c r="A33" s="372" t="s">
        <v>182</v>
      </c>
      <c r="B33" s="92" t="s">
        <v>183</v>
      </c>
      <c r="C33" s="364">
        <f>SUM(C29:C30)</f>
        <v>0</v>
      </c>
      <c r="D33" s="363">
        <f>SUM(D29:D30)</f>
        <v>0</v>
      </c>
      <c r="E33" s="364">
        <f>SUM(E29:E30)</f>
        <v>0</v>
      </c>
      <c r="F33" s="368">
        <f>SUM(F29:F32)</f>
        <v>512597</v>
      </c>
      <c r="G33" s="368">
        <v>512597</v>
      </c>
      <c r="H33" s="368">
        <v>441072</v>
      </c>
      <c r="I33" s="368">
        <v>242352</v>
      </c>
      <c r="J33" s="364">
        <f>SUM(J29:J30)</f>
        <v>0</v>
      </c>
    </row>
    <row r="34" spans="1:10" ht="18" x14ac:dyDescent="0.25">
      <c r="A34" s="1" t="s">
        <v>187</v>
      </c>
      <c r="B34" s="83" t="s">
        <v>69</v>
      </c>
      <c r="C34" s="363"/>
      <c r="D34" s="364"/>
      <c r="E34" s="363"/>
      <c r="F34" s="365"/>
      <c r="G34" s="365"/>
      <c r="H34" s="365"/>
      <c r="I34" s="365"/>
      <c r="J34" s="363"/>
    </row>
    <row r="35" spans="1:10" ht="18" x14ac:dyDescent="0.25">
      <c r="A35" s="1" t="s">
        <v>188</v>
      </c>
      <c r="B35" s="83" t="s">
        <v>184</v>
      </c>
      <c r="C35" s="363"/>
      <c r="D35" s="364"/>
      <c r="E35" s="363"/>
      <c r="F35" s="365">
        <v>181102</v>
      </c>
      <c r="G35" s="365"/>
      <c r="H35" s="365"/>
      <c r="I35" s="365"/>
      <c r="J35" s="363"/>
    </row>
    <row r="36" spans="1:10" ht="18" x14ac:dyDescent="0.25">
      <c r="A36" s="1" t="s">
        <v>189</v>
      </c>
      <c r="B36" s="83" t="s">
        <v>185</v>
      </c>
      <c r="C36" s="363"/>
      <c r="D36" s="364"/>
      <c r="E36" s="363"/>
      <c r="F36" s="365">
        <v>0</v>
      </c>
      <c r="G36" s="365"/>
      <c r="H36" s="365"/>
      <c r="I36" s="365"/>
      <c r="J36" s="363"/>
    </row>
    <row r="37" spans="1:10" ht="18" x14ac:dyDescent="0.25">
      <c r="A37" s="1" t="s">
        <v>190</v>
      </c>
      <c r="B37" s="83" t="s">
        <v>70</v>
      </c>
      <c r="C37" s="363"/>
      <c r="D37" s="364"/>
      <c r="E37" s="363"/>
      <c r="F37" s="365"/>
      <c r="G37" s="365"/>
      <c r="H37" s="365"/>
      <c r="I37" s="365"/>
      <c r="J37" s="363"/>
    </row>
    <row r="38" spans="1:10" ht="18" x14ac:dyDescent="0.25">
      <c r="A38" s="1" t="s">
        <v>191</v>
      </c>
      <c r="B38" s="91" t="s">
        <v>78</v>
      </c>
      <c r="C38" s="363"/>
      <c r="D38" s="364"/>
      <c r="E38" s="363"/>
      <c r="F38" s="365">
        <v>206692</v>
      </c>
      <c r="G38" s="365"/>
      <c r="H38" s="365"/>
      <c r="I38" s="365"/>
      <c r="J38" s="363"/>
    </row>
    <row r="39" spans="1:10" ht="18" x14ac:dyDescent="0.25">
      <c r="A39" s="1" t="s">
        <v>192</v>
      </c>
      <c r="B39" s="83" t="s">
        <v>186</v>
      </c>
      <c r="C39" s="363"/>
      <c r="D39" s="364"/>
      <c r="E39" s="363"/>
      <c r="F39" s="365">
        <v>561101</v>
      </c>
      <c r="G39" s="365"/>
      <c r="H39" s="365"/>
      <c r="I39" s="365"/>
      <c r="J39" s="363"/>
    </row>
    <row r="40" spans="1:10" ht="15" x14ac:dyDescent="0.2">
      <c r="A40" s="1" t="s">
        <v>193</v>
      </c>
      <c r="B40" s="90" t="s">
        <v>194</v>
      </c>
      <c r="C40" s="364">
        <f>SUM(C34:C39)</f>
        <v>0</v>
      </c>
      <c r="D40" s="363">
        <f>SUM(D34:D39)</f>
        <v>0</v>
      </c>
      <c r="E40" s="364">
        <f>SUM(E34:E39)</f>
        <v>0</v>
      </c>
      <c r="F40" s="368">
        <f>SUM(F34:F39)</f>
        <v>948895</v>
      </c>
      <c r="G40" s="368">
        <v>948895</v>
      </c>
      <c r="H40" s="368">
        <v>1008895</v>
      </c>
      <c r="I40" s="368">
        <v>872024</v>
      </c>
      <c r="J40" s="364">
        <f>SUM(J34:J39)</f>
        <v>0</v>
      </c>
    </row>
    <row r="41" spans="1:10" ht="18" x14ac:dyDescent="0.25">
      <c r="A41" s="145" t="s">
        <v>178</v>
      </c>
      <c r="B41" s="153" t="s">
        <v>197</v>
      </c>
      <c r="C41" s="370">
        <f>SUM(C40,C33)</f>
        <v>0</v>
      </c>
      <c r="D41" s="371">
        <f>SUM(D40,D33)</f>
        <v>0</v>
      </c>
      <c r="E41" s="370">
        <f>SUM(E40,E33)</f>
        <v>0</v>
      </c>
      <c r="F41" s="369">
        <f>SUM(F40,F33)</f>
        <v>1461492</v>
      </c>
      <c r="G41" s="369">
        <f t="shared" ref="G41:I41" si="3">SUM(G40,G33)</f>
        <v>1461492</v>
      </c>
      <c r="H41" s="369">
        <f t="shared" si="3"/>
        <v>1449967</v>
      </c>
      <c r="I41" s="369">
        <f t="shared" si="3"/>
        <v>1114376</v>
      </c>
      <c r="J41" s="368">
        <f>SUM(J40,J33)</f>
        <v>0</v>
      </c>
    </row>
    <row r="42" spans="1:10" ht="18" x14ac:dyDescent="0.25">
      <c r="A42" s="1" t="s">
        <v>198</v>
      </c>
      <c r="B42" s="83" t="s">
        <v>199</v>
      </c>
      <c r="C42" s="363"/>
      <c r="D42" s="364"/>
      <c r="E42" s="363"/>
      <c r="F42" s="374"/>
      <c r="G42" s="374"/>
      <c r="H42" s="374"/>
      <c r="I42" s="374"/>
      <c r="J42" s="363"/>
    </row>
    <row r="43" spans="1:10" ht="18" x14ac:dyDescent="0.25">
      <c r="A43" s="1" t="s">
        <v>200</v>
      </c>
      <c r="B43" s="83" t="s">
        <v>450</v>
      </c>
      <c r="C43" s="363"/>
      <c r="D43" s="364"/>
      <c r="E43" s="363"/>
      <c r="F43" s="374">
        <v>102362</v>
      </c>
      <c r="G43" s="374">
        <v>102362</v>
      </c>
      <c r="H43" s="374">
        <v>102362</v>
      </c>
      <c r="I43" s="374">
        <v>82682</v>
      </c>
      <c r="J43" s="363"/>
    </row>
    <row r="44" spans="1:10" ht="18" x14ac:dyDescent="0.25">
      <c r="A44" s="145" t="s">
        <v>201</v>
      </c>
      <c r="B44" s="146" t="s">
        <v>202</v>
      </c>
      <c r="C44" s="368">
        <f>SUM(C42:C43)</f>
        <v>0</v>
      </c>
      <c r="D44" s="368">
        <f>SUM(D42:D43)</f>
        <v>0</v>
      </c>
      <c r="E44" s="368">
        <f>SUM(E42:E43)</f>
        <v>0</v>
      </c>
      <c r="F44" s="369">
        <f>SUM(F42:F43)</f>
        <v>102362</v>
      </c>
      <c r="G44" s="369">
        <f t="shared" ref="G44:I44" si="4">SUM(G42:G43)</f>
        <v>102362</v>
      </c>
      <c r="H44" s="369">
        <f t="shared" si="4"/>
        <v>102362</v>
      </c>
      <c r="I44" s="369">
        <f t="shared" si="4"/>
        <v>82682</v>
      </c>
      <c r="J44" s="368">
        <f>SUM(J42:J43)</f>
        <v>0</v>
      </c>
    </row>
    <row r="45" spans="1:10" ht="18" x14ac:dyDescent="0.25">
      <c r="A45" s="1" t="s">
        <v>203</v>
      </c>
      <c r="B45" s="83" t="s">
        <v>451</v>
      </c>
      <c r="C45" s="363"/>
      <c r="D45" s="364"/>
      <c r="E45" s="363"/>
      <c r="F45" s="374">
        <v>1118109</v>
      </c>
      <c r="G45" s="374">
        <v>1118109</v>
      </c>
      <c r="H45" s="374">
        <v>1118109</v>
      </c>
      <c r="I45" s="374">
        <v>832141</v>
      </c>
      <c r="J45" s="363"/>
    </row>
    <row r="46" spans="1:10" ht="18" x14ac:dyDescent="0.25">
      <c r="A46" s="1" t="s">
        <v>214</v>
      </c>
      <c r="B46" s="83" t="s">
        <v>215</v>
      </c>
      <c r="C46" s="363"/>
      <c r="D46" s="364"/>
      <c r="E46" s="363"/>
      <c r="F46" s="374">
        <v>7523480</v>
      </c>
      <c r="G46" s="374">
        <v>7523480</v>
      </c>
      <c r="H46" s="374">
        <v>7523480</v>
      </c>
      <c r="I46" s="374">
        <v>6183720</v>
      </c>
      <c r="J46" s="363"/>
    </row>
    <row r="47" spans="1:10" ht="18" x14ac:dyDescent="0.25">
      <c r="A47" s="1" t="s">
        <v>204</v>
      </c>
      <c r="B47" s="83" t="s">
        <v>205</v>
      </c>
      <c r="C47" s="363"/>
      <c r="D47" s="364"/>
      <c r="E47" s="363"/>
      <c r="F47" s="374"/>
      <c r="G47" s="374"/>
      <c r="H47" s="374"/>
      <c r="I47" s="374"/>
      <c r="J47" s="363"/>
    </row>
    <row r="48" spans="1:10" ht="18" x14ac:dyDescent="0.25">
      <c r="A48" s="1" t="s">
        <v>206</v>
      </c>
      <c r="B48" s="83" t="s">
        <v>207</v>
      </c>
      <c r="C48" s="363"/>
      <c r="D48" s="364"/>
      <c r="E48" s="363"/>
      <c r="F48" s="374">
        <v>968502</v>
      </c>
      <c r="G48" s="374">
        <v>968502</v>
      </c>
      <c r="H48" s="374">
        <v>968502</v>
      </c>
      <c r="I48" s="374">
        <v>376285</v>
      </c>
      <c r="J48" s="363"/>
    </row>
    <row r="49" spans="1:10" ht="18" x14ac:dyDescent="0.25">
      <c r="A49" s="1" t="s">
        <v>208</v>
      </c>
      <c r="B49" s="83" t="s">
        <v>209</v>
      </c>
      <c r="C49" s="363"/>
      <c r="D49" s="364"/>
      <c r="E49" s="363"/>
      <c r="F49" s="374"/>
      <c r="G49" s="374"/>
      <c r="H49" s="374"/>
      <c r="I49" s="374"/>
      <c r="J49" s="363"/>
    </row>
    <row r="50" spans="1:10" ht="18" x14ac:dyDescent="0.25">
      <c r="A50" s="1" t="s">
        <v>210</v>
      </c>
      <c r="B50" s="83" t="s">
        <v>486</v>
      </c>
      <c r="C50" s="363"/>
      <c r="D50" s="364"/>
      <c r="E50" s="363"/>
      <c r="F50" s="374"/>
      <c r="G50" s="374"/>
      <c r="H50" s="374"/>
      <c r="I50" s="374"/>
      <c r="J50" s="363"/>
    </row>
    <row r="51" spans="1:10" ht="18" x14ac:dyDescent="0.25">
      <c r="A51" s="1" t="s">
        <v>211</v>
      </c>
      <c r="B51" s="83" t="s">
        <v>487</v>
      </c>
      <c r="C51" s="363"/>
      <c r="D51" s="364"/>
      <c r="E51" s="363"/>
      <c r="F51" s="374">
        <v>920077</v>
      </c>
      <c r="G51" s="374">
        <v>905077</v>
      </c>
      <c r="H51" s="374">
        <v>916602</v>
      </c>
      <c r="I51" s="374">
        <v>904645</v>
      </c>
      <c r="J51" s="363"/>
    </row>
    <row r="52" spans="1:10" ht="18" x14ac:dyDescent="0.25">
      <c r="A52" s="145" t="s">
        <v>212</v>
      </c>
      <c r="B52" s="146" t="s">
        <v>213</v>
      </c>
      <c r="C52" s="367">
        <f>SUM(C45:C51)</f>
        <v>0</v>
      </c>
      <c r="D52" s="368">
        <f>SUM(D45:D51)</f>
        <v>0</v>
      </c>
      <c r="E52" s="367">
        <f>SUM(E45:E51)</f>
        <v>0</v>
      </c>
      <c r="F52" s="369">
        <f>SUM(F45:F51)</f>
        <v>10530168</v>
      </c>
      <c r="G52" s="369">
        <f t="shared" ref="G52:I52" si="5">SUM(G45:G51)</f>
        <v>10515168</v>
      </c>
      <c r="H52" s="369">
        <f t="shared" si="5"/>
        <v>10526693</v>
      </c>
      <c r="I52" s="369">
        <f t="shared" si="5"/>
        <v>8296791</v>
      </c>
      <c r="J52" s="368">
        <f>SUM(J45:J51)</f>
        <v>0</v>
      </c>
    </row>
    <row r="53" spans="1:10" ht="18" x14ac:dyDescent="0.25">
      <c r="A53" s="1" t="s">
        <v>216</v>
      </c>
      <c r="B53" s="83" t="s">
        <v>219</v>
      </c>
      <c r="C53" s="363"/>
      <c r="D53" s="364"/>
      <c r="E53" s="363"/>
      <c r="F53" s="374">
        <v>39370</v>
      </c>
      <c r="G53" s="374">
        <v>39370</v>
      </c>
      <c r="H53" s="374">
        <v>39370</v>
      </c>
      <c r="I53" s="374"/>
      <c r="J53" s="363"/>
    </row>
    <row r="54" spans="1:10" ht="18" x14ac:dyDescent="0.25">
      <c r="A54" s="1" t="s">
        <v>217</v>
      </c>
      <c r="B54" s="83" t="s">
        <v>220</v>
      </c>
      <c r="C54" s="363"/>
      <c r="D54" s="364"/>
      <c r="E54" s="363"/>
      <c r="F54" s="374"/>
      <c r="G54" s="374"/>
      <c r="H54" s="374"/>
      <c r="I54" s="374"/>
      <c r="J54" s="363"/>
    </row>
    <row r="55" spans="1:10" ht="18" x14ac:dyDescent="0.25">
      <c r="A55" s="1" t="s">
        <v>218</v>
      </c>
      <c r="B55" s="83" t="s">
        <v>71</v>
      </c>
      <c r="C55" s="363"/>
      <c r="D55" s="364"/>
      <c r="E55" s="363"/>
      <c r="F55" s="374"/>
      <c r="G55" s="374"/>
      <c r="H55" s="374"/>
      <c r="I55" s="374"/>
      <c r="J55" s="363"/>
    </row>
    <row r="56" spans="1:10" ht="18" x14ac:dyDescent="0.25">
      <c r="A56" s="145" t="s">
        <v>221</v>
      </c>
      <c r="B56" s="146" t="s">
        <v>222</v>
      </c>
      <c r="C56" s="367">
        <f>SUM(C53:C55)</f>
        <v>0</v>
      </c>
      <c r="D56" s="368">
        <f>SUM(D53:D55)</f>
        <v>0</v>
      </c>
      <c r="E56" s="367">
        <f>SUM(E53:E55)</f>
        <v>0</v>
      </c>
      <c r="F56" s="369">
        <f>SUM(F53:F55)</f>
        <v>39370</v>
      </c>
      <c r="G56" s="369">
        <f t="shared" ref="G56:J56" si="6">SUM(G53:G55)</f>
        <v>39370</v>
      </c>
      <c r="H56" s="369">
        <f t="shared" si="6"/>
        <v>39370</v>
      </c>
      <c r="I56" s="369">
        <f t="shared" si="6"/>
        <v>0</v>
      </c>
      <c r="J56" s="369">
        <f t="shared" si="6"/>
        <v>0</v>
      </c>
    </row>
    <row r="57" spans="1:10" ht="18" x14ac:dyDescent="0.25">
      <c r="A57" s="1" t="s">
        <v>223</v>
      </c>
      <c r="B57" s="83" t="s">
        <v>228</v>
      </c>
      <c r="C57" s="363"/>
      <c r="D57" s="364"/>
      <c r="E57" s="363"/>
      <c r="F57" s="374">
        <v>3170886</v>
      </c>
      <c r="G57" s="374">
        <v>3170886</v>
      </c>
      <c r="H57" s="374">
        <v>3170886</v>
      </c>
      <c r="I57" s="374">
        <v>2303209</v>
      </c>
      <c r="J57" s="363"/>
    </row>
    <row r="58" spans="1:10" ht="18" x14ac:dyDescent="0.25">
      <c r="A58" s="1" t="s">
        <v>224</v>
      </c>
      <c r="B58" s="83" t="s">
        <v>229</v>
      </c>
      <c r="C58" s="363"/>
      <c r="D58" s="364"/>
      <c r="E58" s="363"/>
      <c r="F58" s="374"/>
      <c r="G58" s="374"/>
      <c r="H58" s="374"/>
      <c r="I58" s="374"/>
      <c r="J58" s="363"/>
    </row>
    <row r="59" spans="1:10" ht="18" x14ac:dyDescent="0.25">
      <c r="A59" s="1" t="s">
        <v>225</v>
      </c>
      <c r="B59" s="83" t="s">
        <v>230</v>
      </c>
      <c r="C59" s="363"/>
      <c r="D59" s="364"/>
      <c r="E59" s="363"/>
      <c r="F59" s="374"/>
      <c r="G59" s="374"/>
      <c r="H59" s="374"/>
      <c r="I59" s="374"/>
      <c r="J59" s="363"/>
    </row>
    <row r="60" spans="1:10" ht="18" x14ac:dyDescent="0.25">
      <c r="A60" s="1" t="s">
        <v>226</v>
      </c>
      <c r="B60" s="91" t="s">
        <v>231</v>
      </c>
      <c r="C60" s="363"/>
      <c r="D60" s="364"/>
      <c r="E60" s="363"/>
      <c r="F60" s="374"/>
      <c r="G60" s="374"/>
      <c r="H60" s="374"/>
      <c r="I60" s="374"/>
      <c r="J60" s="363"/>
    </row>
    <row r="61" spans="1:10" ht="18" x14ac:dyDescent="0.25">
      <c r="A61" s="1" t="s">
        <v>227</v>
      </c>
      <c r="B61" s="83" t="s">
        <v>232</v>
      </c>
      <c r="C61" s="363"/>
      <c r="D61" s="364"/>
      <c r="E61" s="363"/>
      <c r="F61" s="683"/>
      <c r="G61" s="374">
        <v>15000</v>
      </c>
      <c r="H61" s="374">
        <v>15000</v>
      </c>
      <c r="I61" s="857">
        <v>4657</v>
      </c>
      <c r="J61" s="363"/>
    </row>
    <row r="62" spans="1:10" ht="18" x14ac:dyDescent="0.25">
      <c r="A62" s="8" t="s">
        <v>233</v>
      </c>
      <c r="B62" s="143" t="s">
        <v>234</v>
      </c>
      <c r="C62" s="375">
        <f>SUM(C57:C61)</f>
        <v>0</v>
      </c>
      <c r="D62" s="376">
        <f>SUM(D57:D61)</f>
        <v>0</v>
      </c>
      <c r="E62" s="376">
        <f>SUM(E57:E61)</f>
        <v>0</v>
      </c>
      <c r="F62" s="377">
        <f>SUM(F57:F61)</f>
        <v>3170886</v>
      </c>
      <c r="G62" s="377">
        <f t="shared" ref="G62:I62" si="7">SUM(G57:G61)</f>
        <v>3185886</v>
      </c>
      <c r="H62" s="377">
        <f t="shared" si="7"/>
        <v>3185886</v>
      </c>
      <c r="I62" s="377">
        <f t="shared" si="7"/>
        <v>2307866</v>
      </c>
      <c r="J62" s="376">
        <f>SUM(J57:J61)</f>
        <v>0</v>
      </c>
    </row>
    <row r="63" spans="1:10" ht="18" x14ac:dyDescent="0.25">
      <c r="A63" s="157" t="s">
        <v>235</v>
      </c>
      <c r="B63" s="155" t="s">
        <v>236</v>
      </c>
      <c r="C63" s="370">
        <f>SUM(C41,C44,C52,C56,C62)</f>
        <v>0</v>
      </c>
      <c r="D63" s="371">
        <f>SUM(D41,D44,D52,D56,D62)</f>
        <v>0</v>
      </c>
      <c r="E63" s="370">
        <f>SUM(E41,E44,E52,E56,E62)</f>
        <v>0</v>
      </c>
      <c r="F63" s="369">
        <f>SUM(F41,F44,F52,F56,F62)</f>
        <v>15304278</v>
      </c>
      <c r="G63" s="369">
        <f t="shared" ref="G63:I63" si="8">SUM(G41,G44,G52,G56,G62)</f>
        <v>15304278</v>
      </c>
      <c r="H63" s="369">
        <f t="shared" si="8"/>
        <v>15304278</v>
      </c>
      <c r="I63" s="369">
        <f t="shared" si="8"/>
        <v>11801715</v>
      </c>
      <c r="J63" s="369">
        <f>SUM(J41,J44,J52,J56,J62)</f>
        <v>0</v>
      </c>
    </row>
    <row r="64" spans="1:10" ht="18" x14ac:dyDescent="0.25">
      <c r="A64" s="182" t="s">
        <v>267</v>
      </c>
      <c r="B64" s="155" t="s">
        <v>309</v>
      </c>
      <c r="C64" s="370"/>
      <c r="D64" s="370"/>
      <c r="E64" s="370"/>
      <c r="F64" s="369"/>
      <c r="G64" s="369"/>
      <c r="H64" s="369"/>
      <c r="I64" s="369"/>
      <c r="J64" s="368">
        <f>SUM('[1]Szoc.jutt.'!G35)</f>
        <v>0</v>
      </c>
    </row>
    <row r="65" spans="1:10" ht="18" x14ac:dyDescent="0.25">
      <c r="A65" s="178" t="s">
        <v>270</v>
      </c>
      <c r="B65" s="142" t="s">
        <v>306</v>
      </c>
      <c r="C65" s="378"/>
      <c r="D65" s="378"/>
      <c r="E65" s="378"/>
      <c r="F65" s="374"/>
      <c r="G65" s="374"/>
      <c r="H65" s="374"/>
      <c r="I65" s="374"/>
      <c r="J65" s="363">
        <f>SUM([1]Pénze.átadás!G20)</f>
        <v>0</v>
      </c>
    </row>
    <row r="66" spans="1:10" ht="18" x14ac:dyDescent="0.25">
      <c r="A66" s="178" t="s">
        <v>272</v>
      </c>
      <c r="B66" s="142" t="s">
        <v>307</v>
      </c>
      <c r="C66" s="378"/>
      <c r="D66" s="378"/>
      <c r="E66" s="378"/>
      <c r="F66" s="374"/>
      <c r="G66" s="374"/>
      <c r="H66" s="374"/>
      <c r="I66" s="374"/>
      <c r="J66" s="363">
        <f>SUM([1]Pénze.átadás!G23)</f>
        <v>0</v>
      </c>
    </row>
    <row r="67" spans="1:10" ht="18" x14ac:dyDescent="0.25">
      <c r="A67" s="178" t="s">
        <v>274</v>
      </c>
      <c r="B67" s="142" t="s">
        <v>308</v>
      </c>
      <c r="C67" s="378"/>
      <c r="D67" s="378"/>
      <c r="E67" s="378"/>
      <c r="F67" s="374"/>
      <c r="G67" s="374"/>
      <c r="H67" s="374"/>
      <c r="I67" s="374"/>
      <c r="J67" s="363">
        <f>SUM([1]Pénze.átadás!G31)</f>
        <v>0</v>
      </c>
    </row>
    <row r="68" spans="1:10" ht="18" x14ac:dyDescent="0.25">
      <c r="A68" s="178" t="s">
        <v>276</v>
      </c>
      <c r="B68" s="142" t="s">
        <v>277</v>
      </c>
      <c r="C68" s="378"/>
      <c r="D68" s="378"/>
      <c r="E68" s="378"/>
      <c r="F68" s="374"/>
      <c r="G68" s="374"/>
      <c r="H68" s="374"/>
      <c r="I68" s="374"/>
      <c r="J68" s="363">
        <f>SUM([1]Pénze.átadás!G35)</f>
        <v>0</v>
      </c>
    </row>
    <row r="69" spans="1:10" ht="18" x14ac:dyDescent="0.25">
      <c r="A69" s="157" t="s">
        <v>278</v>
      </c>
      <c r="B69" s="155" t="s">
        <v>279</v>
      </c>
      <c r="C69" s="370">
        <f>SUM(C65:C68)</f>
        <v>0</v>
      </c>
      <c r="D69" s="370">
        <f>SUM(D65:D68)</f>
        <v>0</v>
      </c>
      <c r="E69" s="370">
        <f>SUM(E65:E68)</f>
        <v>0</v>
      </c>
      <c r="F69" s="369">
        <f>SUM(F65:F68)</f>
        <v>0</v>
      </c>
      <c r="G69" s="369"/>
      <c r="H69" s="369"/>
      <c r="I69" s="369"/>
      <c r="J69" s="368">
        <f>SUM(J65:J68)</f>
        <v>0</v>
      </c>
    </row>
    <row r="70" spans="1:10" ht="18" x14ac:dyDescent="0.25">
      <c r="A70" s="157" t="s">
        <v>249</v>
      </c>
      <c r="B70" s="155" t="s">
        <v>310</v>
      </c>
      <c r="C70" s="370"/>
      <c r="D70" s="370"/>
      <c r="E70" s="370"/>
      <c r="F70" s="369">
        <v>274999</v>
      </c>
      <c r="G70" s="369">
        <v>274999</v>
      </c>
      <c r="H70" s="369">
        <v>274999</v>
      </c>
      <c r="I70" s="369">
        <v>248339</v>
      </c>
      <c r="J70" s="368">
        <f>SUM('[1]Ber.-felú.'!G31)</f>
        <v>0</v>
      </c>
    </row>
    <row r="71" spans="1:10" ht="18" x14ac:dyDescent="0.25">
      <c r="A71" s="157" t="s">
        <v>255</v>
      </c>
      <c r="B71" s="155" t="s">
        <v>311</v>
      </c>
      <c r="C71" s="370"/>
      <c r="D71" s="370"/>
      <c r="E71" s="370"/>
      <c r="F71" s="369"/>
      <c r="G71" s="369"/>
      <c r="H71" s="369"/>
      <c r="I71" s="369"/>
      <c r="J71" s="368">
        <f>SUM('[1]Ber.-felú.'!G37)</f>
        <v>0</v>
      </c>
    </row>
    <row r="72" spans="1:10" ht="14.25" x14ac:dyDescent="0.2">
      <c r="A72" s="5" t="s">
        <v>257</v>
      </c>
      <c r="B72" s="142" t="s">
        <v>313</v>
      </c>
      <c r="C72" s="364"/>
      <c r="D72" s="364"/>
      <c r="E72" s="364"/>
      <c r="F72" s="364"/>
      <c r="G72" s="364"/>
      <c r="H72" s="364"/>
      <c r="I72" s="364"/>
      <c r="J72" s="364"/>
    </row>
    <row r="73" spans="1:10" ht="14.25" x14ac:dyDescent="0.2">
      <c r="A73" s="5" t="s">
        <v>258</v>
      </c>
      <c r="B73" s="142" t="s">
        <v>314</v>
      </c>
      <c r="C73" s="364"/>
      <c r="D73" s="364"/>
      <c r="E73" s="364"/>
      <c r="F73" s="364"/>
      <c r="G73" s="364"/>
      <c r="H73" s="364"/>
      <c r="I73" s="364"/>
      <c r="J73" s="364"/>
    </row>
    <row r="74" spans="1:10" ht="14.25" x14ac:dyDescent="0.2">
      <c r="A74" s="5" t="s">
        <v>259</v>
      </c>
      <c r="B74" s="142" t="s">
        <v>315</v>
      </c>
      <c r="C74" s="364"/>
      <c r="D74" s="364"/>
      <c r="E74" s="364"/>
      <c r="F74" s="364"/>
      <c r="G74" s="364"/>
      <c r="H74" s="364"/>
      <c r="I74" s="364"/>
      <c r="J74" s="364">
        <f>SUM('[1]Ber.-felú.'!G43)</f>
        <v>0</v>
      </c>
    </row>
    <row r="75" spans="1:10" ht="18" x14ac:dyDescent="0.25">
      <c r="A75" s="157" t="s">
        <v>261</v>
      </c>
      <c r="B75" s="155" t="s">
        <v>312</v>
      </c>
      <c r="C75" s="370">
        <f>SUM(C72:C74)</f>
        <v>0</v>
      </c>
      <c r="D75" s="370">
        <f>SUM(D72:D74)</f>
        <v>0</v>
      </c>
      <c r="E75" s="370">
        <f>SUM(E72:E74)</f>
        <v>0</v>
      </c>
      <c r="F75" s="369">
        <f>SUM(F72:F74)</f>
        <v>0</v>
      </c>
      <c r="G75" s="369"/>
      <c r="H75" s="369"/>
      <c r="I75" s="369"/>
      <c r="J75" s="368">
        <f>SUM(J72:J74)</f>
        <v>0</v>
      </c>
    </row>
    <row r="76" spans="1:10" ht="18" x14ac:dyDescent="0.25">
      <c r="A76" s="157"/>
      <c r="B76" s="155" t="s">
        <v>316</v>
      </c>
      <c r="C76" s="370">
        <f>SUM(C23,C28,C63,C64,C69,C70,C71,C75)</f>
        <v>0</v>
      </c>
      <c r="D76" s="370">
        <f>SUM(D23,D28,D63,D64,D69,D70,D71,D75)</f>
        <v>0</v>
      </c>
      <c r="E76" s="370">
        <f>SUM(E23,E28,E63,E64,E69,E70,E71,E75)</f>
        <v>0</v>
      </c>
      <c r="F76" s="369">
        <f>SUM(F23,F28,F63,F64,F69,F70,F71,F75)</f>
        <v>64433737</v>
      </c>
      <c r="G76" s="369">
        <f t="shared" ref="G76:I76" si="9">SUM(G23,G28,G63,G64,G69,G70,G71,G75)</f>
        <v>64436366</v>
      </c>
      <c r="H76" s="369">
        <f t="shared" si="9"/>
        <v>64522954</v>
      </c>
      <c r="I76" s="369">
        <f t="shared" si="9"/>
        <v>60273161</v>
      </c>
      <c r="J76" s="368">
        <f>SUM(J23,J28,J63,J64,J69,J70,J71,J75)</f>
        <v>0</v>
      </c>
    </row>
    <row r="77" spans="1:10" ht="18" x14ac:dyDescent="0.25">
      <c r="A77" s="5" t="s">
        <v>317</v>
      </c>
      <c r="B77" s="183" t="s">
        <v>318</v>
      </c>
      <c r="C77" s="379"/>
      <c r="D77" s="380"/>
      <c r="E77" s="381"/>
      <c r="F77" s="377"/>
      <c r="G77" s="377"/>
      <c r="H77" s="377"/>
      <c r="I77" s="377"/>
      <c r="J77" s="363"/>
    </row>
    <row r="78" spans="1:10" ht="18" x14ac:dyDescent="0.25">
      <c r="A78" s="5"/>
      <c r="B78" s="183"/>
      <c r="C78" s="379"/>
      <c r="D78" s="379"/>
      <c r="E78" s="379"/>
      <c r="F78" s="382"/>
      <c r="G78" s="382"/>
      <c r="H78" s="382"/>
      <c r="I78" s="382"/>
      <c r="J78" s="379"/>
    </row>
    <row r="79" spans="1:10" ht="18" x14ac:dyDescent="0.25">
      <c r="A79" s="5" t="s">
        <v>319</v>
      </c>
      <c r="B79" s="183" t="s">
        <v>320</v>
      </c>
      <c r="C79" s="379"/>
      <c r="D79" s="380"/>
      <c r="E79" s="381"/>
      <c r="F79" s="377"/>
      <c r="G79" s="377"/>
      <c r="H79" s="377"/>
      <c r="I79" s="377"/>
      <c r="J79" s="363"/>
    </row>
    <row r="80" spans="1:10" ht="18" x14ac:dyDescent="0.25">
      <c r="A80" s="200"/>
      <c r="B80" s="201" t="s">
        <v>384</v>
      </c>
      <c r="C80" s="383">
        <f>SUM(C76:C79)</f>
        <v>0</v>
      </c>
      <c r="D80" s="383">
        <f>SUM(D76:D79)</f>
        <v>0</v>
      </c>
      <c r="E80" s="383">
        <f>SUM(E76:E79)</f>
        <v>0</v>
      </c>
      <c r="F80" s="384">
        <f>SUM(F76:F79)</f>
        <v>64433737</v>
      </c>
      <c r="G80" s="384">
        <f t="shared" ref="G80:I80" si="10">SUM(G76:G79)</f>
        <v>64436366</v>
      </c>
      <c r="H80" s="384">
        <f t="shared" si="10"/>
        <v>64522954</v>
      </c>
      <c r="I80" s="384">
        <f t="shared" si="10"/>
        <v>60273161</v>
      </c>
      <c r="J80" s="385">
        <f>SUM(J76:J79)</f>
        <v>0</v>
      </c>
    </row>
    <row r="81" spans="1:10" ht="18" x14ac:dyDescent="0.25">
      <c r="A81" s="202"/>
      <c r="B81" s="203"/>
      <c r="C81" s="386"/>
      <c r="D81" s="386"/>
      <c r="E81" s="386"/>
      <c r="F81" s="387"/>
      <c r="G81" s="387"/>
      <c r="H81" s="387"/>
      <c r="I81" s="387"/>
      <c r="J81" s="388"/>
    </row>
    <row r="82" spans="1:10" ht="18" x14ac:dyDescent="0.25">
      <c r="A82" s="10" t="s">
        <v>399</v>
      </c>
      <c r="B82" s="2" t="s">
        <v>405</v>
      </c>
      <c r="C82" s="363"/>
      <c r="D82" s="364"/>
      <c r="E82" s="363"/>
      <c r="F82" s="374"/>
      <c r="G82" s="374"/>
      <c r="H82" s="374"/>
      <c r="I82" s="374"/>
      <c r="J82" s="363"/>
    </row>
    <row r="83" spans="1:10" ht="18" x14ac:dyDescent="0.25">
      <c r="A83" s="10" t="s">
        <v>400</v>
      </c>
      <c r="B83" s="83" t="s">
        <v>406</v>
      </c>
      <c r="C83" s="363"/>
      <c r="D83" s="364"/>
      <c r="E83" s="363"/>
      <c r="F83" s="374"/>
      <c r="G83" s="374"/>
      <c r="H83" s="374"/>
      <c r="I83" s="374"/>
      <c r="J83" s="363"/>
    </row>
    <row r="84" spans="1:10" ht="18" x14ac:dyDescent="0.25">
      <c r="A84" s="10" t="s">
        <v>401</v>
      </c>
      <c r="B84" s="83" t="s">
        <v>407</v>
      </c>
      <c r="C84" s="363"/>
      <c r="D84" s="364"/>
      <c r="E84" s="363"/>
      <c r="F84" s="374"/>
      <c r="G84" s="374"/>
      <c r="H84" s="374"/>
      <c r="I84" s="374"/>
      <c r="J84" s="363"/>
    </row>
    <row r="85" spans="1:10" ht="18" x14ac:dyDescent="0.25">
      <c r="A85" s="10" t="s">
        <v>402</v>
      </c>
      <c r="B85" s="83" t="s">
        <v>408</v>
      </c>
      <c r="C85" s="363"/>
      <c r="D85" s="364"/>
      <c r="E85" s="363"/>
      <c r="F85" s="374"/>
      <c r="G85" s="374"/>
      <c r="H85" s="374"/>
      <c r="I85" s="374"/>
      <c r="J85" s="363"/>
    </row>
    <row r="86" spans="1:10" ht="18" x14ac:dyDescent="0.25">
      <c r="A86" s="10" t="s">
        <v>403</v>
      </c>
      <c r="B86" s="83" t="s">
        <v>409</v>
      </c>
      <c r="C86" s="363"/>
      <c r="D86" s="364"/>
      <c r="E86" s="363"/>
      <c r="F86" s="374"/>
      <c r="G86" s="374"/>
      <c r="H86" s="374"/>
      <c r="I86" s="374"/>
      <c r="J86" s="363"/>
    </row>
    <row r="87" spans="1:10" ht="18" x14ac:dyDescent="0.25">
      <c r="A87" s="10" t="s">
        <v>404</v>
      </c>
      <c r="B87" s="83" t="s">
        <v>410</v>
      </c>
      <c r="C87" s="363"/>
      <c r="D87" s="364"/>
      <c r="E87" s="363"/>
      <c r="F87" s="374"/>
      <c r="G87" s="374"/>
      <c r="H87" s="374"/>
      <c r="I87" s="374"/>
      <c r="J87" s="363"/>
    </row>
    <row r="88" spans="1:10" ht="18" x14ac:dyDescent="0.25">
      <c r="A88" s="151" t="s">
        <v>329</v>
      </c>
      <c r="B88" s="153" t="s">
        <v>322</v>
      </c>
      <c r="C88" s="367">
        <f>SUM(C82:C87)</f>
        <v>0</v>
      </c>
      <c r="D88" s="368">
        <f>SUM(D82:D87)</f>
        <v>0</v>
      </c>
      <c r="E88" s="367">
        <f>SUM(E82:E87)</f>
        <v>0</v>
      </c>
      <c r="F88" s="369">
        <f>SUM(F82:F87)</f>
        <v>0</v>
      </c>
      <c r="G88" s="369"/>
      <c r="H88" s="369"/>
      <c r="I88" s="369"/>
      <c r="J88" s="368">
        <f>SUM(J82:J87)</f>
        <v>0</v>
      </c>
    </row>
    <row r="89" spans="1:10" ht="15" x14ac:dyDescent="0.2">
      <c r="A89" s="1"/>
      <c r="B89" s="83" t="s">
        <v>452</v>
      </c>
      <c r="C89" s="363"/>
      <c r="D89" s="364"/>
      <c r="E89" s="363"/>
      <c r="F89" s="104"/>
      <c r="G89" s="104"/>
      <c r="H89" s="104"/>
      <c r="I89" s="104"/>
      <c r="J89" s="363"/>
    </row>
    <row r="90" spans="1:10" ht="15" x14ac:dyDescent="0.2">
      <c r="A90" s="1"/>
      <c r="B90" s="83"/>
      <c r="C90" s="363"/>
      <c r="D90" s="363"/>
      <c r="E90" s="363"/>
      <c r="F90" s="104"/>
      <c r="G90" s="104"/>
      <c r="H90" s="104"/>
      <c r="I90" s="104"/>
      <c r="J90" s="363"/>
    </row>
    <row r="91" spans="1:10" ht="15" x14ac:dyDescent="0.2">
      <c r="A91" s="151" t="s">
        <v>330</v>
      </c>
      <c r="B91" s="153" t="s">
        <v>323</v>
      </c>
      <c r="C91" s="371">
        <f>SUM(C89:C90)</f>
        <v>0</v>
      </c>
      <c r="D91" s="370">
        <f>SUM(D89:D90)</f>
        <v>0</v>
      </c>
      <c r="E91" s="371">
        <f>SUM(E89:E90)</f>
        <v>0</v>
      </c>
      <c r="F91" s="370">
        <f>SUM(F89:F90)</f>
        <v>0</v>
      </c>
      <c r="G91" s="370"/>
      <c r="H91" s="370"/>
      <c r="I91" s="370"/>
      <c r="J91" s="370">
        <f>SUM(J89:J90)</f>
        <v>0</v>
      </c>
    </row>
    <row r="92" spans="1:10" ht="18" x14ac:dyDescent="0.25">
      <c r="A92" s="157" t="s">
        <v>321</v>
      </c>
      <c r="B92" s="155" t="s">
        <v>327</v>
      </c>
      <c r="C92" s="370">
        <f>SUM(C91,C88)</f>
        <v>0</v>
      </c>
      <c r="D92" s="370">
        <f>SUM(D91,D88)</f>
        <v>0</v>
      </c>
      <c r="E92" s="370">
        <f>SUM(E91,E88)</f>
        <v>0</v>
      </c>
      <c r="F92" s="369">
        <f>SUM(F88,F91)</f>
        <v>0</v>
      </c>
      <c r="G92" s="369"/>
      <c r="H92" s="369"/>
      <c r="I92" s="369"/>
      <c r="J92" s="368">
        <f>SUM(J88,J91)</f>
        <v>0</v>
      </c>
    </row>
    <row r="93" spans="1:10" ht="15" x14ac:dyDescent="0.2">
      <c r="A93" s="151" t="s">
        <v>334</v>
      </c>
      <c r="B93" s="153" t="s">
        <v>328</v>
      </c>
      <c r="C93" s="370"/>
      <c r="D93" s="370"/>
      <c r="E93" s="370"/>
      <c r="F93" s="370"/>
      <c r="G93" s="370"/>
      <c r="H93" s="370"/>
      <c r="I93" s="370"/>
      <c r="J93" s="368"/>
    </row>
    <row r="94" spans="1:10" ht="18" x14ac:dyDescent="0.25">
      <c r="A94" s="1"/>
      <c r="B94" s="83" t="s">
        <v>453</v>
      </c>
      <c r="C94" s="363"/>
      <c r="D94" s="364"/>
      <c r="E94" s="363"/>
      <c r="F94" s="374"/>
      <c r="G94" s="374"/>
      <c r="H94" s="374"/>
      <c r="I94" s="374"/>
      <c r="J94" s="363"/>
    </row>
    <row r="95" spans="1:10" ht="15" x14ac:dyDescent="0.2">
      <c r="A95" s="1"/>
      <c r="B95" s="83"/>
      <c r="C95" s="363"/>
      <c r="D95" s="363"/>
      <c r="E95" s="363"/>
      <c r="F95" s="104"/>
      <c r="G95" s="104"/>
      <c r="H95" s="104"/>
      <c r="I95" s="104"/>
      <c r="J95" s="363"/>
    </row>
    <row r="96" spans="1:10" ht="15" x14ac:dyDescent="0.2">
      <c r="A96" s="151" t="s">
        <v>332</v>
      </c>
      <c r="B96" s="153" t="s">
        <v>331</v>
      </c>
      <c r="C96" s="371">
        <f>SUM(C94:C95)</f>
        <v>0</v>
      </c>
      <c r="D96" s="370">
        <f>SUM(D94:D95)</f>
        <v>0</v>
      </c>
      <c r="E96" s="370">
        <f>SUM(E94:E95)</f>
        <v>0</v>
      </c>
      <c r="F96" s="370">
        <f>SUM(F94:F95)</f>
        <v>0</v>
      </c>
      <c r="G96" s="370"/>
      <c r="H96" s="370"/>
      <c r="I96" s="370"/>
      <c r="J96" s="370">
        <f>SUM(J94:J95)</f>
        <v>0</v>
      </c>
    </row>
    <row r="97" spans="1:10" ht="18" x14ac:dyDescent="0.25">
      <c r="A97" s="157" t="s">
        <v>333</v>
      </c>
      <c r="B97" s="155" t="s">
        <v>335</v>
      </c>
      <c r="C97" s="370">
        <f>SUM(C93,C96)</f>
        <v>0</v>
      </c>
      <c r="D97" s="371">
        <f>SUM(D93,D96)</f>
        <v>0</v>
      </c>
      <c r="E97" s="370">
        <f>SUM(E93,E96)</f>
        <v>0</v>
      </c>
      <c r="F97" s="369">
        <f>SUM(F93,F96)</f>
        <v>0</v>
      </c>
      <c r="G97" s="369"/>
      <c r="H97" s="369"/>
      <c r="I97" s="369"/>
      <c r="J97" s="370">
        <f>SUM(J93,J96)</f>
        <v>0</v>
      </c>
    </row>
    <row r="98" spans="1:10" ht="15" x14ac:dyDescent="0.2">
      <c r="A98" s="1" t="s">
        <v>336</v>
      </c>
      <c r="B98" s="92" t="s">
        <v>337</v>
      </c>
      <c r="C98" s="363"/>
      <c r="D98" s="363"/>
      <c r="E98" s="363"/>
      <c r="F98" s="104"/>
      <c r="G98" s="104"/>
      <c r="H98" s="104"/>
      <c r="I98" s="104"/>
      <c r="J98" s="363"/>
    </row>
    <row r="99" spans="1:10" ht="18" x14ac:dyDescent="0.25">
      <c r="A99" s="1" t="s">
        <v>338</v>
      </c>
      <c r="B99" s="92" t="s">
        <v>339</v>
      </c>
      <c r="C99" s="363"/>
      <c r="D99" s="364"/>
      <c r="E99" s="363"/>
      <c r="F99" s="374"/>
      <c r="G99" s="374"/>
      <c r="H99" s="374"/>
      <c r="I99" s="374"/>
      <c r="J99" s="363"/>
    </row>
    <row r="100" spans="1:10" ht="18" x14ac:dyDescent="0.25">
      <c r="A100" s="1" t="s">
        <v>340</v>
      </c>
      <c r="B100" s="83" t="s">
        <v>341</v>
      </c>
      <c r="C100" s="363"/>
      <c r="D100" s="364"/>
      <c r="E100" s="363"/>
      <c r="F100" s="374"/>
      <c r="G100" s="374"/>
      <c r="H100" s="374"/>
      <c r="I100" s="374"/>
      <c r="J100" s="363"/>
    </row>
    <row r="101" spans="1:10" ht="18" x14ac:dyDescent="0.25">
      <c r="A101" s="1" t="s">
        <v>342</v>
      </c>
      <c r="B101" s="90" t="s">
        <v>344</v>
      </c>
      <c r="C101" s="363"/>
      <c r="D101" s="364"/>
      <c r="E101" s="363"/>
      <c r="F101" s="374"/>
      <c r="G101" s="374"/>
      <c r="H101" s="374"/>
      <c r="I101" s="374"/>
      <c r="J101" s="363"/>
    </row>
    <row r="102" spans="1:10" ht="18" x14ac:dyDescent="0.25">
      <c r="A102" s="1" t="s">
        <v>343</v>
      </c>
      <c r="B102" s="83" t="s">
        <v>345</v>
      </c>
      <c r="C102" s="363"/>
      <c r="D102" s="364"/>
      <c r="E102" s="363"/>
      <c r="F102" s="374"/>
      <c r="G102" s="374"/>
      <c r="H102" s="374"/>
      <c r="I102" s="374"/>
      <c r="J102" s="363"/>
    </row>
    <row r="103" spans="1:10" ht="18" x14ac:dyDescent="0.25">
      <c r="A103" s="1"/>
      <c r="B103" s="91" t="s">
        <v>346</v>
      </c>
      <c r="C103" s="363"/>
      <c r="D103" s="364"/>
      <c r="E103" s="363"/>
      <c r="F103" s="374"/>
      <c r="G103" s="374"/>
      <c r="H103" s="374"/>
      <c r="I103" s="374"/>
      <c r="J103" s="363"/>
    </row>
    <row r="104" spans="1:10" ht="18" x14ac:dyDescent="0.25">
      <c r="A104" s="157" t="s">
        <v>347</v>
      </c>
      <c r="B104" s="155" t="s">
        <v>348</v>
      </c>
      <c r="C104" s="371">
        <f>SUM(C99:C103)</f>
        <v>0</v>
      </c>
      <c r="D104" s="370">
        <f>SUM(D99:D103)</f>
        <v>0</v>
      </c>
      <c r="E104" s="371">
        <f>SUM(E99:E103)</f>
        <v>0</v>
      </c>
      <c r="F104" s="369">
        <f>SUM(F99:F103)</f>
        <v>0</v>
      </c>
      <c r="G104" s="369"/>
      <c r="H104" s="369"/>
      <c r="I104" s="369"/>
      <c r="J104" s="368">
        <f>SUM(J99:J103)</f>
        <v>0</v>
      </c>
    </row>
    <row r="105" spans="1:10" ht="18" x14ac:dyDescent="0.25">
      <c r="A105" s="1" t="s">
        <v>351</v>
      </c>
      <c r="B105" s="91" t="s">
        <v>488</v>
      </c>
      <c r="C105" s="363"/>
      <c r="D105" s="364"/>
      <c r="E105" s="363"/>
      <c r="F105" s="467"/>
      <c r="G105" s="467"/>
      <c r="H105" s="467"/>
      <c r="I105" s="467"/>
      <c r="J105" s="363"/>
    </row>
    <row r="106" spans="1:10" ht="18" hidden="1" x14ac:dyDescent="0.25">
      <c r="A106" s="1" t="s">
        <v>352</v>
      </c>
      <c r="B106" s="91" t="s">
        <v>489</v>
      </c>
      <c r="C106" s="363"/>
      <c r="D106" s="364"/>
      <c r="E106" s="363"/>
      <c r="F106" s="467"/>
      <c r="G106" s="467"/>
      <c r="H106" s="467"/>
      <c r="I106" s="467"/>
      <c r="J106" s="363"/>
    </row>
    <row r="107" spans="1:10" ht="18" hidden="1" x14ac:dyDescent="0.25">
      <c r="A107" s="1" t="s">
        <v>353</v>
      </c>
      <c r="B107" s="91" t="s">
        <v>490</v>
      </c>
      <c r="C107" s="363"/>
      <c r="D107" s="364"/>
      <c r="E107" s="363"/>
      <c r="F107" s="467"/>
      <c r="G107" s="467"/>
      <c r="H107" s="467"/>
      <c r="I107" s="467"/>
      <c r="J107" s="363"/>
    </row>
    <row r="108" spans="1:10" ht="18" x14ac:dyDescent="0.25">
      <c r="A108" s="1"/>
      <c r="B108" s="91" t="s">
        <v>491</v>
      </c>
      <c r="C108" s="363"/>
      <c r="D108" s="364"/>
      <c r="E108" s="363"/>
      <c r="F108" s="467"/>
      <c r="G108" s="467"/>
      <c r="H108" s="467"/>
      <c r="I108" s="467"/>
      <c r="J108" s="363"/>
    </row>
    <row r="109" spans="1:10" ht="18" x14ac:dyDescent="0.25">
      <c r="A109" s="1" t="s">
        <v>354</v>
      </c>
      <c r="B109" s="91" t="s">
        <v>492</v>
      </c>
      <c r="C109" s="363"/>
      <c r="D109" s="364"/>
      <c r="E109" s="363"/>
      <c r="F109" s="467">
        <v>1496187</v>
      </c>
      <c r="G109" s="467">
        <v>1496187</v>
      </c>
      <c r="H109" s="467">
        <v>1496187</v>
      </c>
      <c r="I109" s="467">
        <v>1393840</v>
      </c>
      <c r="J109" s="363"/>
    </row>
    <row r="110" spans="1:10" ht="18" x14ac:dyDescent="0.25">
      <c r="A110" s="1" t="s">
        <v>355</v>
      </c>
      <c r="B110" s="91" t="s">
        <v>493</v>
      </c>
      <c r="C110" s="363"/>
      <c r="D110" s="364"/>
      <c r="E110" s="363"/>
      <c r="F110" s="467"/>
      <c r="G110" s="467"/>
      <c r="H110" s="467"/>
      <c r="I110" s="467"/>
      <c r="J110" s="363"/>
    </row>
    <row r="111" spans="1:10" ht="18" x14ac:dyDescent="0.25">
      <c r="A111" s="1" t="s">
        <v>356</v>
      </c>
      <c r="B111" s="91" t="s">
        <v>411</v>
      </c>
      <c r="C111" s="363"/>
      <c r="D111" s="364"/>
      <c r="E111" s="363"/>
      <c r="F111" s="467"/>
      <c r="G111" s="467"/>
      <c r="H111" s="467"/>
      <c r="I111" s="467"/>
      <c r="J111" s="363"/>
    </row>
    <row r="112" spans="1:10" ht="18" x14ac:dyDescent="0.25">
      <c r="A112" s="1" t="s">
        <v>360</v>
      </c>
      <c r="B112" s="91" t="s">
        <v>361</v>
      </c>
      <c r="C112" s="363"/>
      <c r="D112" s="364"/>
      <c r="E112" s="363"/>
      <c r="F112" s="467"/>
      <c r="G112" s="467"/>
      <c r="H112" s="467"/>
      <c r="I112" s="467"/>
      <c r="J112" s="363"/>
    </row>
    <row r="113" spans="1:10" ht="18" x14ac:dyDescent="0.25">
      <c r="A113" s="1" t="s">
        <v>362</v>
      </c>
      <c r="B113" s="91" t="s">
        <v>363</v>
      </c>
      <c r="C113" s="363"/>
      <c r="D113" s="364"/>
      <c r="E113" s="363"/>
      <c r="F113" s="467"/>
      <c r="G113" s="467"/>
      <c r="H113" s="467"/>
      <c r="I113" s="467"/>
      <c r="J113" s="363"/>
    </row>
    <row r="114" spans="1:10" ht="18" x14ac:dyDescent="0.25">
      <c r="A114" s="1" t="s">
        <v>761</v>
      </c>
      <c r="B114" s="91" t="s">
        <v>365</v>
      </c>
      <c r="C114" s="363"/>
      <c r="D114" s="364"/>
      <c r="E114" s="363"/>
      <c r="F114" s="467"/>
      <c r="G114" s="467"/>
      <c r="H114" s="467">
        <v>76076</v>
      </c>
      <c r="I114" s="467">
        <v>76273</v>
      </c>
      <c r="J114" s="363"/>
    </row>
    <row r="115" spans="1:10" ht="18" x14ac:dyDescent="0.25">
      <c r="A115" s="157" t="s">
        <v>349</v>
      </c>
      <c r="B115" s="155" t="s">
        <v>350</v>
      </c>
      <c r="C115" s="371">
        <f>SUM(C105:C113)</f>
        <v>0</v>
      </c>
      <c r="D115" s="370">
        <f>SUM(D105:D113)</f>
        <v>0</v>
      </c>
      <c r="E115" s="371">
        <f>SUM(E105:E113)</f>
        <v>0</v>
      </c>
      <c r="F115" s="369">
        <f>SUM(F105:F113)</f>
        <v>1496187</v>
      </c>
      <c r="G115" s="369">
        <f t="shared" ref="G115" si="11">SUM(G105:G113)</f>
        <v>1496187</v>
      </c>
      <c r="H115" s="369">
        <f>SUM(H105:H114)</f>
        <v>1572263</v>
      </c>
      <c r="I115" s="369">
        <f>SUM(I105:I114)</f>
        <v>1470113</v>
      </c>
      <c r="J115" s="368">
        <f>SUM(J105:J113)</f>
        <v>0</v>
      </c>
    </row>
    <row r="116" spans="1:10" ht="15" x14ac:dyDescent="0.2">
      <c r="A116" s="1" t="s">
        <v>366</v>
      </c>
      <c r="B116" s="83" t="s">
        <v>368</v>
      </c>
      <c r="C116" s="364"/>
      <c r="D116" s="364"/>
      <c r="E116" s="363"/>
      <c r="F116" s="104"/>
      <c r="G116" s="104"/>
      <c r="H116" s="104"/>
      <c r="I116" s="104"/>
      <c r="J116" s="363"/>
    </row>
    <row r="117" spans="1:10" ht="15" x14ac:dyDescent="0.2">
      <c r="A117" s="1" t="s">
        <v>367</v>
      </c>
      <c r="B117" s="83" t="s">
        <v>369</v>
      </c>
      <c r="C117" s="364"/>
      <c r="D117" s="364"/>
      <c r="E117" s="363"/>
      <c r="F117" s="104"/>
      <c r="G117" s="104"/>
      <c r="H117" s="104"/>
      <c r="I117" s="104"/>
      <c r="J117" s="363"/>
    </row>
    <row r="118" spans="1:10" ht="18" x14ac:dyDescent="0.25">
      <c r="A118" s="157" t="s">
        <v>370</v>
      </c>
      <c r="B118" s="155" t="s">
        <v>371</v>
      </c>
      <c r="C118" s="371">
        <f>SUM(C116:C117)</f>
        <v>0</v>
      </c>
      <c r="D118" s="370">
        <f>SUM(D116:D117)</f>
        <v>0</v>
      </c>
      <c r="E118" s="371">
        <f>SUM(E116:E117)</f>
        <v>0</v>
      </c>
      <c r="F118" s="369">
        <f>SUM(F116:F117)</f>
        <v>0</v>
      </c>
      <c r="G118" s="369"/>
      <c r="H118" s="369"/>
      <c r="I118" s="369"/>
      <c r="J118" s="368">
        <f>SUM(J116:J117)</f>
        <v>0</v>
      </c>
    </row>
    <row r="119" spans="1:10" ht="18" x14ac:dyDescent="0.25">
      <c r="A119" s="1" t="s">
        <v>372</v>
      </c>
      <c r="B119" s="83" t="s">
        <v>373</v>
      </c>
      <c r="C119" s="363"/>
      <c r="D119" s="364"/>
      <c r="E119" s="363"/>
      <c r="F119" s="374"/>
      <c r="G119" s="374"/>
      <c r="H119" s="374"/>
      <c r="I119" s="374"/>
      <c r="J119" s="363"/>
    </row>
    <row r="120" spans="1:10" ht="15" x14ac:dyDescent="0.2">
      <c r="A120" s="1" t="s">
        <v>374</v>
      </c>
      <c r="B120" s="83" t="s">
        <v>375</v>
      </c>
      <c r="C120" s="363"/>
      <c r="D120" s="364"/>
      <c r="E120" s="363"/>
      <c r="F120" s="104"/>
      <c r="G120" s="104"/>
      <c r="H120" s="104"/>
      <c r="I120" s="104"/>
      <c r="J120" s="363"/>
    </row>
    <row r="121" spans="1:10" ht="18" x14ac:dyDescent="0.25">
      <c r="A121" s="157" t="s">
        <v>376</v>
      </c>
      <c r="B121" s="155" t="s">
        <v>379</v>
      </c>
      <c r="C121" s="371">
        <f>SUM(C119:C120)</f>
        <v>0</v>
      </c>
      <c r="D121" s="370">
        <f>SUM(D119:D120)</f>
        <v>0</v>
      </c>
      <c r="E121" s="371">
        <f>SUM(E119:E120)</f>
        <v>0</v>
      </c>
      <c r="F121" s="369">
        <f>SUM(F119:F120)</f>
        <v>0</v>
      </c>
      <c r="G121" s="369"/>
      <c r="H121" s="369"/>
      <c r="I121" s="369"/>
      <c r="J121" s="368">
        <f>SUM(J119:J120)</f>
        <v>0</v>
      </c>
    </row>
    <row r="122" spans="1:10" ht="15" x14ac:dyDescent="0.2">
      <c r="A122" s="1" t="s">
        <v>380</v>
      </c>
      <c r="B122" s="83" t="s">
        <v>381</v>
      </c>
      <c r="C122" s="363"/>
      <c r="D122" s="364"/>
      <c r="E122" s="363"/>
      <c r="F122" s="104"/>
      <c r="G122" s="104"/>
      <c r="H122" s="104"/>
      <c r="I122" s="104"/>
      <c r="J122" s="363"/>
    </row>
    <row r="123" spans="1:10" ht="15" x14ac:dyDescent="0.2">
      <c r="A123" s="1" t="s">
        <v>382</v>
      </c>
      <c r="B123" s="83" t="s">
        <v>383</v>
      </c>
      <c r="C123" s="363"/>
      <c r="D123" s="364"/>
      <c r="E123" s="363"/>
      <c r="F123" s="104"/>
      <c r="G123" s="104"/>
      <c r="H123" s="104"/>
      <c r="I123" s="104"/>
      <c r="J123" s="363"/>
    </row>
    <row r="124" spans="1:10" ht="18" x14ac:dyDescent="0.25">
      <c r="A124" s="157" t="s">
        <v>377</v>
      </c>
      <c r="B124" s="155" t="s">
        <v>378</v>
      </c>
      <c r="C124" s="371">
        <f>SUM(C122:C123)</f>
        <v>0</v>
      </c>
      <c r="D124" s="370">
        <f>SUM(D122:D123)</f>
        <v>0</v>
      </c>
      <c r="E124" s="371">
        <f>SUM(E122:E123)</f>
        <v>0</v>
      </c>
      <c r="F124" s="369">
        <f>SUM(F122:F123)</f>
        <v>0</v>
      </c>
      <c r="G124" s="369"/>
      <c r="H124" s="369"/>
      <c r="I124" s="369"/>
      <c r="J124" s="368">
        <f>SUM(J122:J123)</f>
        <v>0</v>
      </c>
    </row>
    <row r="125" spans="1:10" ht="18" x14ac:dyDescent="0.25">
      <c r="A125" s="184"/>
      <c r="B125" s="155" t="s">
        <v>80</v>
      </c>
      <c r="C125" s="370">
        <f>SUM(C92,C97,C104,C115,C118,C121,C124)</f>
        <v>0</v>
      </c>
      <c r="D125" s="371">
        <f>SUM(D92,D97,D104,D115,D118,D121,D124)</f>
        <v>0</v>
      </c>
      <c r="E125" s="370">
        <f>SUM(E92,E97,E104,E115,E118,E121,E124)</f>
        <v>0</v>
      </c>
      <c r="F125" s="369">
        <f>SUM(F92,F97,F104,F115,F118,F121,F124)</f>
        <v>1496187</v>
      </c>
      <c r="G125" s="369">
        <f t="shared" ref="G125:I125" si="12">SUM(G92,G97,G104,G115,G118,G121,G124)</f>
        <v>1496187</v>
      </c>
      <c r="H125" s="369">
        <f t="shared" si="12"/>
        <v>1572263</v>
      </c>
      <c r="I125" s="369">
        <f t="shared" si="12"/>
        <v>1470113</v>
      </c>
      <c r="J125" s="370">
        <f>SUM(J92,J97,J104,J115,J118,J121,J124)</f>
        <v>0</v>
      </c>
    </row>
    <row r="126" spans="1:10" ht="18" x14ac:dyDescent="0.25">
      <c r="A126" s="5" t="s">
        <v>387</v>
      </c>
      <c r="B126" s="93" t="s">
        <v>386</v>
      </c>
      <c r="C126" s="379"/>
      <c r="D126" s="380"/>
      <c r="E126" s="381"/>
      <c r="F126" s="377"/>
      <c r="G126" s="377"/>
      <c r="H126" s="377"/>
      <c r="I126" s="377"/>
      <c r="J126" s="363"/>
    </row>
    <row r="127" spans="1:10" ht="18" x14ac:dyDescent="0.25">
      <c r="A127" s="5" t="s">
        <v>388</v>
      </c>
      <c r="B127" s="93" t="s">
        <v>389</v>
      </c>
      <c r="C127" s="389"/>
      <c r="D127" s="390"/>
      <c r="E127" s="389"/>
      <c r="F127" s="377"/>
      <c r="G127" s="377"/>
      <c r="H127" s="377"/>
      <c r="I127" s="377"/>
      <c r="J127" s="363"/>
    </row>
    <row r="128" spans="1:10" ht="18" x14ac:dyDescent="0.25">
      <c r="A128" s="5" t="s">
        <v>390</v>
      </c>
      <c r="B128" s="93" t="s">
        <v>79</v>
      </c>
      <c r="C128" s="389"/>
      <c r="D128" s="390"/>
      <c r="E128" s="389"/>
      <c r="F128" s="377">
        <v>62937550</v>
      </c>
      <c r="G128" s="377">
        <v>62940179</v>
      </c>
      <c r="H128" s="377">
        <v>62950691</v>
      </c>
      <c r="I128" s="377">
        <v>58880598</v>
      </c>
      <c r="J128" s="363"/>
    </row>
    <row r="129" spans="1:10" ht="18" x14ac:dyDescent="0.25">
      <c r="A129" s="5" t="s">
        <v>391</v>
      </c>
      <c r="B129" s="93" t="s">
        <v>392</v>
      </c>
      <c r="C129" s="379"/>
      <c r="D129" s="380"/>
      <c r="E129" s="381"/>
      <c r="F129" s="377"/>
      <c r="G129" s="377"/>
      <c r="H129" s="377"/>
      <c r="I129" s="377"/>
      <c r="J129" s="363"/>
    </row>
    <row r="130" spans="1:10" ht="18" x14ac:dyDescent="0.25">
      <c r="A130" s="185"/>
      <c r="B130" s="155" t="s">
        <v>385</v>
      </c>
      <c r="C130" s="370">
        <f>SUM(C125:C129)</f>
        <v>0</v>
      </c>
      <c r="D130" s="370">
        <f>SUM(D125:D129)</f>
        <v>0</v>
      </c>
      <c r="E130" s="370">
        <f>SUM(E125:E129)</f>
        <v>0</v>
      </c>
      <c r="F130" s="369">
        <f>SUM(F125:F129)</f>
        <v>64433737</v>
      </c>
      <c r="G130" s="369">
        <f t="shared" ref="G130:I130" si="13">SUM(G125:G129)</f>
        <v>64436366</v>
      </c>
      <c r="H130" s="369">
        <f t="shared" si="13"/>
        <v>64522954</v>
      </c>
      <c r="I130" s="369">
        <f t="shared" si="13"/>
        <v>60350711</v>
      </c>
      <c r="J130" s="368">
        <f>SUM(J125:J129)</f>
        <v>0</v>
      </c>
    </row>
    <row r="131" spans="1:10" ht="15" x14ac:dyDescent="0.2">
      <c r="C131" s="186"/>
      <c r="D131" s="186"/>
      <c r="E131" s="186"/>
      <c r="J131" s="311"/>
    </row>
    <row r="132" spans="1:10" ht="18" x14ac:dyDescent="0.25">
      <c r="A132" s="312"/>
      <c r="B132" s="313" t="s">
        <v>135</v>
      </c>
      <c r="C132" s="452"/>
      <c r="D132" s="454"/>
      <c r="E132" s="452"/>
      <c r="F132" s="739">
        <v>11</v>
      </c>
      <c r="G132" s="739"/>
      <c r="H132" s="739"/>
      <c r="I132" s="739"/>
      <c r="J132" s="391"/>
    </row>
  </sheetData>
  <mergeCells count="4">
    <mergeCell ref="E3:E4"/>
    <mergeCell ref="A1:A4"/>
    <mergeCell ref="C1:E2"/>
    <mergeCell ref="C3:D3"/>
  </mergeCells>
  <phoneticPr fontId="2" type="noConversion"/>
  <pageMargins left="0.75" right="0.75" top="1" bottom="1" header="0.5" footer="0.5"/>
  <pageSetup paperSize="9" scale="48" orientation="portrait" r:id="rId1"/>
  <headerFooter alignWithMargins="0">
    <oddHeader>&amp;L&amp;"Times,Félkövér"&amp;14Levél Község 
   Önkormányzata&amp;C&amp;"Times,Félkövér"&amp;14Óvoda
2018. év&amp;R&amp;"Times,Normál"&amp;12 10. melléklet
Adatok:  Ft-ban</oddHeader>
  </headerFooter>
  <rowBreaks count="1" manualBreakCount="1">
    <brk id="80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5"/>
  <dimension ref="A1:O41"/>
  <sheetViews>
    <sheetView view="pageLayout" topLeftCell="B1" zoomScaleNormal="100" workbookViewId="0">
      <selection activeCell="P36" sqref="P36"/>
    </sheetView>
  </sheetViews>
  <sheetFormatPr defaultRowHeight="12.75" x14ac:dyDescent="0.2"/>
  <cols>
    <col min="1" max="1" width="44" customWidth="1"/>
    <col min="2" max="2" width="12.28515625" customWidth="1"/>
    <col min="3" max="3" width="13.42578125" customWidth="1"/>
    <col min="4" max="4" width="11.7109375" customWidth="1"/>
    <col min="5" max="5" width="12.5703125" customWidth="1"/>
    <col min="6" max="6" width="13.28515625" customWidth="1"/>
    <col min="7" max="7" width="15" customWidth="1"/>
    <col min="8" max="8" width="13.5703125" customWidth="1"/>
    <col min="9" max="9" width="13.7109375" customWidth="1"/>
    <col min="10" max="10" width="14.5703125" customWidth="1"/>
    <col min="11" max="11" width="15.140625" customWidth="1"/>
    <col min="12" max="12" width="13.5703125" customWidth="1"/>
    <col min="13" max="13" width="13.140625" customWidth="1"/>
    <col min="14" max="14" width="13.5703125" customWidth="1"/>
    <col min="15" max="15" width="11" customWidth="1"/>
  </cols>
  <sheetData>
    <row r="1" spans="1:15" ht="15" thickBot="1" x14ac:dyDescent="0.25">
      <c r="A1" s="105" t="s">
        <v>93</v>
      </c>
      <c r="B1" s="105" t="s">
        <v>100</v>
      </c>
      <c r="C1" s="105" t="s">
        <v>101</v>
      </c>
      <c r="D1" s="105" t="s">
        <v>102</v>
      </c>
      <c r="E1" s="105" t="s">
        <v>103</v>
      </c>
      <c r="F1" s="105" t="s">
        <v>104</v>
      </c>
      <c r="G1" s="105" t="s">
        <v>105</v>
      </c>
      <c r="H1" s="105" t="s">
        <v>106</v>
      </c>
      <c r="I1" s="105" t="s">
        <v>107</v>
      </c>
      <c r="J1" s="105" t="s">
        <v>108</v>
      </c>
      <c r="K1" s="105" t="s">
        <v>109</v>
      </c>
      <c r="L1" s="105" t="s">
        <v>110</v>
      </c>
      <c r="M1" s="105" t="s">
        <v>111</v>
      </c>
      <c r="N1" s="106" t="s">
        <v>99</v>
      </c>
    </row>
    <row r="2" spans="1:15" ht="15" thickBot="1" x14ac:dyDescent="0.25">
      <c r="A2" s="1005" t="s">
        <v>97</v>
      </c>
      <c r="B2" s="1006"/>
      <c r="C2" s="1006"/>
      <c r="D2" s="1006"/>
      <c r="E2" s="1006"/>
      <c r="F2" s="1006"/>
      <c r="G2" s="1006"/>
      <c r="H2" s="1006"/>
      <c r="I2" s="1006"/>
      <c r="J2" s="1006"/>
      <c r="K2" s="1006"/>
      <c r="L2" s="1006"/>
      <c r="M2" s="1006"/>
      <c r="N2" s="1007"/>
    </row>
    <row r="3" spans="1:15" s="600" customFormat="1" ht="14.25" x14ac:dyDescent="0.2">
      <c r="A3" s="673" t="s">
        <v>634</v>
      </c>
      <c r="B3" s="674">
        <v>6167156</v>
      </c>
      <c r="C3" s="674">
        <f>N3/12</f>
        <v>6164889</v>
      </c>
      <c r="D3" s="674">
        <f>N3/12</f>
        <v>6164889</v>
      </c>
      <c r="E3" s="674">
        <v>6167156</v>
      </c>
      <c r="F3" s="674">
        <v>6167156</v>
      </c>
      <c r="G3" s="674">
        <v>6167156</v>
      </c>
      <c r="H3" s="674">
        <v>6167156</v>
      </c>
      <c r="I3" s="674">
        <v>6167156</v>
      </c>
      <c r="J3" s="674">
        <v>6167156</v>
      </c>
      <c r="K3" s="674">
        <v>6167156</v>
      </c>
      <c r="L3" s="674">
        <v>6167156</v>
      </c>
      <c r="M3" s="674">
        <v>6167156</v>
      </c>
      <c r="N3" s="746">
        <f>gördülő!B6</f>
        <v>73978668</v>
      </c>
    </row>
    <row r="4" spans="1:15" ht="14.25" x14ac:dyDescent="0.2">
      <c r="A4" s="107" t="s">
        <v>635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747"/>
    </row>
    <row r="5" spans="1:15" ht="14.25" x14ac:dyDescent="0.2">
      <c r="A5" s="110" t="s">
        <v>636</v>
      </c>
      <c r="B5" s="108">
        <v>166666</v>
      </c>
      <c r="C5" s="108">
        <v>166666</v>
      </c>
      <c r="D5" s="108">
        <v>166666</v>
      </c>
      <c r="E5" s="108">
        <v>166666</v>
      </c>
      <c r="F5" s="108">
        <v>166666</v>
      </c>
      <c r="G5" s="108">
        <v>166666</v>
      </c>
      <c r="H5" s="108">
        <v>166666</v>
      </c>
      <c r="I5" s="108">
        <v>166666</v>
      </c>
      <c r="J5" s="108">
        <v>166666</v>
      </c>
      <c r="K5" s="108">
        <v>166666</v>
      </c>
      <c r="L5" s="108">
        <v>166640</v>
      </c>
      <c r="M5" s="108">
        <v>166700</v>
      </c>
      <c r="N5" s="748">
        <f>gördülő!B15</f>
        <v>2000000</v>
      </c>
      <c r="O5" s="672"/>
    </row>
    <row r="6" spans="1:15" ht="14.25" x14ac:dyDescent="0.2">
      <c r="A6" s="107" t="s">
        <v>637</v>
      </c>
      <c r="B6" s="108">
        <f>N6/12</f>
        <v>583333.33333333337</v>
      </c>
      <c r="C6" s="108">
        <v>583333</v>
      </c>
      <c r="D6" s="108">
        <v>583333</v>
      </c>
      <c r="E6" s="108">
        <v>583333</v>
      </c>
      <c r="F6" s="108">
        <v>583333</v>
      </c>
      <c r="G6" s="108">
        <v>583333</v>
      </c>
      <c r="H6" s="108">
        <v>583333</v>
      </c>
      <c r="I6" s="108">
        <v>583333</v>
      </c>
      <c r="J6" s="108">
        <v>583333</v>
      </c>
      <c r="K6" s="108">
        <v>583333</v>
      </c>
      <c r="L6" s="108">
        <v>583333</v>
      </c>
      <c r="M6" s="108">
        <v>583337</v>
      </c>
      <c r="N6" s="748">
        <f>gördülő!B16</f>
        <v>7000000</v>
      </c>
      <c r="O6" s="672"/>
    </row>
    <row r="7" spans="1:15" ht="14.25" x14ac:dyDescent="0.2">
      <c r="A7" s="107" t="s">
        <v>89</v>
      </c>
      <c r="B7" s="108">
        <v>3100000</v>
      </c>
      <c r="C7" s="108">
        <v>3100000</v>
      </c>
      <c r="D7" s="108">
        <v>50000000</v>
      </c>
      <c r="E7" s="108">
        <v>3100000</v>
      </c>
      <c r="F7" s="108">
        <v>3100000</v>
      </c>
      <c r="G7" s="108">
        <v>3100000</v>
      </c>
      <c r="H7" s="108">
        <v>3100000</v>
      </c>
      <c r="I7" s="108">
        <v>3100000</v>
      </c>
      <c r="J7" s="108">
        <v>31100000</v>
      </c>
      <c r="K7" s="108">
        <v>31000000</v>
      </c>
      <c r="L7" s="108">
        <v>3100000</v>
      </c>
      <c r="M7" s="108">
        <v>3100000</v>
      </c>
      <c r="N7" s="748">
        <f>gördülő!B17</f>
        <v>140000000</v>
      </c>
      <c r="O7" s="672"/>
    </row>
    <row r="8" spans="1:15" ht="14.25" x14ac:dyDescent="0.2">
      <c r="A8" s="107" t="s">
        <v>594</v>
      </c>
      <c r="B8" s="108">
        <v>100000</v>
      </c>
      <c r="C8" s="108">
        <v>100000</v>
      </c>
      <c r="D8" s="108">
        <v>1600000</v>
      </c>
      <c r="E8" s="108">
        <v>100000</v>
      </c>
      <c r="F8" s="108">
        <v>100000</v>
      </c>
      <c r="G8" s="108">
        <v>100000</v>
      </c>
      <c r="H8" s="108">
        <v>100000</v>
      </c>
      <c r="I8" s="108">
        <v>100000</v>
      </c>
      <c r="J8" s="108">
        <v>1600000</v>
      </c>
      <c r="K8" s="108">
        <v>100000</v>
      </c>
      <c r="L8" s="108">
        <v>100000</v>
      </c>
      <c r="M8" s="108">
        <v>100000</v>
      </c>
      <c r="N8" s="748">
        <f>gördülő!B18</f>
        <v>4200000</v>
      </c>
      <c r="O8" s="672"/>
    </row>
    <row r="9" spans="1:15" ht="14.25" x14ac:dyDescent="0.2">
      <c r="A9" s="107" t="s">
        <v>593</v>
      </c>
      <c r="B9" s="108">
        <v>125000</v>
      </c>
      <c r="C9" s="108">
        <v>125000</v>
      </c>
      <c r="D9" s="108">
        <v>125000</v>
      </c>
      <c r="E9" s="108">
        <v>125000</v>
      </c>
      <c r="F9" s="108">
        <v>125000</v>
      </c>
      <c r="G9" s="108">
        <v>125000</v>
      </c>
      <c r="H9" s="108">
        <v>125000</v>
      </c>
      <c r="I9" s="108">
        <v>125000</v>
      </c>
      <c r="J9" s="108">
        <v>125000</v>
      </c>
      <c r="K9" s="108">
        <v>125000</v>
      </c>
      <c r="L9" s="108">
        <v>125000</v>
      </c>
      <c r="M9" s="108">
        <v>125000</v>
      </c>
      <c r="N9" s="748">
        <f>gördülő!B19</f>
        <v>1500000</v>
      </c>
      <c r="O9" s="672"/>
    </row>
    <row r="10" spans="1:15" ht="14.25" x14ac:dyDescent="0.2">
      <c r="A10" s="107" t="s">
        <v>638</v>
      </c>
      <c r="B10" s="108">
        <v>100000</v>
      </c>
      <c r="C10" s="108">
        <v>100000</v>
      </c>
      <c r="D10" s="108">
        <v>2500000</v>
      </c>
      <c r="E10" s="108">
        <v>100000</v>
      </c>
      <c r="F10" s="108">
        <v>100000</v>
      </c>
      <c r="G10" s="108">
        <v>100000</v>
      </c>
      <c r="H10" s="108">
        <v>100000</v>
      </c>
      <c r="I10" s="108">
        <v>100000</v>
      </c>
      <c r="J10" s="108">
        <v>2500000</v>
      </c>
      <c r="K10" s="108">
        <v>100000</v>
      </c>
      <c r="L10" s="108">
        <v>100000</v>
      </c>
      <c r="M10" s="108">
        <v>100000</v>
      </c>
      <c r="N10" s="748">
        <f>gördülő!B20</f>
        <v>6000000</v>
      </c>
      <c r="O10" s="672"/>
    </row>
    <row r="11" spans="1:15" ht="14.25" x14ac:dyDescent="0.2">
      <c r="A11" s="107" t="s">
        <v>516</v>
      </c>
      <c r="B11" s="108">
        <v>10000</v>
      </c>
      <c r="C11" s="108">
        <v>10000</v>
      </c>
      <c r="D11" s="108">
        <v>50000</v>
      </c>
      <c r="E11" s="108">
        <v>10000</v>
      </c>
      <c r="F11" s="108">
        <v>10000</v>
      </c>
      <c r="G11" s="108">
        <v>10000</v>
      </c>
      <c r="H11" s="108">
        <v>10000</v>
      </c>
      <c r="I11" s="108">
        <v>10000</v>
      </c>
      <c r="J11" s="108">
        <v>50000</v>
      </c>
      <c r="K11" s="108">
        <v>10000</v>
      </c>
      <c r="L11" s="108">
        <v>10000</v>
      </c>
      <c r="M11" s="108">
        <v>10000</v>
      </c>
      <c r="N11" s="748">
        <f>gördülő!B21</f>
        <v>200000</v>
      </c>
      <c r="O11" s="672"/>
    </row>
    <row r="12" spans="1:15" ht="14.25" x14ac:dyDescent="0.2">
      <c r="A12" s="107" t="s">
        <v>683</v>
      </c>
      <c r="B12" s="108">
        <v>1000</v>
      </c>
      <c r="C12" s="108">
        <v>1000</v>
      </c>
      <c r="D12" s="108">
        <v>1000</v>
      </c>
      <c r="E12" s="108">
        <v>2000</v>
      </c>
      <c r="F12" s="108">
        <v>1000</v>
      </c>
      <c r="G12" s="108">
        <v>2000</v>
      </c>
      <c r="H12" s="108">
        <v>1000</v>
      </c>
      <c r="I12" s="108">
        <v>1000</v>
      </c>
      <c r="J12" s="108">
        <v>1000</v>
      </c>
      <c r="K12" s="108">
        <v>1000</v>
      </c>
      <c r="L12" s="108">
        <v>1000</v>
      </c>
      <c r="M12" s="108">
        <v>2000</v>
      </c>
      <c r="N12" s="774">
        <v>15000</v>
      </c>
      <c r="O12" s="672"/>
    </row>
    <row r="13" spans="1:15" ht="14.25" x14ac:dyDescent="0.2">
      <c r="A13" s="107" t="s">
        <v>112</v>
      </c>
      <c r="B13" s="108">
        <v>1294790</v>
      </c>
      <c r="C13" s="108">
        <v>1294790</v>
      </c>
      <c r="D13" s="108">
        <v>1294790</v>
      </c>
      <c r="E13" s="108">
        <v>1294790</v>
      </c>
      <c r="F13" s="108">
        <v>1294790</v>
      </c>
      <c r="G13" s="108">
        <v>1294790</v>
      </c>
      <c r="H13" s="108">
        <v>1294790</v>
      </c>
      <c r="I13" s="108">
        <v>1294790</v>
      </c>
      <c r="J13" s="108">
        <v>1294790</v>
      </c>
      <c r="K13" s="108">
        <v>1294790</v>
      </c>
      <c r="L13" s="108">
        <v>1294790</v>
      </c>
      <c r="M13" s="108">
        <v>1294794</v>
      </c>
      <c r="N13" s="747">
        <f>gördülő!B7</f>
        <v>15537484</v>
      </c>
      <c r="O13" s="672"/>
    </row>
    <row r="14" spans="1:15" ht="14.25" x14ac:dyDescent="0.2">
      <c r="A14" s="113" t="s">
        <v>422</v>
      </c>
      <c r="B14" s="114">
        <v>342067</v>
      </c>
      <c r="C14" s="114">
        <v>342067</v>
      </c>
      <c r="D14" s="114">
        <v>342067</v>
      </c>
      <c r="E14" s="114">
        <v>342067</v>
      </c>
      <c r="F14" s="114">
        <v>342067</v>
      </c>
      <c r="G14" s="114">
        <v>342067</v>
      </c>
      <c r="H14" s="114">
        <v>342067</v>
      </c>
      <c r="I14" s="114">
        <v>342067</v>
      </c>
      <c r="J14" s="114">
        <v>342067</v>
      </c>
      <c r="K14" s="114">
        <v>342067</v>
      </c>
      <c r="L14" s="114">
        <v>342067</v>
      </c>
      <c r="M14" s="114">
        <v>342067</v>
      </c>
      <c r="N14" s="747">
        <f>'Bevétel össz.'!G16</f>
        <v>4104815</v>
      </c>
      <c r="O14" s="672"/>
    </row>
    <row r="15" spans="1:15" ht="14.25" x14ac:dyDescent="0.2">
      <c r="A15" s="113" t="s">
        <v>381</v>
      </c>
      <c r="B15" s="114">
        <v>0</v>
      </c>
      <c r="C15" s="114">
        <v>382500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747">
        <f>'Bevétel össz.'!K47</f>
        <v>382500</v>
      </c>
      <c r="O15" s="672"/>
    </row>
    <row r="16" spans="1:15" ht="14.25" customHeight="1" x14ac:dyDescent="0.2">
      <c r="A16" s="113" t="s">
        <v>639</v>
      </c>
      <c r="B16" s="114">
        <v>240550</v>
      </c>
      <c r="C16" s="114">
        <v>240550</v>
      </c>
      <c r="D16" s="114">
        <v>240550</v>
      </c>
      <c r="E16" s="114">
        <v>240550</v>
      </c>
      <c r="F16" s="114">
        <v>240550</v>
      </c>
      <c r="G16" s="114">
        <v>240550</v>
      </c>
      <c r="H16" s="114">
        <v>240550</v>
      </c>
      <c r="I16" s="114">
        <v>240550</v>
      </c>
      <c r="J16" s="114">
        <v>240550</v>
      </c>
      <c r="K16" s="114">
        <v>240550</v>
      </c>
      <c r="L16" s="114">
        <v>240550</v>
      </c>
      <c r="M16" s="114">
        <v>240550</v>
      </c>
      <c r="N16" s="747">
        <f>'Bevétel össz.'!K48</f>
        <v>2886600</v>
      </c>
      <c r="O16" s="672"/>
    </row>
    <row r="17" spans="1:15" ht="14.25" x14ac:dyDescent="0.2">
      <c r="A17" s="775" t="s">
        <v>79</v>
      </c>
      <c r="B17" s="776">
        <v>5244795</v>
      </c>
      <c r="C17" s="776">
        <v>5244795</v>
      </c>
      <c r="D17" s="776">
        <v>5244795</v>
      </c>
      <c r="E17" s="776">
        <v>5244795</v>
      </c>
      <c r="F17" s="776">
        <v>5244795</v>
      </c>
      <c r="G17" s="776">
        <v>5244795</v>
      </c>
      <c r="H17" s="776">
        <v>5244795</v>
      </c>
      <c r="I17" s="776">
        <v>5244795</v>
      </c>
      <c r="J17" s="776">
        <v>5244795</v>
      </c>
      <c r="K17" s="776">
        <v>5244795</v>
      </c>
      <c r="L17" s="776">
        <v>5244795</v>
      </c>
      <c r="M17" s="776">
        <v>5244805</v>
      </c>
      <c r="N17" s="777">
        <f>'Bevétel össz.'!I53</f>
        <v>62937550</v>
      </c>
      <c r="O17" s="672"/>
    </row>
    <row r="18" spans="1:15" ht="15" thickBot="1" x14ac:dyDescent="0.25">
      <c r="A18" s="775" t="s">
        <v>732</v>
      </c>
      <c r="B18" s="776">
        <v>7881305</v>
      </c>
      <c r="C18" s="776">
        <v>13705174</v>
      </c>
      <c r="D18" s="776">
        <v>14212860</v>
      </c>
      <c r="E18" s="776">
        <v>13959665</v>
      </c>
      <c r="F18" s="776">
        <v>20039321</v>
      </c>
      <c r="G18" s="776">
        <v>13959665</v>
      </c>
      <c r="H18" s="776">
        <v>13959665</v>
      </c>
      <c r="I18" s="776">
        <v>13959664</v>
      </c>
      <c r="J18" s="776">
        <v>13959664</v>
      </c>
      <c r="K18" s="776">
        <v>13959664</v>
      </c>
      <c r="L18" s="776">
        <v>13959664</v>
      </c>
      <c r="M18" s="776">
        <v>13959666</v>
      </c>
      <c r="N18" s="777">
        <f>'Bevétel össz.'!G52</f>
        <v>167515977</v>
      </c>
      <c r="O18" s="672"/>
    </row>
    <row r="19" spans="1:15" ht="15" thickBot="1" x14ac:dyDescent="0.25">
      <c r="A19" s="115" t="s">
        <v>113</v>
      </c>
      <c r="B19" s="116">
        <f>SUM(B3:B18)</f>
        <v>25356662.333333332</v>
      </c>
      <c r="C19" s="116">
        <f t="shared" ref="C19:N19" si="0">SUM(C3:C18)</f>
        <v>31560764</v>
      </c>
      <c r="D19" s="116">
        <f t="shared" si="0"/>
        <v>82525950</v>
      </c>
      <c r="E19" s="116">
        <f t="shared" si="0"/>
        <v>31436022</v>
      </c>
      <c r="F19" s="116">
        <f t="shared" si="0"/>
        <v>37514678</v>
      </c>
      <c r="G19" s="116">
        <f t="shared" si="0"/>
        <v>31436022</v>
      </c>
      <c r="H19" s="116">
        <f t="shared" si="0"/>
        <v>31435022</v>
      </c>
      <c r="I19" s="116">
        <f t="shared" si="0"/>
        <v>31435021</v>
      </c>
      <c r="J19" s="116">
        <f t="shared" si="0"/>
        <v>63375021</v>
      </c>
      <c r="K19" s="116">
        <f t="shared" si="0"/>
        <v>59335021</v>
      </c>
      <c r="L19" s="116">
        <f t="shared" si="0"/>
        <v>31434995</v>
      </c>
      <c r="M19" s="116">
        <f t="shared" si="0"/>
        <v>31436075</v>
      </c>
      <c r="N19" s="116">
        <f t="shared" si="0"/>
        <v>488258594</v>
      </c>
    </row>
    <row r="20" spans="1:15" ht="15" thickBot="1" x14ac:dyDescent="0.25">
      <c r="A20" s="1005" t="s">
        <v>67</v>
      </c>
      <c r="B20" s="1006"/>
      <c r="C20" s="1006"/>
      <c r="D20" s="1006"/>
      <c r="E20" s="1006"/>
      <c r="F20" s="1006"/>
      <c r="G20" s="1006"/>
      <c r="H20" s="1006"/>
      <c r="I20" s="1006"/>
      <c r="J20" s="1006"/>
      <c r="K20" s="1006"/>
      <c r="L20" s="1006"/>
      <c r="M20" s="1006"/>
      <c r="N20" s="1007"/>
    </row>
    <row r="21" spans="1:15" ht="14.25" x14ac:dyDescent="0.2">
      <c r="A21" s="110" t="s">
        <v>2</v>
      </c>
      <c r="B21" s="111">
        <v>6416645</v>
      </c>
      <c r="C21" s="111">
        <v>6416645</v>
      </c>
      <c r="D21" s="111">
        <v>6416645</v>
      </c>
      <c r="E21" s="111">
        <v>6416645</v>
      </c>
      <c r="F21" s="111">
        <v>6416645</v>
      </c>
      <c r="G21" s="111">
        <v>6416645</v>
      </c>
      <c r="H21" s="111">
        <v>6416645</v>
      </c>
      <c r="I21" s="111">
        <v>6416645</v>
      </c>
      <c r="J21" s="111">
        <v>6416645</v>
      </c>
      <c r="K21" s="111">
        <v>6416645</v>
      </c>
      <c r="L21" s="111">
        <v>6416645</v>
      </c>
      <c r="M21" s="111">
        <v>6416640</v>
      </c>
      <c r="N21" s="112">
        <f>'Kiadás ktgvszervenként'!U6</f>
        <v>76999735</v>
      </c>
    </row>
    <row r="22" spans="1:15" ht="14.25" x14ac:dyDescent="0.2">
      <c r="A22" s="107" t="s">
        <v>114</v>
      </c>
      <c r="B22" s="108">
        <v>1311169</v>
      </c>
      <c r="C22" s="108">
        <v>1311169</v>
      </c>
      <c r="D22" s="108">
        <v>1311169</v>
      </c>
      <c r="E22" s="108">
        <v>1311169</v>
      </c>
      <c r="F22" s="108">
        <v>1311169</v>
      </c>
      <c r="G22" s="108">
        <v>1311169</v>
      </c>
      <c r="H22" s="108">
        <v>1311169</v>
      </c>
      <c r="I22" s="108">
        <v>1311169</v>
      </c>
      <c r="J22" s="108">
        <v>1311169</v>
      </c>
      <c r="K22" s="108">
        <v>1311169</v>
      </c>
      <c r="L22" s="108">
        <v>1311169</v>
      </c>
      <c r="M22" s="108">
        <v>1311172</v>
      </c>
      <c r="N22" s="112">
        <f>'Kiadás ktgvszervenként'!U7</f>
        <v>15734031</v>
      </c>
    </row>
    <row r="23" spans="1:15" ht="14.25" x14ac:dyDescent="0.2">
      <c r="A23" s="107" t="s">
        <v>115</v>
      </c>
      <c r="B23" s="108">
        <v>7008887</v>
      </c>
      <c r="C23" s="108">
        <v>7008887</v>
      </c>
      <c r="D23" s="108">
        <v>7008887</v>
      </c>
      <c r="E23" s="108">
        <v>7008887</v>
      </c>
      <c r="F23" s="108">
        <v>7008887</v>
      </c>
      <c r="G23" s="108">
        <v>7008887</v>
      </c>
      <c r="H23" s="108">
        <v>7008887</v>
      </c>
      <c r="I23" s="108">
        <v>7008887</v>
      </c>
      <c r="J23" s="108">
        <v>7008887</v>
      </c>
      <c r="K23" s="108">
        <v>7008887</v>
      </c>
      <c r="L23" s="108">
        <v>7008887</v>
      </c>
      <c r="M23" s="108">
        <v>7008893</v>
      </c>
      <c r="N23" s="112">
        <f>'Kiadás ktgvszervenként'!U8</f>
        <v>84136650</v>
      </c>
    </row>
    <row r="24" spans="1:15" ht="14.25" x14ac:dyDescent="0.2">
      <c r="A24" s="107" t="s">
        <v>116</v>
      </c>
      <c r="B24" s="108">
        <v>0</v>
      </c>
      <c r="C24" s="108">
        <v>0</v>
      </c>
      <c r="D24" s="108">
        <v>7422741</v>
      </c>
      <c r="E24" s="108">
        <v>2474247</v>
      </c>
      <c r="F24" s="108">
        <v>2474247</v>
      </c>
      <c r="G24" s="108">
        <v>2474247</v>
      </c>
      <c r="H24" s="108">
        <v>2474246</v>
      </c>
      <c r="I24" s="108">
        <v>2474246</v>
      </c>
      <c r="J24" s="108">
        <v>2474246</v>
      </c>
      <c r="K24" s="108">
        <v>2474246</v>
      </c>
      <c r="L24" s="108">
        <v>2474246</v>
      </c>
      <c r="M24" s="108">
        <v>2474248</v>
      </c>
      <c r="N24" s="112">
        <f>'Kiadás ktgvszervenként'!U15</f>
        <v>29690960</v>
      </c>
    </row>
    <row r="25" spans="1:15" ht="14.25" x14ac:dyDescent="0.2">
      <c r="A25" s="107" t="s">
        <v>117</v>
      </c>
      <c r="B25" s="108">
        <v>0</v>
      </c>
      <c r="C25" s="108">
        <v>0</v>
      </c>
      <c r="D25" s="108">
        <v>18052824</v>
      </c>
      <c r="E25" s="108">
        <v>6017608</v>
      </c>
      <c r="F25" s="108">
        <v>6017608</v>
      </c>
      <c r="G25" s="108">
        <v>6017608</v>
      </c>
      <c r="H25" s="108">
        <v>6017608</v>
      </c>
      <c r="I25" s="108">
        <v>6017608</v>
      </c>
      <c r="J25" s="108">
        <v>6017608</v>
      </c>
      <c r="K25" s="108">
        <v>6017608</v>
      </c>
      <c r="L25" s="108">
        <v>6017608</v>
      </c>
      <c r="M25" s="108">
        <v>6017610</v>
      </c>
      <c r="N25" s="112">
        <f>'Kiadás ktgvszervenként'!U16</f>
        <v>72211298</v>
      </c>
    </row>
    <row r="26" spans="1:15" ht="14.25" x14ac:dyDescent="0.2">
      <c r="A26" s="107" t="s">
        <v>118</v>
      </c>
      <c r="B26" s="108">
        <v>2413044</v>
      </c>
      <c r="C26" s="108">
        <v>2413044</v>
      </c>
      <c r="D26" s="108">
        <v>2413044</v>
      </c>
      <c r="E26" s="108">
        <v>2413044</v>
      </c>
      <c r="F26" s="108">
        <v>2413045</v>
      </c>
      <c r="G26" s="108">
        <v>2413045</v>
      </c>
      <c r="H26" s="108">
        <v>2413045</v>
      </c>
      <c r="I26" s="108">
        <v>2413045</v>
      </c>
      <c r="J26" s="108">
        <v>2413044</v>
      </c>
      <c r="K26" s="108">
        <v>2413045</v>
      </c>
      <c r="L26" s="108">
        <v>2413044</v>
      </c>
      <c r="M26" s="108">
        <v>2413044</v>
      </c>
      <c r="N26" s="112">
        <f>'Kiadás ktgvszervenként'!U11+'Kiadás ktgvszervenként'!U13</f>
        <v>29136535</v>
      </c>
    </row>
    <row r="27" spans="1:15" ht="14.25" x14ac:dyDescent="0.2">
      <c r="A27" s="107" t="s">
        <v>95</v>
      </c>
      <c r="B27" s="108">
        <v>394733</v>
      </c>
      <c r="C27" s="108">
        <v>394733</v>
      </c>
      <c r="D27" s="108">
        <v>394733</v>
      </c>
      <c r="E27" s="108">
        <v>394733</v>
      </c>
      <c r="F27" s="108">
        <v>394733</v>
      </c>
      <c r="G27" s="108">
        <v>394733</v>
      </c>
      <c r="H27" s="108">
        <v>394733</v>
      </c>
      <c r="I27" s="108">
        <v>394733</v>
      </c>
      <c r="J27" s="108">
        <v>394733</v>
      </c>
      <c r="K27" s="108">
        <v>394733</v>
      </c>
      <c r="L27" s="108">
        <v>394733</v>
      </c>
      <c r="M27" s="108">
        <v>394737</v>
      </c>
      <c r="N27" s="112">
        <f>'Kiadás ktgvszervenként'!U9</f>
        <v>4736800</v>
      </c>
    </row>
    <row r="28" spans="1:15" ht="14.25" hidden="1" x14ac:dyDescent="0.2">
      <c r="A28" s="107" t="s">
        <v>98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12">
        <f>'Kiadás ktgvszervenként'!U13</f>
        <v>13569268</v>
      </c>
    </row>
    <row r="29" spans="1:15" ht="14.25" hidden="1" x14ac:dyDescent="0.2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12">
        <f>'Kiadás ktgvszervenként'!U14</f>
        <v>221299302</v>
      </c>
    </row>
    <row r="30" spans="1:15" ht="14.25" x14ac:dyDescent="0.2">
      <c r="A30" s="107" t="s">
        <v>684</v>
      </c>
      <c r="B30" s="108">
        <v>879629</v>
      </c>
      <c r="C30" s="108">
        <v>879629</v>
      </c>
      <c r="D30" s="108">
        <v>879629</v>
      </c>
      <c r="E30" s="108">
        <v>879629</v>
      </c>
      <c r="F30" s="108">
        <v>879629</v>
      </c>
      <c r="G30" s="108">
        <v>879629</v>
      </c>
      <c r="H30" s="108">
        <v>879629</v>
      </c>
      <c r="I30" s="108">
        <v>879629</v>
      </c>
      <c r="J30" s="108">
        <v>879629</v>
      </c>
      <c r="K30" s="108">
        <v>879629</v>
      </c>
      <c r="L30" s="108">
        <v>879629</v>
      </c>
      <c r="M30" s="108">
        <v>879632</v>
      </c>
      <c r="N30" s="112">
        <f>'Kiadás ktgvszervenként'!U10</f>
        <v>10555551</v>
      </c>
    </row>
    <row r="31" spans="1:15" ht="14.25" x14ac:dyDescent="0.2">
      <c r="A31" s="107" t="s">
        <v>671</v>
      </c>
      <c r="B31" s="108">
        <v>109125</v>
      </c>
      <c r="C31" s="108">
        <v>109125</v>
      </c>
      <c r="D31" s="108">
        <v>109126</v>
      </c>
      <c r="E31" s="108">
        <v>109126</v>
      </c>
      <c r="F31" s="108">
        <v>109125</v>
      </c>
      <c r="G31" s="108">
        <v>109126</v>
      </c>
      <c r="H31" s="108">
        <v>109125</v>
      </c>
      <c r="I31" s="108">
        <v>109126</v>
      </c>
      <c r="J31" s="108">
        <v>109125</v>
      </c>
      <c r="K31" s="108">
        <v>109125</v>
      </c>
      <c r="L31" s="108">
        <v>109125</v>
      </c>
      <c r="M31" s="108">
        <v>109125</v>
      </c>
      <c r="N31" s="112">
        <f>'Kiadás ktgvszervenként'!U23</f>
        <v>1309508</v>
      </c>
    </row>
    <row r="32" spans="1:15" ht="14.25" x14ac:dyDescent="0.2">
      <c r="A32" s="107" t="s">
        <v>673</v>
      </c>
      <c r="B32" s="108">
        <v>1578635</v>
      </c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12">
        <f>'Kiadás ktgvszervenként'!U25</f>
        <v>1578635</v>
      </c>
    </row>
    <row r="33" spans="1:14" ht="14.25" x14ac:dyDescent="0.2">
      <c r="A33" s="107" t="s">
        <v>79</v>
      </c>
      <c r="B33" s="776">
        <v>5244795</v>
      </c>
      <c r="C33" s="776">
        <v>5244795</v>
      </c>
      <c r="D33" s="776">
        <v>5244795</v>
      </c>
      <c r="E33" s="776">
        <v>5244795</v>
      </c>
      <c r="F33" s="776">
        <v>5244795</v>
      </c>
      <c r="G33" s="776">
        <v>5244795</v>
      </c>
      <c r="H33" s="776">
        <v>5244795</v>
      </c>
      <c r="I33" s="776">
        <v>5244795</v>
      </c>
      <c r="J33" s="776">
        <v>5244795</v>
      </c>
      <c r="K33" s="776">
        <v>5244795</v>
      </c>
      <c r="L33" s="776">
        <v>5244795</v>
      </c>
      <c r="M33" s="776">
        <v>5244805</v>
      </c>
      <c r="N33" s="109">
        <f>'Kiadás ktgvszervenként'!F24</f>
        <v>62937550</v>
      </c>
    </row>
    <row r="34" spans="1:14" ht="15" thickBot="1" x14ac:dyDescent="0.25">
      <c r="A34" s="107" t="s">
        <v>62</v>
      </c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9">
        <f>'Kiadás ktgvszervenként'!U21</f>
        <v>99231341</v>
      </c>
    </row>
    <row r="35" spans="1:14" ht="15" thickBot="1" x14ac:dyDescent="0.25">
      <c r="A35" s="115" t="s">
        <v>119</v>
      </c>
      <c r="B35" s="116">
        <f t="shared" ref="B35:M35" si="1">SUM(B21:B34)</f>
        <v>25356662</v>
      </c>
      <c r="C35" s="116">
        <f t="shared" si="1"/>
        <v>23778027</v>
      </c>
      <c r="D35" s="116">
        <f t="shared" si="1"/>
        <v>49253593</v>
      </c>
      <c r="E35" s="116">
        <f t="shared" si="1"/>
        <v>32269883</v>
      </c>
      <c r="F35" s="116">
        <f t="shared" si="1"/>
        <v>32269883</v>
      </c>
      <c r="G35" s="116">
        <f t="shared" si="1"/>
        <v>32269884</v>
      </c>
      <c r="H35" s="116">
        <f t="shared" si="1"/>
        <v>32269882</v>
      </c>
      <c r="I35" s="116">
        <f t="shared" si="1"/>
        <v>32269883</v>
      </c>
      <c r="J35" s="116">
        <f t="shared" si="1"/>
        <v>32269881</v>
      </c>
      <c r="K35" s="116">
        <f t="shared" si="1"/>
        <v>32269882</v>
      </c>
      <c r="L35" s="116">
        <f t="shared" si="1"/>
        <v>32269881</v>
      </c>
      <c r="M35" s="116">
        <f t="shared" si="1"/>
        <v>32269906</v>
      </c>
      <c r="N35" s="117">
        <f>N21+N22+N23+N24+N25+N26+N27+N30+N31+N32+N33+N34</f>
        <v>488258594</v>
      </c>
    </row>
    <row r="36" spans="1:14" ht="15" thickBot="1" x14ac:dyDescent="0.25">
      <c r="A36" s="118" t="s">
        <v>120</v>
      </c>
      <c r="B36" s="119">
        <f>(B19-B35)</f>
        <v>0.3333333320915699</v>
      </c>
      <c r="C36" s="119">
        <f t="shared" ref="C36:N36" si="2">B36+C19-C35</f>
        <v>7782737.3333333321</v>
      </c>
      <c r="D36" s="119">
        <f t="shared" si="2"/>
        <v>41055094.333333328</v>
      </c>
      <c r="E36" s="119">
        <f t="shared" si="2"/>
        <v>40221233.333333328</v>
      </c>
      <c r="F36" s="119">
        <f t="shared" si="2"/>
        <v>45466028.333333328</v>
      </c>
      <c r="G36" s="119">
        <f t="shared" si="2"/>
        <v>44632166.333333328</v>
      </c>
      <c r="H36" s="119">
        <f t="shared" si="2"/>
        <v>43797306.333333328</v>
      </c>
      <c r="I36" s="119">
        <f t="shared" si="2"/>
        <v>42962444.333333328</v>
      </c>
      <c r="J36" s="119">
        <f t="shared" si="2"/>
        <v>74067584.333333328</v>
      </c>
      <c r="K36" s="119">
        <f t="shared" si="2"/>
        <v>101132723.33333333</v>
      </c>
      <c r="L36" s="119">
        <f t="shared" si="2"/>
        <v>100297837.33333333</v>
      </c>
      <c r="M36" s="119">
        <f t="shared" si="2"/>
        <v>99464006.333333328</v>
      </c>
      <c r="N36" s="119">
        <f t="shared" si="2"/>
        <v>99464006.333333373</v>
      </c>
    </row>
    <row r="41" spans="1:14" x14ac:dyDescent="0.2">
      <c r="E41" s="672"/>
    </row>
  </sheetData>
  <mergeCells count="2">
    <mergeCell ref="A2:N2"/>
    <mergeCell ref="A20:N20"/>
  </mergeCells>
  <phoneticPr fontId="2" type="noConversion"/>
  <pageMargins left="0.75" right="0.75" top="1" bottom="1" header="0.5" footer="0.5"/>
  <pageSetup paperSize="9" scale="55" orientation="landscape" r:id="rId1"/>
  <headerFooter alignWithMargins="0">
    <oddHeader>&amp;L&amp;"Times New Roman,Félkövér"&amp;14Levél Községi Önkormányzat&amp;C&amp;"Times,Félkövér"&amp;14Előirányzat felhasználási terv
2018.&amp;R&amp;12 13.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7"/>
  <dimension ref="A1:M58"/>
  <sheetViews>
    <sheetView view="pageLayout" zoomScaleNormal="100" workbookViewId="0">
      <selection activeCell="P5" sqref="P5"/>
    </sheetView>
  </sheetViews>
  <sheetFormatPr defaultRowHeight="12.75" x14ac:dyDescent="0.2"/>
  <cols>
    <col min="1" max="1" width="26.42578125" customWidth="1"/>
    <col min="2" max="4" width="0" hidden="1" customWidth="1"/>
    <col min="5" max="5" width="16.140625" hidden="1" customWidth="1"/>
    <col min="6" max="6" width="14.5703125" hidden="1" customWidth="1"/>
    <col min="7" max="7" width="15.5703125" hidden="1" customWidth="1"/>
    <col min="8" max="10" width="9.42578125" bestFit="1" customWidth="1"/>
    <col min="11" max="11" width="19" customWidth="1"/>
    <col min="12" max="12" width="17.5703125" bestFit="1" customWidth="1"/>
    <col min="13" max="13" width="18.7109375" customWidth="1"/>
  </cols>
  <sheetData>
    <row r="1" spans="1:13" ht="15" x14ac:dyDescent="0.2">
      <c r="A1" s="45"/>
      <c r="B1" s="1008" t="s">
        <v>17</v>
      </c>
      <c r="C1" s="1009"/>
      <c r="D1" s="1009"/>
      <c r="E1" s="1009"/>
      <c r="F1" s="1009"/>
      <c r="G1" s="1010"/>
      <c r="H1" s="1011" t="s">
        <v>694</v>
      </c>
      <c r="I1" s="1012"/>
      <c r="J1" s="1012"/>
      <c r="K1" s="1012"/>
      <c r="L1" s="1012"/>
      <c r="M1" s="1013"/>
    </row>
    <row r="2" spans="1:13" ht="15" x14ac:dyDescent="0.2">
      <c r="A2" s="45"/>
      <c r="B2" s="49"/>
      <c r="C2" s="50"/>
      <c r="D2" s="50"/>
      <c r="E2" s="50"/>
      <c r="F2" s="50"/>
      <c r="G2" s="51"/>
      <c r="H2" s="46"/>
      <c r="I2" s="47"/>
      <c r="J2" s="47"/>
      <c r="K2" s="47"/>
      <c r="L2" s="47"/>
      <c r="M2" s="48"/>
    </row>
    <row r="3" spans="1:13" ht="15" x14ac:dyDescent="0.2">
      <c r="A3" s="52" t="s">
        <v>11</v>
      </c>
      <c r="B3" s="34" t="s">
        <v>12</v>
      </c>
      <c r="C3" s="34" t="s">
        <v>13</v>
      </c>
      <c r="D3" s="34" t="s">
        <v>14</v>
      </c>
      <c r="E3" s="34" t="s">
        <v>15</v>
      </c>
      <c r="F3" s="34" t="s">
        <v>16</v>
      </c>
      <c r="G3" s="53" t="s">
        <v>66</v>
      </c>
      <c r="H3" s="31" t="s">
        <v>12</v>
      </c>
      <c r="I3" s="34" t="s">
        <v>13</v>
      </c>
      <c r="J3" s="34" t="s">
        <v>14</v>
      </c>
      <c r="K3" s="34" t="s">
        <v>15</v>
      </c>
      <c r="L3" s="34" t="s">
        <v>16</v>
      </c>
      <c r="M3" s="27" t="s">
        <v>66</v>
      </c>
    </row>
    <row r="4" spans="1:13" ht="15" x14ac:dyDescent="0.2">
      <c r="A4" s="1" t="s">
        <v>685</v>
      </c>
      <c r="B4" s="54"/>
      <c r="C4" s="1"/>
      <c r="D4" s="1"/>
      <c r="E4" s="62">
        <f>B4*C4*D4</f>
        <v>0</v>
      </c>
      <c r="F4" s="62">
        <f>E4*0.27</f>
        <v>0</v>
      </c>
      <c r="G4" s="9">
        <f>SUM(E4:F4)</f>
        <v>0</v>
      </c>
      <c r="H4" s="54">
        <v>17</v>
      </c>
      <c r="I4" s="1">
        <v>220</v>
      </c>
      <c r="J4" s="1">
        <v>550</v>
      </c>
      <c r="K4" s="62">
        <v>2055503</v>
      </c>
      <c r="L4" s="62">
        <v>554986</v>
      </c>
      <c r="M4" s="9">
        <f>SUM(K4:L4)</f>
        <v>2610489</v>
      </c>
    </row>
    <row r="5" spans="1:13" ht="15" x14ac:dyDescent="0.2">
      <c r="A5" s="1" t="s">
        <v>614</v>
      </c>
      <c r="B5" s="54"/>
      <c r="C5" s="1"/>
      <c r="D5" s="1"/>
      <c r="E5" s="62">
        <f>B5*C5*D5</f>
        <v>0</v>
      </c>
      <c r="F5" s="62">
        <f>E5*0.27</f>
        <v>0</v>
      </c>
      <c r="G5" s="9">
        <f>SUM(E5:F5)</f>
        <v>0</v>
      </c>
      <c r="H5" s="54"/>
      <c r="I5" s="1"/>
      <c r="J5" s="1"/>
      <c r="K5" s="62">
        <f>H5*I5*J5</f>
        <v>0</v>
      </c>
      <c r="L5" s="62"/>
      <c r="M5" s="9">
        <f>SUM(K5:L5)</f>
        <v>0</v>
      </c>
    </row>
    <row r="6" spans="1:13" ht="15" x14ac:dyDescent="0.2">
      <c r="A6" s="1" t="s">
        <v>613</v>
      </c>
      <c r="B6" s="54"/>
      <c r="C6" s="1"/>
      <c r="D6" s="1"/>
      <c r="E6" s="62">
        <f>B6*C6*D6</f>
        <v>0</v>
      </c>
      <c r="F6" s="62">
        <f>E6*0.27</f>
        <v>0</v>
      </c>
      <c r="G6" s="9">
        <f>SUM(E6:F6)</f>
        <v>0</v>
      </c>
      <c r="H6" s="54">
        <v>37</v>
      </c>
      <c r="I6" s="1">
        <v>220</v>
      </c>
      <c r="J6" s="1">
        <v>550</v>
      </c>
      <c r="K6" s="62">
        <f>H6*I6*J6</f>
        <v>4477000</v>
      </c>
      <c r="L6" s="62">
        <f>K6*0.27</f>
        <v>1208790</v>
      </c>
      <c r="M6" s="9">
        <f>SUM(K6:L6)</f>
        <v>5685790</v>
      </c>
    </row>
    <row r="7" spans="1:13" ht="15" x14ac:dyDescent="0.2">
      <c r="A7" s="55" t="s">
        <v>35</v>
      </c>
      <c r="B7" s="44">
        <f>SUM(B4:B6)</f>
        <v>0</v>
      </c>
      <c r="C7" s="55"/>
      <c r="D7" s="55"/>
      <c r="E7" s="63">
        <f>SUM(E4:E6)</f>
        <v>0</v>
      </c>
      <c r="F7" s="63">
        <f>SUM(F4:F6)</f>
        <v>0</v>
      </c>
      <c r="G7" s="3">
        <f>SUM(G4:G6)</f>
        <v>0</v>
      </c>
      <c r="H7" s="44">
        <f>SUM(H4:H6)</f>
        <v>54</v>
      </c>
      <c r="I7" s="55"/>
      <c r="J7" s="55"/>
      <c r="K7" s="63">
        <f>SUM(K4:K6)</f>
        <v>6532503</v>
      </c>
      <c r="L7" s="63">
        <v>1763776</v>
      </c>
      <c r="M7" s="3">
        <f>SUM(M4:M6)</f>
        <v>8296279</v>
      </c>
    </row>
    <row r="8" spans="1:13" ht="15" x14ac:dyDescent="0.2">
      <c r="A8" s="1"/>
      <c r="B8" s="54"/>
      <c r="C8" s="1"/>
      <c r="D8" s="1"/>
      <c r="E8" s="1"/>
      <c r="F8" s="1"/>
      <c r="G8" s="9"/>
      <c r="H8" s="54"/>
      <c r="I8" s="1"/>
      <c r="J8" s="1"/>
      <c r="K8" s="1"/>
      <c r="L8" s="1"/>
      <c r="M8" s="9"/>
    </row>
    <row r="9" spans="1:13" ht="15" x14ac:dyDescent="0.2">
      <c r="A9" s="1" t="s">
        <v>615</v>
      </c>
      <c r="B9" s="54"/>
      <c r="C9" s="1"/>
      <c r="D9" s="1"/>
      <c r="E9" s="62">
        <f>B9*C9*D9</f>
        <v>0</v>
      </c>
      <c r="F9" s="62">
        <f>E9*0.27</f>
        <v>0</v>
      </c>
      <c r="G9" s="9">
        <f>SUM(E9:F9)</f>
        <v>0</v>
      </c>
      <c r="H9" s="54">
        <v>38</v>
      </c>
      <c r="I9" s="1">
        <v>185</v>
      </c>
      <c r="J9" s="1">
        <v>567</v>
      </c>
      <c r="K9" s="62">
        <v>3985663</v>
      </c>
      <c r="L9" s="62">
        <f>K9*0.27</f>
        <v>1076129.01</v>
      </c>
      <c r="M9" s="9">
        <f>SUM(K9:L9)</f>
        <v>5061792.01</v>
      </c>
    </row>
    <row r="10" spans="1:13" ht="15" x14ac:dyDescent="0.2">
      <c r="A10" s="1" t="s">
        <v>616</v>
      </c>
      <c r="B10" s="54"/>
      <c r="C10" s="1"/>
      <c r="D10" s="1"/>
      <c r="E10" s="62">
        <f>B10*C10*D10</f>
        <v>0</v>
      </c>
      <c r="F10" s="62">
        <f>E10*0.27</f>
        <v>0</v>
      </c>
      <c r="G10" s="9">
        <f>SUM(E10:F10)</f>
        <v>0</v>
      </c>
      <c r="H10" s="54">
        <v>50</v>
      </c>
      <c r="I10" s="1">
        <v>185</v>
      </c>
      <c r="J10" s="1">
        <v>470</v>
      </c>
      <c r="K10" s="62">
        <f>H10*I10*J10</f>
        <v>4347500</v>
      </c>
      <c r="L10" s="62">
        <f>K10*0.27</f>
        <v>1173825</v>
      </c>
      <c r="M10" s="9">
        <f>SUM(K10:L10)</f>
        <v>5521325</v>
      </c>
    </row>
    <row r="11" spans="1:13" ht="15" x14ac:dyDescent="0.2">
      <c r="A11" s="1" t="s">
        <v>36</v>
      </c>
      <c r="B11" s="54"/>
      <c r="C11" s="1"/>
      <c r="D11" s="1"/>
      <c r="E11" s="62">
        <f>B11*C11*D11</f>
        <v>0</v>
      </c>
      <c r="F11" s="62">
        <f>E11*0.27</f>
        <v>0</v>
      </c>
      <c r="G11" s="9">
        <f>SUM(E11:F11)</f>
        <v>0</v>
      </c>
      <c r="H11" s="54"/>
      <c r="I11" s="1"/>
      <c r="J11" s="1"/>
      <c r="K11" s="62">
        <f>H11*I11*J11</f>
        <v>0</v>
      </c>
      <c r="L11" s="62">
        <f>K11*0.27</f>
        <v>0</v>
      </c>
      <c r="M11" s="9">
        <f>SUM(K11:L11)</f>
        <v>0</v>
      </c>
    </row>
    <row r="12" spans="1:13" ht="15" x14ac:dyDescent="0.2">
      <c r="A12" s="1" t="s">
        <v>37</v>
      </c>
      <c r="B12" s="54"/>
      <c r="C12" s="1"/>
      <c r="D12" s="1"/>
      <c r="E12" s="62">
        <f>B12*C12*D12</f>
        <v>0</v>
      </c>
      <c r="F12" s="62">
        <f>E12*0.27</f>
        <v>0</v>
      </c>
      <c r="G12" s="9">
        <f>SUM(E12:F12)</f>
        <v>0</v>
      </c>
      <c r="H12" s="54"/>
      <c r="I12" s="1"/>
      <c r="J12" s="1"/>
      <c r="K12" s="62">
        <f>H12*I12*J12</f>
        <v>0</v>
      </c>
      <c r="L12" s="62">
        <f>K12*0.27</f>
        <v>0</v>
      </c>
      <c r="M12" s="9">
        <f>SUM(K12:L12)</f>
        <v>0</v>
      </c>
    </row>
    <row r="13" spans="1:13" ht="15" x14ac:dyDescent="0.2">
      <c r="A13" s="55" t="s">
        <v>38</v>
      </c>
      <c r="B13" s="44">
        <f>SUM(B9:B12)</f>
        <v>0</v>
      </c>
      <c r="C13" s="55"/>
      <c r="D13" s="55"/>
      <c r="E13" s="63">
        <f>SUM(E9:E12)</f>
        <v>0</v>
      </c>
      <c r="F13" s="63">
        <f>SUM(F9:F12)</f>
        <v>0</v>
      </c>
      <c r="G13" s="3">
        <f>SUM(G9:G12)</f>
        <v>0</v>
      </c>
      <c r="H13" s="44">
        <f>SUM(H9:H12)</f>
        <v>88</v>
      </c>
      <c r="I13" s="55"/>
      <c r="J13" s="55"/>
      <c r="K13" s="63">
        <f>SUM(K9:K12)</f>
        <v>8333163</v>
      </c>
      <c r="L13" s="63">
        <f>SUM(L9:L12)</f>
        <v>2249954.0099999998</v>
      </c>
      <c r="M13" s="3">
        <f>SUM(M9:M12)</f>
        <v>10583117.01</v>
      </c>
    </row>
    <row r="14" spans="1:13" ht="15" x14ac:dyDescent="0.2">
      <c r="A14" s="1"/>
      <c r="B14" s="54"/>
      <c r="C14" s="1"/>
      <c r="D14" s="1"/>
      <c r="E14" s="1"/>
      <c r="F14" s="1"/>
      <c r="G14" s="9"/>
      <c r="H14" s="54"/>
      <c r="I14" s="1"/>
      <c r="J14" s="1"/>
      <c r="K14" s="1"/>
      <c r="L14" s="1"/>
      <c r="M14" s="9"/>
    </row>
    <row r="15" spans="1:13" ht="15" hidden="1" x14ac:dyDescent="0.2">
      <c r="A15" s="1" t="s">
        <v>60</v>
      </c>
      <c r="B15" s="54"/>
      <c r="C15" s="1"/>
      <c r="D15" s="1"/>
      <c r="E15" s="62">
        <f>B15*C15*D15</f>
        <v>0</v>
      </c>
      <c r="F15" s="62">
        <f>E15*0.27</f>
        <v>0</v>
      </c>
      <c r="G15" s="9">
        <f>SUM(E15:F15)</f>
        <v>0</v>
      </c>
      <c r="H15" s="54"/>
      <c r="I15" s="1"/>
      <c r="J15" s="1"/>
      <c r="K15" s="62">
        <f>H15*I15*J15</f>
        <v>0</v>
      </c>
      <c r="L15" s="62">
        <f>K15*0.27</f>
        <v>0</v>
      </c>
      <c r="M15" s="9">
        <f>SUM(K15:L15)</f>
        <v>0</v>
      </c>
    </row>
    <row r="16" spans="1:13" ht="15" hidden="1" x14ac:dyDescent="0.2">
      <c r="A16" s="55" t="s">
        <v>61</v>
      </c>
      <c r="B16" s="44">
        <f>SUM(B15)</f>
        <v>0</v>
      </c>
      <c r="C16" s="44">
        <f>SUM(C15)</f>
        <v>0</v>
      </c>
      <c r="D16" s="44">
        <f>SUM(D15)</f>
        <v>0</v>
      </c>
      <c r="E16" s="32">
        <f>SUM(E15)</f>
        <v>0</v>
      </c>
      <c r="F16" s="32">
        <f>SUM(F15)</f>
        <v>0</v>
      </c>
      <c r="G16" s="3">
        <f>SUM(E16:F16)</f>
        <v>0</v>
      </c>
      <c r="H16" s="44">
        <f>SUM(H15)</f>
        <v>0</v>
      </c>
      <c r="I16" s="44">
        <f>SUM(I15)</f>
        <v>0</v>
      </c>
      <c r="J16" s="44">
        <f>SUM(J15)</f>
        <v>0</v>
      </c>
      <c r="K16" s="12">
        <f>SUM(K15)</f>
        <v>0</v>
      </c>
      <c r="L16" s="32">
        <f>SUM(L15)</f>
        <v>0</v>
      </c>
      <c r="M16" s="3">
        <f>SUM(K16:L16)</f>
        <v>0</v>
      </c>
    </row>
    <row r="17" spans="1:13" ht="15" hidden="1" x14ac:dyDescent="0.2">
      <c r="A17" s="1"/>
      <c r="B17" s="54"/>
      <c r="C17" s="1"/>
      <c r="D17" s="1"/>
      <c r="E17" s="1"/>
      <c r="F17" s="1"/>
      <c r="G17" s="9"/>
      <c r="H17" s="54"/>
      <c r="I17" s="1"/>
      <c r="J17" s="1"/>
      <c r="K17" s="1"/>
      <c r="L17" s="1"/>
      <c r="M17" s="9"/>
    </row>
    <row r="18" spans="1:13" ht="15" hidden="1" x14ac:dyDescent="0.2">
      <c r="A18" s="56" t="s">
        <v>39</v>
      </c>
      <c r="B18" s="54"/>
      <c r="C18" s="1"/>
      <c r="D18" s="1"/>
      <c r="E18" s="1"/>
      <c r="F18" s="1"/>
      <c r="G18" s="9"/>
      <c r="H18" s="54"/>
      <c r="I18" s="1"/>
      <c r="J18" s="1"/>
      <c r="K18" s="1"/>
      <c r="L18" s="1"/>
      <c r="M18" s="9"/>
    </row>
    <row r="19" spans="1:13" ht="15" hidden="1" x14ac:dyDescent="0.2">
      <c r="A19" s="1" t="s">
        <v>40</v>
      </c>
      <c r="B19" s="54"/>
      <c r="C19" s="79"/>
      <c r="D19" s="1"/>
      <c r="E19" s="62">
        <f>B19*C19*D19</f>
        <v>0</v>
      </c>
      <c r="F19" s="62">
        <f>E19*0.27</f>
        <v>0</v>
      </c>
      <c r="G19" s="9">
        <f>SUM(E19:F19)</f>
        <v>0</v>
      </c>
      <c r="H19" s="54"/>
      <c r="I19" s="79"/>
      <c r="J19" s="1"/>
      <c r="K19" s="62">
        <f>H19*I19*J19</f>
        <v>0</v>
      </c>
      <c r="L19" s="62">
        <f>K19*0.27</f>
        <v>0</v>
      </c>
      <c r="M19" s="9">
        <f>SUM(K19:L19)</f>
        <v>0</v>
      </c>
    </row>
    <row r="20" spans="1:13" ht="15" hidden="1" x14ac:dyDescent="0.2">
      <c r="A20" s="1" t="s">
        <v>41</v>
      </c>
      <c r="B20" s="54"/>
      <c r="C20" s="1"/>
      <c r="D20" s="1"/>
      <c r="E20" s="62">
        <f>B20*C20*D20</f>
        <v>0</v>
      </c>
      <c r="F20" s="62">
        <f>E20*0.27</f>
        <v>0</v>
      </c>
      <c r="G20" s="9">
        <f>SUM(E20:F20)</f>
        <v>0</v>
      </c>
      <c r="H20" s="54"/>
      <c r="I20" s="1"/>
      <c r="J20" s="1"/>
      <c r="K20" s="62">
        <f>H20*I20*J20</f>
        <v>0</v>
      </c>
      <c r="L20" s="62">
        <f>K20*0.27</f>
        <v>0</v>
      </c>
      <c r="M20" s="9">
        <f>SUM(K20:L20)</f>
        <v>0</v>
      </c>
    </row>
    <row r="21" spans="1:13" ht="15" hidden="1" x14ac:dyDescent="0.2">
      <c r="A21" s="55" t="s">
        <v>42</v>
      </c>
      <c r="B21" s="44">
        <f>SUM(B19:B20)</f>
        <v>0</v>
      </c>
      <c r="C21" s="55"/>
      <c r="D21" s="55"/>
      <c r="E21" s="63">
        <f>SUM(E19:E20)</f>
        <v>0</v>
      </c>
      <c r="F21" s="63">
        <f>SUM(F19:F20)</f>
        <v>0</v>
      </c>
      <c r="G21" s="3">
        <f>SUM(E21:F21)</f>
        <v>0</v>
      </c>
      <c r="H21" s="44">
        <f>SUM(H19:H20)</f>
        <v>0</v>
      </c>
      <c r="I21" s="55"/>
      <c r="J21" s="55"/>
      <c r="K21" s="63">
        <f>SUM(K19:K20)</f>
        <v>0</v>
      </c>
      <c r="L21" s="63">
        <f>SUM(L19:L20)</f>
        <v>0</v>
      </c>
      <c r="M21" s="3">
        <f>SUM(K21:L21)</f>
        <v>0</v>
      </c>
    </row>
    <row r="22" spans="1:13" ht="15" hidden="1" x14ac:dyDescent="0.2">
      <c r="A22" s="57"/>
      <c r="B22" s="58"/>
      <c r="C22" s="57"/>
      <c r="D22" s="57"/>
      <c r="E22" s="64"/>
      <c r="F22" s="64"/>
      <c r="G22" s="59"/>
      <c r="H22" s="58"/>
      <c r="I22" s="57"/>
      <c r="J22" s="57"/>
      <c r="K22" s="64"/>
      <c r="L22" s="64"/>
      <c r="M22" s="59"/>
    </row>
    <row r="23" spans="1:13" ht="15" hidden="1" x14ac:dyDescent="0.2">
      <c r="A23" s="55" t="s">
        <v>10</v>
      </c>
      <c r="B23" s="44">
        <v>0</v>
      </c>
      <c r="C23" s="55">
        <v>0</v>
      </c>
      <c r="D23" s="55">
        <v>0</v>
      </c>
      <c r="E23" s="63">
        <f>B23*C23*D23</f>
        <v>0</v>
      </c>
      <c r="F23" s="63">
        <f>E23*0.2</f>
        <v>0</v>
      </c>
      <c r="G23" s="3">
        <f>SUM(E23:F23)</f>
        <v>0</v>
      </c>
      <c r="H23" s="44"/>
      <c r="I23" s="55"/>
      <c r="J23" s="55"/>
      <c r="K23" s="63">
        <f>H23*I23*J23</f>
        <v>0</v>
      </c>
      <c r="L23" s="63">
        <f>K23*0.2</f>
        <v>0</v>
      </c>
      <c r="M23" s="3">
        <f>SUM(K23:L23)</f>
        <v>0</v>
      </c>
    </row>
    <row r="24" spans="1:13" ht="15" x14ac:dyDescent="0.2">
      <c r="A24" s="655" t="s">
        <v>43</v>
      </c>
      <c r="B24" s="3">
        <f>SUM(B7,B13,B21,B23,B16)</f>
        <v>0</v>
      </c>
      <c r="C24" s="3"/>
      <c r="D24" s="3"/>
      <c r="E24" s="3">
        <f>SUM(E7,E13,E21,E23,E16)</f>
        <v>0</v>
      </c>
      <c r="F24" s="3">
        <f>SUM(F7,F13,F21,F23,F16)</f>
        <v>0</v>
      </c>
      <c r="G24" s="3">
        <f>SUM(G7,G13,G21,G23,G16)</f>
        <v>0</v>
      </c>
      <c r="H24" s="3">
        <f>SUM(H7,H13,H21,H23,H16)</f>
        <v>142</v>
      </c>
      <c r="I24" s="3"/>
      <c r="J24" s="3"/>
      <c r="K24" s="3">
        <f>SUM(K7,K13,K21,K23,K16)</f>
        <v>14865666</v>
      </c>
      <c r="L24" s="3">
        <f>SUM(L7,L13,L21,L23,L16)</f>
        <v>4013730.01</v>
      </c>
      <c r="M24" s="3">
        <f>SUM(M7,M13,M21,M23,M16)</f>
        <v>18879396.009999998</v>
      </c>
    </row>
    <row r="25" spans="1:13" ht="15" x14ac:dyDescent="0.2">
      <c r="A25" s="1"/>
      <c r="B25" s="54"/>
      <c r="C25" s="1"/>
      <c r="D25" s="1"/>
      <c r="E25" s="1"/>
      <c r="F25" s="1"/>
      <c r="G25" s="9"/>
      <c r="H25" s="651" t="s">
        <v>83</v>
      </c>
      <c r="I25" s="652" t="s">
        <v>618</v>
      </c>
      <c r="J25" s="652" t="s">
        <v>14</v>
      </c>
      <c r="K25" s="652" t="s">
        <v>84</v>
      </c>
      <c r="L25" s="652"/>
      <c r="M25" s="653"/>
    </row>
    <row r="26" spans="1:13" ht="15" x14ac:dyDescent="0.2">
      <c r="A26" s="56" t="s">
        <v>686</v>
      </c>
      <c r="B26" s="54"/>
      <c r="C26" s="1"/>
      <c r="D26" s="1"/>
      <c r="E26" s="1"/>
      <c r="F26" s="1"/>
      <c r="G26" s="9"/>
      <c r="H26" s="54"/>
      <c r="I26" s="1"/>
      <c r="J26" s="1"/>
      <c r="K26" s="1"/>
      <c r="L26" s="1"/>
      <c r="M26" s="9"/>
    </row>
    <row r="27" spans="1:13" ht="15" x14ac:dyDescent="0.2">
      <c r="A27" s="1" t="s">
        <v>617</v>
      </c>
      <c r="B27" s="54"/>
      <c r="C27" s="1"/>
      <c r="D27" s="1"/>
      <c r="E27" s="62">
        <f>B27*C27*D27</f>
        <v>0</v>
      </c>
      <c r="F27" s="62">
        <f t="shared" ref="F27:F32" si="0">E27*0.27</f>
        <v>0</v>
      </c>
      <c r="G27" s="9">
        <f t="shared" ref="G27:G33" si="1">SUM(E27:F27)</f>
        <v>0</v>
      </c>
      <c r="H27" s="54">
        <v>17</v>
      </c>
      <c r="I27" s="1">
        <v>220</v>
      </c>
      <c r="J27" s="1">
        <v>390</v>
      </c>
      <c r="K27" s="62">
        <v>1462938</v>
      </c>
      <c r="L27" s="62"/>
      <c r="M27" s="9">
        <v>1462938</v>
      </c>
    </row>
    <row r="28" spans="1:13" ht="15" x14ac:dyDescent="0.2">
      <c r="A28" s="60" t="s">
        <v>674</v>
      </c>
      <c r="B28" s="54"/>
      <c r="C28" s="1"/>
      <c r="D28" s="1"/>
      <c r="E28" s="62">
        <f>B28*C28*D28</f>
        <v>0</v>
      </c>
      <c r="F28" s="62">
        <f t="shared" si="0"/>
        <v>0</v>
      </c>
      <c r="G28" s="9">
        <f t="shared" si="1"/>
        <v>0</v>
      </c>
      <c r="H28" s="54">
        <v>37</v>
      </c>
      <c r="I28" s="1">
        <v>220</v>
      </c>
      <c r="J28" s="1">
        <v>0</v>
      </c>
      <c r="K28" s="62">
        <f>H28*I28*J28</f>
        <v>0</v>
      </c>
      <c r="L28" s="62"/>
      <c r="M28" s="9">
        <f>K28*0.8</f>
        <v>0</v>
      </c>
    </row>
    <row r="29" spans="1:13" ht="15" hidden="1" x14ac:dyDescent="0.2">
      <c r="A29" s="60" t="s">
        <v>48</v>
      </c>
      <c r="B29" s="54"/>
      <c r="C29" s="1"/>
      <c r="D29" s="1"/>
      <c r="E29" s="62">
        <f>B29*C29*D29</f>
        <v>0</v>
      </c>
      <c r="F29" s="62">
        <f t="shared" si="0"/>
        <v>0</v>
      </c>
      <c r="G29" s="9">
        <f t="shared" si="1"/>
        <v>0</v>
      </c>
      <c r="H29" s="54"/>
      <c r="I29" s="1"/>
      <c r="J29" s="1"/>
      <c r="K29" s="62"/>
      <c r="L29" s="62"/>
      <c r="M29" s="9"/>
    </row>
    <row r="30" spans="1:13" ht="15" hidden="1" x14ac:dyDescent="0.2">
      <c r="A30" s="60" t="s">
        <v>49</v>
      </c>
      <c r="B30" s="54"/>
      <c r="C30" s="1"/>
      <c r="D30" s="1"/>
      <c r="E30" s="62">
        <f>B30*C30*D30</f>
        <v>0</v>
      </c>
      <c r="F30" s="62">
        <f t="shared" si="0"/>
        <v>0</v>
      </c>
      <c r="G30" s="9">
        <f t="shared" si="1"/>
        <v>0</v>
      </c>
      <c r="H30" s="54"/>
      <c r="I30" s="1"/>
      <c r="J30" s="1"/>
      <c r="K30" s="62"/>
      <c r="L30" s="62"/>
      <c r="M30" s="9"/>
    </row>
    <row r="31" spans="1:13" ht="15" hidden="1" x14ac:dyDescent="0.2">
      <c r="A31" s="60"/>
      <c r="B31" s="54"/>
      <c r="C31" s="1"/>
      <c r="D31" s="1"/>
      <c r="E31" s="62">
        <f>B31*C31*D31</f>
        <v>0</v>
      </c>
      <c r="F31" s="62">
        <f t="shared" si="0"/>
        <v>0</v>
      </c>
      <c r="G31" s="9">
        <f t="shared" si="1"/>
        <v>0</v>
      </c>
      <c r="H31" s="54"/>
      <c r="I31" s="1"/>
      <c r="J31" s="1"/>
      <c r="K31" s="62"/>
      <c r="L31" s="62"/>
      <c r="M31" s="9"/>
    </row>
    <row r="32" spans="1:13" ht="15" hidden="1" x14ac:dyDescent="0.2">
      <c r="A32" s="1" t="s">
        <v>51</v>
      </c>
      <c r="B32" s="54"/>
      <c r="C32" s="1"/>
      <c r="D32" s="1"/>
      <c r="E32" s="62"/>
      <c r="F32" s="62">
        <f t="shared" si="0"/>
        <v>0</v>
      </c>
      <c r="G32" s="9">
        <f t="shared" si="1"/>
        <v>0</v>
      </c>
      <c r="H32" s="54"/>
      <c r="I32" s="1"/>
      <c r="J32" s="1"/>
      <c r="K32" s="62"/>
      <c r="L32" s="62"/>
      <c r="M32" s="9"/>
    </row>
    <row r="33" spans="1:13" ht="15" hidden="1" x14ac:dyDescent="0.2">
      <c r="A33" s="1" t="s">
        <v>50</v>
      </c>
      <c r="B33" s="54"/>
      <c r="C33" s="1"/>
      <c r="D33" s="1"/>
      <c r="E33" s="62"/>
      <c r="F33" s="62">
        <f>B33*C33*D33*0.25</f>
        <v>0</v>
      </c>
      <c r="G33" s="9">
        <f t="shared" si="1"/>
        <v>0</v>
      </c>
      <c r="H33" s="54"/>
      <c r="I33" s="1"/>
      <c r="J33" s="1"/>
      <c r="K33" s="62"/>
      <c r="L33" s="62"/>
      <c r="M33" s="9"/>
    </row>
    <row r="34" spans="1:13" ht="15" x14ac:dyDescent="0.2">
      <c r="A34" s="1" t="s">
        <v>44</v>
      </c>
      <c r="B34" s="44">
        <f>SUM(B27:B33)</f>
        <v>0</v>
      </c>
      <c r="C34" s="55"/>
      <c r="D34" s="55"/>
      <c r="E34" s="65">
        <f>SUM(E27:E33)</f>
        <v>0</v>
      </c>
      <c r="F34" s="65">
        <f>SUM(F27:F33)</f>
        <v>0</v>
      </c>
      <c r="G34" s="3">
        <f>SUM(G27:G33)</f>
        <v>0</v>
      </c>
      <c r="H34" s="44">
        <f>SUM(H27:H33)</f>
        <v>54</v>
      </c>
      <c r="I34" s="55"/>
      <c r="J34" s="55"/>
      <c r="K34" s="65">
        <f>SUM(K27:K33)</f>
        <v>1462938</v>
      </c>
      <c r="L34" s="65"/>
      <c r="M34" s="3">
        <f>SUM(M27:M33)</f>
        <v>1462938</v>
      </c>
    </row>
    <row r="35" spans="1:13" ht="15" x14ac:dyDescent="0.2">
      <c r="A35" s="56" t="s">
        <v>687</v>
      </c>
      <c r="B35" s="54"/>
      <c r="C35" s="1"/>
      <c r="D35" s="1"/>
      <c r="E35" s="62"/>
      <c r="F35" s="62"/>
      <c r="G35" s="9"/>
      <c r="H35" s="54"/>
      <c r="I35" s="1"/>
      <c r="J35" s="1"/>
      <c r="K35" s="62"/>
      <c r="L35" s="62"/>
      <c r="M35" s="9"/>
    </row>
    <row r="36" spans="1:13" ht="15" x14ac:dyDescent="0.2">
      <c r="A36" s="1" t="s">
        <v>619</v>
      </c>
      <c r="B36" s="54"/>
      <c r="C36" s="1"/>
      <c r="D36" s="1"/>
      <c r="E36" s="62">
        <f t="shared" ref="E36:E43" si="2">B36*C36*D36</f>
        <v>0</v>
      </c>
      <c r="F36" s="62">
        <f t="shared" ref="F36:F43" si="3">E36*0.27</f>
        <v>0</v>
      </c>
      <c r="G36" s="9">
        <f t="shared" ref="G36:G44" si="4">SUM(E36:F36)</f>
        <v>0</v>
      </c>
      <c r="H36" s="54"/>
      <c r="I36" s="1"/>
      <c r="J36" s="1"/>
      <c r="K36" s="62"/>
      <c r="L36" s="62"/>
      <c r="M36" s="9">
        <f t="shared" ref="M36:M44" si="5">SUM(K36:L36)</f>
        <v>0</v>
      </c>
    </row>
    <row r="37" spans="1:13" ht="15" x14ac:dyDescent="0.2">
      <c r="A37" s="1" t="s">
        <v>620</v>
      </c>
      <c r="B37" s="54"/>
      <c r="C37" s="1"/>
      <c r="D37" s="1"/>
      <c r="E37" s="62">
        <f t="shared" si="2"/>
        <v>0</v>
      </c>
      <c r="F37" s="62">
        <f t="shared" si="3"/>
        <v>0</v>
      </c>
      <c r="G37" s="9">
        <f t="shared" si="4"/>
        <v>0</v>
      </c>
      <c r="H37" s="54">
        <v>29</v>
      </c>
      <c r="I37" s="1">
        <v>185</v>
      </c>
      <c r="J37" s="1">
        <v>337</v>
      </c>
      <c r="K37" s="62">
        <v>1810423</v>
      </c>
      <c r="L37" s="62">
        <v>488814</v>
      </c>
      <c r="M37" s="9">
        <v>2299237</v>
      </c>
    </row>
    <row r="38" spans="1:13" ht="15" x14ac:dyDescent="0.2">
      <c r="A38" s="1" t="s">
        <v>621</v>
      </c>
      <c r="B38" s="54"/>
      <c r="C38" s="1"/>
      <c r="D38" s="1"/>
      <c r="E38" s="62">
        <f t="shared" si="2"/>
        <v>0</v>
      </c>
      <c r="F38" s="62">
        <f t="shared" si="3"/>
        <v>0</v>
      </c>
      <c r="G38" s="9">
        <f t="shared" si="4"/>
        <v>0</v>
      </c>
      <c r="H38" s="54">
        <v>4</v>
      </c>
      <c r="I38" s="1">
        <v>185</v>
      </c>
      <c r="J38" s="1">
        <v>169</v>
      </c>
      <c r="K38" s="62">
        <v>124693</v>
      </c>
      <c r="L38" s="62">
        <v>33667</v>
      </c>
      <c r="M38" s="9">
        <v>158360</v>
      </c>
    </row>
    <row r="39" spans="1:13" ht="15" x14ac:dyDescent="0.2">
      <c r="A39" s="1" t="s">
        <v>622</v>
      </c>
      <c r="B39" s="54"/>
      <c r="C39" s="1"/>
      <c r="D39" s="1"/>
      <c r="E39" s="62">
        <f t="shared" si="2"/>
        <v>0</v>
      </c>
      <c r="F39" s="62">
        <f t="shared" si="3"/>
        <v>0</v>
      </c>
      <c r="G39" s="9">
        <f t="shared" si="4"/>
        <v>0</v>
      </c>
      <c r="H39" s="54">
        <v>5</v>
      </c>
      <c r="I39" s="1">
        <v>185</v>
      </c>
      <c r="J39" s="1">
        <v>0</v>
      </c>
      <c r="K39" s="62">
        <f>H39*I39*J39</f>
        <v>0</v>
      </c>
      <c r="L39" s="62"/>
      <c r="M39" s="9">
        <f t="shared" si="5"/>
        <v>0</v>
      </c>
    </row>
    <row r="40" spans="1:13" ht="15" x14ac:dyDescent="0.2">
      <c r="A40" s="1"/>
      <c r="B40" s="54"/>
      <c r="C40" s="1"/>
      <c r="D40" s="1"/>
      <c r="E40" s="62">
        <f t="shared" si="2"/>
        <v>0</v>
      </c>
      <c r="F40" s="62">
        <f t="shared" si="3"/>
        <v>0</v>
      </c>
      <c r="G40" s="9">
        <f t="shared" si="4"/>
        <v>0</v>
      </c>
      <c r="H40" s="54"/>
      <c r="I40" s="1"/>
      <c r="J40" s="1"/>
      <c r="K40" s="62"/>
      <c r="L40" s="62"/>
      <c r="M40" s="9"/>
    </row>
    <row r="41" spans="1:13" ht="15" x14ac:dyDescent="0.2">
      <c r="A41" s="1" t="s">
        <v>623</v>
      </c>
      <c r="B41" s="54"/>
      <c r="C41" s="1"/>
      <c r="D41" s="1"/>
      <c r="E41" s="62">
        <f t="shared" si="2"/>
        <v>0</v>
      </c>
      <c r="F41" s="62">
        <f t="shared" si="3"/>
        <v>0</v>
      </c>
      <c r="G41" s="9">
        <f t="shared" si="4"/>
        <v>0</v>
      </c>
      <c r="H41" s="54"/>
      <c r="I41" s="1"/>
      <c r="J41" s="1"/>
      <c r="K41" s="62"/>
      <c r="L41" s="62"/>
      <c r="M41" s="9">
        <f t="shared" si="5"/>
        <v>0</v>
      </c>
    </row>
    <row r="42" spans="1:13" ht="15" x14ac:dyDescent="0.2">
      <c r="A42" s="1" t="s">
        <v>624</v>
      </c>
      <c r="B42" s="54"/>
      <c r="C42" s="1"/>
      <c r="D42" s="1"/>
      <c r="E42" s="62">
        <f t="shared" si="2"/>
        <v>0</v>
      </c>
      <c r="F42" s="62">
        <f t="shared" si="3"/>
        <v>0</v>
      </c>
      <c r="G42" s="9">
        <f t="shared" si="4"/>
        <v>0</v>
      </c>
      <c r="H42" s="54">
        <v>36</v>
      </c>
      <c r="I42" s="1">
        <v>185</v>
      </c>
      <c r="J42" s="1">
        <v>255</v>
      </c>
      <c r="K42" s="62">
        <v>1701505</v>
      </c>
      <c r="L42" s="62">
        <v>459406</v>
      </c>
      <c r="M42" s="9">
        <v>2160911</v>
      </c>
    </row>
    <row r="43" spans="1:13" ht="15" x14ac:dyDescent="0.2">
      <c r="A43" s="654" t="s">
        <v>625</v>
      </c>
      <c r="B43" s="54"/>
      <c r="C43" s="1"/>
      <c r="D43" s="1"/>
      <c r="E43" s="62">
        <f t="shared" si="2"/>
        <v>0</v>
      </c>
      <c r="F43" s="62">
        <f t="shared" si="3"/>
        <v>0</v>
      </c>
      <c r="G43" s="9">
        <f t="shared" si="4"/>
        <v>0</v>
      </c>
      <c r="H43" s="54">
        <v>10</v>
      </c>
      <c r="I43" s="1">
        <v>185</v>
      </c>
      <c r="J43" s="1">
        <v>128</v>
      </c>
      <c r="K43" s="62">
        <v>235984</v>
      </c>
      <c r="L43" s="62">
        <v>63716</v>
      </c>
      <c r="M43" s="9">
        <v>299700</v>
      </c>
    </row>
    <row r="44" spans="1:13" ht="15" x14ac:dyDescent="0.2">
      <c r="A44" s="1" t="s">
        <v>626</v>
      </c>
      <c r="B44" s="54"/>
      <c r="C44" s="1"/>
      <c r="D44" s="1"/>
      <c r="E44" s="62"/>
      <c r="F44" s="62"/>
      <c r="G44" s="9">
        <f t="shared" si="4"/>
        <v>0</v>
      </c>
      <c r="H44" s="54">
        <v>4</v>
      </c>
      <c r="I44" s="1">
        <v>185</v>
      </c>
      <c r="J44" s="1">
        <v>0</v>
      </c>
      <c r="K44" s="62"/>
      <c r="L44" s="62"/>
      <c r="M44" s="9">
        <f t="shared" si="5"/>
        <v>0</v>
      </c>
    </row>
    <row r="45" spans="1:13" ht="15" x14ac:dyDescent="0.2">
      <c r="A45" s="55" t="s">
        <v>45</v>
      </c>
      <c r="B45" s="44">
        <f>SUM(B36:B44)</f>
        <v>0</v>
      </c>
      <c r="C45" s="55"/>
      <c r="D45" s="55"/>
      <c r="E45" s="63">
        <f>SUM(E36:E44)</f>
        <v>0</v>
      </c>
      <c r="F45" s="63">
        <f>SUM(F36:F44)</f>
        <v>0</v>
      </c>
      <c r="G45" s="3">
        <f>SUM(G36:G44)</f>
        <v>0</v>
      </c>
      <c r="H45" s="44">
        <f>SUM(H36:H44)</f>
        <v>88</v>
      </c>
      <c r="I45" s="55"/>
      <c r="J45" s="55"/>
      <c r="K45" s="63">
        <f>SUM(K36:K44)</f>
        <v>3872605</v>
      </c>
      <c r="L45" s="63">
        <f>SUM(L36:L44)</f>
        <v>1045603</v>
      </c>
      <c r="M45" s="3">
        <f>SUM(M36:M44)</f>
        <v>4918208</v>
      </c>
    </row>
    <row r="46" spans="1:13" ht="15" x14ac:dyDescent="0.2">
      <c r="A46" s="1"/>
      <c r="B46" s="54"/>
      <c r="C46" s="1"/>
      <c r="D46" s="1"/>
      <c r="E46" s="1"/>
      <c r="F46" s="1"/>
      <c r="G46" s="9"/>
      <c r="H46" s="54"/>
      <c r="I46" s="1"/>
      <c r="J46" s="1"/>
      <c r="K46" s="1"/>
      <c r="L46" s="1"/>
      <c r="M46" s="9"/>
    </row>
    <row r="47" spans="1:13" ht="15" hidden="1" x14ac:dyDescent="0.2">
      <c r="A47" s="1" t="s">
        <v>60</v>
      </c>
      <c r="B47" s="54"/>
      <c r="C47" s="1"/>
      <c r="D47" s="1"/>
      <c r="E47" s="62">
        <f>B47*C47*D47</f>
        <v>0</v>
      </c>
      <c r="F47" s="62">
        <f>E47*0.27</f>
        <v>0</v>
      </c>
      <c r="G47" s="9">
        <f t="shared" ref="G47:G52" si="6">SUM(E47:F47)</f>
        <v>0</v>
      </c>
      <c r="H47" s="54"/>
      <c r="I47" s="1"/>
      <c r="J47" s="1"/>
      <c r="K47" s="62">
        <f>H47*I47*J47</f>
        <v>0</v>
      </c>
      <c r="L47" s="62">
        <f>K47*0.27</f>
        <v>0</v>
      </c>
      <c r="M47" s="9">
        <f t="shared" ref="M47:M52" si="7">SUM(K47:L47)</f>
        <v>0</v>
      </c>
    </row>
    <row r="48" spans="1:13" ht="15" hidden="1" x14ac:dyDescent="0.2">
      <c r="A48" s="55" t="s">
        <v>57</v>
      </c>
      <c r="B48" s="44">
        <f>SUM(B47)</f>
        <v>0</v>
      </c>
      <c r="C48" s="44">
        <f>SUM(C47)</f>
        <v>0</v>
      </c>
      <c r="D48" s="44">
        <f>SUM(D47)</f>
        <v>0</v>
      </c>
      <c r="E48" s="32">
        <f>SUM(E47)</f>
        <v>0</v>
      </c>
      <c r="F48" s="32">
        <f>SUM(F47)</f>
        <v>0</v>
      </c>
      <c r="G48" s="3">
        <f t="shared" si="6"/>
        <v>0</v>
      </c>
      <c r="H48" s="44"/>
      <c r="I48" s="44">
        <f>SUM(I47)</f>
        <v>0</v>
      </c>
      <c r="J48" s="44">
        <f>SUM(J47)</f>
        <v>0</v>
      </c>
      <c r="K48" s="12">
        <f>SUM(K47)</f>
        <v>0</v>
      </c>
      <c r="L48" s="12">
        <f>SUM(L47)</f>
        <v>0</v>
      </c>
      <c r="M48" s="3">
        <f t="shared" si="7"/>
        <v>0</v>
      </c>
    </row>
    <row r="49" spans="1:13" ht="15" hidden="1" x14ac:dyDescent="0.2">
      <c r="A49" s="1"/>
      <c r="B49" s="54"/>
      <c r="C49" s="1"/>
      <c r="D49" s="1"/>
      <c r="E49" s="1"/>
      <c r="F49" s="1"/>
      <c r="G49" s="9">
        <f t="shared" si="6"/>
        <v>0</v>
      </c>
      <c r="H49" s="54"/>
      <c r="I49" s="1"/>
      <c r="J49" s="1"/>
      <c r="K49" s="1"/>
      <c r="L49" s="1"/>
      <c r="M49" s="9">
        <f t="shared" si="7"/>
        <v>0</v>
      </c>
    </row>
    <row r="50" spans="1:13" ht="15" hidden="1" x14ac:dyDescent="0.2">
      <c r="A50" s="56" t="s">
        <v>39</v>
      </c>
      <c r="B50" s="54"/>
      <c r="C50" s="1"/>
      <c r="D50" s="1"/>
      <c r="E50" s="1"/>
      <c r="F50" s="1"/>
      <c r="G50" s="9">
        <f t="shared" si="6"/>
        <v>0</v>
      </c>
      <c r="H50" s="54"/>
      <c r="I50" s="1"/>
      <c r="J50" s="1"/>
      <c r="K50" s="62">
        <f>H50*I50*J50</f>
        <v>0</v>
      </c>
      <c r="L50" s="62">
        <f>K50*0.27</f>
        <v>0</v>
      </c>
      <c r="M50" s="9">
        <f t="shared" si="7"/>
        <v>0</v>
      </c>
    </row>
    <row r="51" spans="1:13" ht="15" hidden="1" x14ac:dyDescent="0.2">
      <c r="A51" s="1" t="s">
        <v>40</v>
      </c>
      <c r="B51" s="54"/>
      <c r="C51" s="79"/>
      <c r="D51" s="1"/>
      <c r="E51" s="62">
        <f>B51*C51*D51</f>
        <v>0</v>
      </c>
      <c r="F51" s="62">
        <f>E51*0.27</f>
        <v>0</v>
      </c>
      <c r="G51" s="9">
        <f t="shared" si="6"/>
        <v>0</v>
      </c>
      <c r="H51" s="54"/>
      <c r="I51" s="66"/>
      <c r="J51" s="1"/>
      <c r="K51" s="62">
        <f>H51*I51*J51</f>
        <v>0</v>
      </c>
      <c r="L51" s="62">
        <f>K51*0.27</f>
        <v>0</v>
      </c>
      <c r="M51" s="9">
        <f t="shared" si="7"/>
        <v>0</v>
      </c>
    </row>
    <row r="52" spans="1:13" ht="15" hidden="1" x14ac:dyDescent="0.2">
      <c r="A52" s="1" t="s">
        <v>41</v>
      </c>
      <c r="B52" s="54"/>
      <c r="C52" s="1"/>
      <c r="D52" s="1"/>
      <c r="E52" s="62">
        <f>B52*C52*D52</f>
        <v>0</v>
      </c>
      <c r="F52" s="62">
        <f>E52*0.27</f>
        <v>0</v>
      </c>
      <c r="G52" s="9">
        <f t="shared" si="6"/>
        <v>0</v>
      </c>
      <c r="H52" s="54"/>
      <c r="I52" s="1"/>
      <c r="J52" s="1"/>
      <c r="K52" s="62">
        <f>H52*I52*J52</f>
        <v>0</v>
      </c>
      <c r="L52" s="62">
        <f>K52*0.27</f>
        <v>0</v>
      </c>
      <c r="M52" s="9">
        <f t="shared" si="7"/>
        <v>0</v>
      </c>
    </row>
    <row r="53" spans="1:13" ht="15" hidden="1" x14ac:dyDescent="0.2">
      <c r="A53" s="61" t="s">
        <v>46</v>
      </c>
      <c r="B53" s="44">
        <f>SUM(B51:B52)</f>
        <v>0</v>
      </c>
      <c r="C53" s="55"/>
      <c r="D53" s="55"/>
      <c r="E53" s="63">
        <f>SUM(E51:E52)</f>
        <v>0</v>
      </c>
      <c r="F53" s="63">
        <f>SUM(F51:F52)</f>
        <v>0</v>
      </c>
      <c r="G53" s="3">
        <f>SUM(G51:G52)</f>
        <v>0</v>
      </c>
      <c r="H53" s="44">
        <f>SUM(H51:H52)</f>
        <v>0</v>
      </c>
      <c r="I53" s="55"/>
      <c r="J53" s="55"/>
      <c r="K53" s="63">
        <f>SUM(K50:K52)</f>
        <v>0</v>
      </c>
      <c r="L53" s="63">
        <f>SUM(L50:L52)</f>
        <v>0</v>
      </c>
      <c r="M53" s="3">
        <f>SUM(M51:M52)</f>
        <v>0</v>
      </c>
    </row>
    <row r="54" spans="1:13" ht="15" hidden="1" x14ac:dyDescent="0.2">
      <c r="A54" s="61"/>
      <c r="B54" s="44"/>
      <c r="C54" s="55"/>
      <c r="D54" s="55"/>
      <c r="E54" s="63"/>
      <c r="F54" s="63"/>
      <c r="G54" s="3"/>
      <c r="H54" s="44"/>
      <c r="I54" s="55"/>
      <c r="J54" s="55"/>
      <c r="K54" s="63"/>
      <c r="L54" s="63"/>
      <c r="M54" s="3"/>
    </row>
    <row r="55" spans="1:13" ht="15" hidden="1" x14ac:dyDescent="0.2">
      <c r="A55" s="1"/>
      <c r="B55" s="54"/>
      <c r="C55" s="1"/>
      <c r="D55" s="1"/>
      <c r="E55" s="62">
        <f>B55*C55*D55</f>
        <v>0</v>
      </c>
      <c r="F55" s="62">
        <f>E55*0.27</f>
        <v>0</v>
      </c>
      <c r="G55" s="3">
        <f>SUM(E55+F55)</f>
        <v>0</v>
      </c>
      <c r="H55" s="54"/>
      <c r="I55" s="1"/>
      <c r="J55" s="1"/>
      <c r="K55" s="62">
        <f>H55*I55*J55</f>
        <v>0</v>
      </c>
      <c r="L55" s="62">
        <f>K55*0.27</f>
        <v>0</v>
      </c>
      <c r="M55" s="3">
        <f>SUM(K55+L55)</f>
        <v>0</v>
      </c>
    </row>
    <row r="56" spans="1:13" ht="15" hidden="1" x14ac:dyDescent="0.2">
      <c r="A56" s="55"/>
      <c r="B56" s="44"/>
      <c r="C56" s="55"/>
      <c r="D56" s="55"/>
      <c r="E56" s="63">
        <f>B56*C56*D56</f>
        <v>0</v>
      </c>
      <c r="F56" s="63">
        <f>E56*0.27</f>
        <v>0</v>
      </c>
      <c r="G56" s="3">
        <f>SUM(E56+F56)</f>
        <v>0</v>
      </c>
      <c r="H56" s="44"/>
      <c r="I56" s="55"/>
      <c r="J56" s="55"/>
      <c r="K56" s="63">
        <f>H56*I56*J56</f>
        <v>0</v>
      </c>
      <c r="L56" s="63">
        <f>K56*0.27</f>
        <v>0</v>
      </c>
      <c r="M56" s="3">
        <f>SUM(K56+L56)</f>
        <v>0</v>
      </c>
    </row>
    <row r="57" spans="1:13" ht="15" hidden="1" x14ac:dyDescent="0.2">
      <c r="A57" s="55"/>
      <c r="B57" s="44"/>
      <c r="C57" s="55"/>
      <c r="D57" s="55"/>
      <c r="E57" s="63"/>
      <c r="F57" s="63"/>
      <c r="G57" s="3"/>
      <c r="H57" s="44"/>
      <c r="I57" s="55"/>
      <c r="J57" s="55"/>
      <c r="K57" s="63"/>
      <c r="L57" s="63"/>
      <c r="M57" s="3"/>
    </row>
    <row r="58" spans="1:13" ht="15" x14ac:dyDescent="0.2">
      <c r="A58" s="655" t="s">
        <v>47</v>
      </c>
      <c r="B58" s="655">
        <f>SUM(B34,B45,B53,B56,B48,B55)</f>
        <v>0</v>
      </c>
      <c r="C58" s="655"/>
      <c r="D58" s="655"/>
      <c r="E58" s="655">
        <f>SUM(E34,E45,E53,E56,E48,E55)</f>
        <v>0</v>
      </c>
      <c r="F58" s="656">
        <f>SUM(F34,F45,F53,F56,F48,F55)</f>
        <v>0</v>
      </c>
      <c r="G58" s="657">
        <f>SUM(G34,G45,G53,G56,G48,G55)</f>
        <v>0</v>
      </c>
      <c r="H58" s="655">
        <f>SUM(H34,H45,H53,H56,H48,H55)</f>
        <v>142</v>
      </c>
      <c r="I58" s="655"/>
      <c r="J58" s="655"/>
      <c r="K58" s="3">
        <f>SUM(K34,K45,K53,K56,K48,K55)</f>
        <v>5335543</v>
      </c>
      <c r="L58" s="3">
        <f>SUM(L34,L45,L53,L56,L48,L55)</f>
        <v>1045603</v>
      </c>
      <c r="M58" s="3">
        <f>SUM(M34,M45,M53,M56,M48,M55)</f>
        <v>6381146</v>
      </c>
    </row>
  </sheetData>
  <mergeCells count="2">
    <mergeCell ref="B1:G1"/>
    <mergeCell ref="H1:M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1" orientation="landscape" r:id="rId1"/>
  <headerFooter alignWithMargins="0">
    <oddHeader>&amp;L&amp;"Times,Félkövér"&amp;14Levél Község
  Önkormányzat&amp;C&amp;"Times,Félkövér"&amp;14Élelmezési kiadások és bevételek
2018. évi terv
&amp;R&amp;"Times,Normál"&amp;12 11. melléklet
Adatok: Ft-ban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7"/>
  <sheetViews>
    <sheetView view="pageLayout" zoomScaleNormal="100" workbookViewId="0">
      <selection activeCell="C16" sqref="C16"/>
    </sheetView>
  </sheetViews>
  <sheetFormatPr defaultRowHeight="12.75" x14ac:dyDescent="0.2"/>
  <cols>
    <col min="1" max="1" width="20.85546875" customWidth="1"/>
    <col min="2" max="2" width="39" customWidth="1"/>
    <col min="3" max="3" width="23.85546875" customWidth="1"/>
  </cols>
  <sheetData>
    <row r="1" spans="1:4" x14ac:dyDescent="0.2">
      <c r="A1" s="721"/>
      <c r="C1" s="722"/>
      <c r="D1" s="723"/>
    </row>
    <row r="2" spans="1:4" ht="13.5" thickBot="1" x14ac:dyDescent="0.25">
      <c r="A2" s="737"/>
      <c r="B2" s="724"/>
      <c r="C2" s="738"/>
      <c r="D2" s="725"/>
    </row>
    <row r="3" spans="1:4" x14ac:dyDescent="0.2">
      <c r="A3" s="1016" t="s">
        <v>692</v>
      </c>
      <c r="B3" s="1017"/>
      <c r="C3" s="1018"/>
    </row>
    <row r="4" spans="1:4" x14ac:dyDescent="0.2">
      <c r="A4" s="1019"/>
      <c r="B4" s="1020"/>
      <c r="C4" s="1021"/>
    </row>
    <row r="5" spans="1:4" ht="13.5" thickBot="1" x14ac:dyDescent="0.25">
      <c r="A5" s="1022"/>
      <c r="B5" s="1023"/>
      <c r="C5" s="1024"/>
    </row>
    <row r="6" spans="1:4" ht="15.75" thickBot="1" x14ac:dyDescent="0.3">
      <c r="A6" s="726" t="s">
        <v>646</v>
      </c>
      <c r="B6" s="726" t="s">
        <v>647</v>
      </c>
      <c r="C6" s="726" t="s">
        <v>693</v>
      </c>
    </row>
    <row r="7" spans="1:4" ht="15" x14ac:dyDescent="0.25">
      <c r="A7" s="727" t="s">
        <v>648</v>
      </c>
      <c r="B7" s="728" t="s">
        <v>627</v>
      </c>
      <c r="C7" s="729">
        <f>SUM(C8:C9)</f>
        <v>488258594</v>
      </c>
    </row>
    <row r="8" spans="1:4" ht="14.25" x14ac:dyDescent="0.2">
      <c r="A8" s="730" t="s">
        <v>649</v>
      </c>
      <c r="B8" s="731" t="s">
        <v>627</v>
      </c>
      <c r="C8" s="732">
        <f>'Bevétel össz.'!G55</f>
        <v>423824857</v>
      </c>
    </row>
    <row r="9" spans="1:4" ht="15" thickBot="1" x14ac:dyDescent="0.25">
      <c r="A9" s="733" t="s">
        <v>650</v>
      </c>
      <c r="B9" s="734" t="s">
        <v>633</v>
      </c>
      <c r="C9" s="735">
        <f>'Bevétel össz.'!I55</f>
        <v>64433737</v>
      </c>
    </row>
    <row r="10" spans="1:4" ht="16.5" thickBot="1" x14ac:dyDescent="0.3">
      <c r="A10" s="1014" t="s">
        <v>651</v>
      </c>
      <c r="B10" s="1015"/>
      <c r="C10" s="736">
        <f>SUM(C8:C9)</f>
        <v>488258594</v>
      </c>
    </row>
    <row r="11" spans="1:4" ht="15.75" x14ac:dyDescent="0.25">
      <c r="A11" s="660"/>
      <c r="B11" s="661"/>
      <c r="C11" s="662"/>
    </row>
    <row r="12" spans="1:4" ht="15.75" x14ac:dyDescent="0.25">
      <c r="A12" s="660"/>
      <c r="B12" s="661"/>
      <c r="C12" s="662"/>
    </row>
    <row r="13" spans="1:4" ht="15.75" x14ac:dyDescent="0.25">
      <c r="A13" s="660"/>
      <c r="B13" s="663"/>
      <c r="C13" s="662"/>
    </row>
    <row r="14" spans="1:4" ht="15" x14ac:dyDescent="0.25">
      <c r="A14" s="660"/>
      <c r="B14" s="658"/>
      <c r="C14" s="659"/>
    </row>
    <row r="15" spans="1:4" ht="15" x14ac:dyDescent="0.25">
      <c r="A15" s="658"/>
      <c r="B15" s="664"/>
      <c r="C15" s="662"/>
    </row>
    <row r="16" spans="1:4" ht="14.25" x14ac:dyDescent="0.2">
      <c r="A16" s="660"/>
      <c r="B16" s="660"/>
      <c r="C16" s="662"/>
    </row>
    <row r="17" spans="1:3" ht="14.25" x14ac:dyDescent="0.2">
      <c r="A17" s="660"/>
      <c r="B17" s="660"/>
      <c r="C17" s="662"/>
    </row>
    <row r="18" spans="1:3" ht="14.25" x14ac:dyDescent="0.2">
      <c r="A18" s="660"/>
      <c r="B18" s="660"/>
      <c r="C18" s="662"/>
    </row>
    <row r="19" spans="1:3" ht="14.25" x14ac:dyDescent="0.2">
      <c r="A19" s="660"/>
      <c r="B19" s="660"/>
      <c r="C19" s="662"/>
    </row>
    <row r="20" spans="1:3" ht="14.25" x14ac:dyDescent="0.2">
      <c r="A20" s="660"/>
      <c r="B20" s="660"/>
      <c r="C20" s="662"/>
    </row>
    <row r="21" spans="1:3" ht="14.25" x14ac:dyDescent="0.2">
      <c r="A21" s="660"/>
      <c r="B21" s="660"/>
      <c r="C21" s="662"/>
    </row>
    <row r="22" spans="1:3" ht="14.25" x14ac:dyDescent="0.2">
      <c r="A22" s="660"/>
      <c r="B22" s="660"/>
      <c r="C22" s="662"/>
    </row>
    <row r="23" spans="1:3" ht="14.25" x14ac:dyDescent="0.2">
      <c r="A23" s="660"/>
      <c r="B23" s="660"/>
      <c r="C23" s="662"/>
    </row>
    <row r="24" spans="1:3" ht="14.25" x14ac:dyDescent="0.2">
      <c r="A24" s="660"/>
      <c r="B24" s="660"/>
      <c r="C24" s="662"/>
    </row>
    <row r="25" spans="1:3" ht="14.25" x14ac:dyDescent="0.2">
      <c r="A25" s="660"/>
      <c r="B25" s="660"/>
      <c r="C25" s="662"/>
    </row>
    <row r="26" spans="1:3" ht="14.25" x14ac:dyDescent="0.2">
      <c r="A26" s="660"/>
      <c r="B26" s="660"/>
      <c r="C26" s="662"/>
    </row>
    <row r="27" spans="1:3" ht="14.25" x14ac:dyDescent="0.2">
      <c r="A27" s="660"/>
      <c r="B27" s="660"/>
      <c r="C27" s="662"/>
    </row>
    <row r="28" spans="1:3" ht="14.25" x14ac:dyDescent="0.2">
      <c r="A28" s="660"/>
      <c r="B28" s="660"/>
      <c r="C28" s="662"/>
    </row>
    <row r="29" spans="1:3" ht="15" x14ac:dyDescent="0.25">
      <c r="A29" s="660"/>
      <c r="B29" s="658"/>
      <c r="C29" s="659"/>
    </row>
    <row r="30" spans="1:3" ht="14.25" x14ac:dyDescent="0.2">
      <c r="A30" s="660"/>
      <c r="B30" s="660"/>
      <c r="C30" s="662"/>
    </row>
    <row r="31" spans="1:3" ht="14.25" x14ac:dyDescent="0.2">
      <c r="A31" s="660"/>
      <c r="B31" s="660"/>
      <c r="C31" s="662"/>
    </row>
    <row r="32" spans="1:3" ht="14.25" x14ac:dyDescent="0.2">
      <c r="A32" s="660"/>
      <c r="B32" s="660"/>
      <c r="C32" s="662"/>
    </row>
    <row r="33" spans="1:3" ht="15" x14ac:dyDescent="0.25">
      <c r="A33" s="660"/>
      <c r="B33" s="658"/>
      <c r="C33" s="659"/>
    </row>
    <row r="34" spans="1:3" ht="15" x14ac:dyDescent="0.25">
      <c r="A34" s="660"/>
      <c r="B34" s="660"/>
      <c r="C34" s="659"/>
    </row>
    <row r="35" spans="1:3" ht="15" x14ac:dyDescent="0.25">
      <c r="A35" s="658"/>
      <c r="B35" s="660"/>
      <c r="C35" s="659"/>
    </row>
    <row r="36" spans="1:3" ht="15" x14ac:dyDescent="0.25">
      <c r="A36" s="658"/>
      <c r="B36" s="660"/>
      <c r="C36" s="659"/>
    </row>
    <row r="37" spans="1:3" ht="15.75" x14ac:dyDescent="0.25">
      <c r="A37" s="665"/>
      <c r="B37" s="666"/>
      <c r="C37" s="667"/>
    </row>
  </sheetData>
  <mergeCells count="2">
    <mergeCell ref="A10:B10"/>
    <mergeCell ref="A3:C5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Önkormányzat&amp;C2018. évi költségvetési előirányzat költségvetési szervenként&amp;R14.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2"/>
  <sheetViews>
    <sheetView view="pageLayout" zoomScaleNormal="100" workbookViewId="0">
      <selection activeCell="B1" sqref="B1"/>
    </sheetView>
  </sheetViews>
  <sheetFormatPr defaultRowHeight="12.75" x14ac:dyDescent="0.2"/>
  <cols>
    <col min="1" max="1" width="6.28515625" customWidth="1"/>
    <col min="2" max="2" width="33.28515625" customWidth="1"/>
    <col min="3" max="3" width="13" customWidth="1"/>
    <col min="4" max="4" width="12.28515625" customWidth="1"/>
  </cols>
  <sheetData>
    <row r="1" spans="1:6" x14ac:dyDescent="0.2">
      <c r="A1" s="484"/>
      <c r="B1" s="485" t="s">
        <v>691</v>
      </c>
      <c r="C1" s="486"/>
      <c r="D1" s="486"/>
      <c r="E1" s="486"/>
      <c r="F1" s="486"/>
    </row>
    <row r="2" spans="1:6" ht="13.5" thickBot="1" x14ac:dyDescent="0.25">
      <c r="A2" s="484"/>
      <c r="B2" s="484"/>
      <c r="C2" s="486"/>
      <c r="D2" s="487"/>
      <c r="E2" s="486"/>
      <c r="F2" s="486"/>
    </row>
    <row r="3" spans="1:6" ht="16.5" thickBot="1" x14ac:dyDescent="0.3">
      <c r="A3" s="488"/>
      <c r="B3" s="1025"/>
      <c r="C3" s="1027" t="s">
        <v>300</v>
      </c>
      <c r="D3" s="1027"/>
      <c r="E3" s="1027"/>
      <c r="F3" s="489"/>
    </row>
    <row r="4" spans="1:6" ht="16.5" thickBot="1" x14ac:dyDescent="0.3">
      <c r="A4" s="490"/>
      <c r="B4" s="1026"/>
      <c r="C4" s="1028" t="s">
        <v>63</v>
      </c>
      <c r="D4" s="1029"/>
      <c r="E4" s="491" t="s">
        <v>504</v>
      </c>
      <c r="F4" s="492"/>
    </row>
    <row r="5" spans="1:6" ht="39" x14ac:dyDescent="0.25">
      <c r="A5" s="490"/>
      <c r="B5" s="493"/>
      <c r="C5" s="494" t="s">
        <v>505</v>
      </c>
      <c r="D5" s="495" t="s">
        <v>506</v>
      </c>
      <c r="E5" s="496"/>
      <c r="F5" s="492"/>
    </row>
    <row r="6" spans="1:6" ht="15.75" x14ac:dyDescent="0.25">
      <c r="A6" s="497"/>
      <c r="B6" s="505" t="s">
        <v>627</v>
      </c>
      <c r="C6" s="505">
        <v>9</v>
      </c>
      <c r="D6" s="503"/>
      <c r="E6" s="504">
        <v>9</v>
      </c>
      <c r="F6" s="501"/>
    </row>
    <row r="7" spans="1:6" ht="15.75" x14ac:dyDescent="0.25">
      <c r="A7" s="497"/>
      <c r="B7" s="498" t="s">
        <v>630</v>
      </c>
      <c r="C7" s="498">
        <v>1</v>
      </c>
      <c r="D7" s="499"/>
      <c r="E7" s="500">
        <v>1</v>
      </c>
      <c r="F7" s="501"/>
    </row>
    <row r="8" spans="1:6" ht="15.75" x14ac:dyDescent="0.25">
      <c r="A8" s="497"/>
      <c r="B8" s="498" t="s">
        <v>628</v>
      </c>
      <c r="C8" s="499">
        <v>1.5</v>
      </c>
      <c r="D8" s="499"/>
      <c r="E8" s="500">
        <v>1.5</v>
      </c>
      <c r="F8" s="501"/>
    </row>
    <row r="9" spans="1:6" ht="15.75" x14ac:dyDescent="0.25">
      <c r="A9" s="497"/>
      <c r="B9" s="498" t="s">
        <v>629</v>
      </c>
      <c r="C9" s="499">
        <v>3</v>
      </c>
      <c r="D9" s="499"/>
      <c r="E9" s="500">
        <v>3</v>
      </c>
      <c r="F9" s="501"/>
    </row>
    <row r="10" spans="1:6" ht="15.75" x14ac:dyDescent="0.25">
      <c r="A10" s="497"/>
      <c r="B10" s="498" t="s">
        <v>631</v>
      </c>
      <c r="C10" s="499">
        <v>2</v>
      </c>
      <c r="D10" s="499"/>
      <c r="E10" s="500">
        <v>2</v>
      </c>
      <c r="F10" s="501"/>
    </row>
    <row r="11" spans="1:6" ht="15.75" x14ac:dyDescent="0.25">
      <c r="A11" s="497"/>
      <c r="B11" s="498" t="s">
        <v>632</v>
      </c>
      <c r="C11" s="499">
        <v>1</v>
      </c>
      <c r="D11" s="499"/>
      <c r="E11" s="500">
        <v>1</v>
      </c>
      <c r="F11" s="501"/>
    </row>
    <row r="12" spans="1:6" ht="15.75" x14ac:dyDescent="0.25">
      <c r="A12" s="497"/>
      <c r="B12" s="498"/>
      <c r="C12" s="499"/>
      <c r="D12" s="499"/>
      <c r="E12" s="500"/>
      <c r="F12" s="501"/>
    </row>
    <row r="13" spans="1:6" ht="34.5" customHeight="1" thickBot="1" x14ac:dyDescent="0.3">
      <c r="A13" s="497"/>
      <c r="B13" s="502" t="s">
        <v>633</v>
      </c>
      <c r="C13" s="503">
        <v>11</v>
      </c>
      <c r="D13" s="503"/>
      <c r="E13" s="504">
        <v>11</v>
      </c>
      <c r="F13" s="501"/>
    </row>
    <row r="14" spans="1:6" ht="15.75" hidden="1" x14ac:dyDescent="0.25">
      <c r="A14" s="497"/>
      <c r="B14" s="498"/>
      <c r="C14" s="498"/>
      <c r="D14" s="499"/>
      <c r="E14" s="500"/>
      <c r="F14" s="501"/>
    </row>
    <row r="15" spans="1:6" ht="15.75" hidden="1" x14ac:dyDescent="0.25">
      <c r="A15" s="497"/>
      <c r="B15" s="498"/>
      <c r="C15" s="499"/>
      <c r="D15" s="499"/>
      <c r="E15" s="500"/>
      <c r="F15" s="501"/>
    </row>
    <row r="16" spans="1:6" ht="15.75" hidden="1" x14ac:dyDescent="0.25">
      <c r="A16" s="497"/>
      <c r="B16" s="498"/>
      <c r="C16" s="498"/>
      <c r="D16" s="499"/>
      <c r="E16" s="500"/>
      <c r="F16" s="501"/>
    </row>
    <row r="17" spans="1:6" ht="15.75" hidden="1" x14ac:dyDescent="0.25">
      <c r="A17" s="497"/>
      <c r="B17" s="498"/>
      <c r="C17" s="498"/>
      <c r="D17" s="499"/>
      <c r="E17" s="500"/>
      <c r="F17" s="501"/>
    </row>
    <row r="18" spans="1:6" ht="15.75" hidden="1" x14ac:dyDescent="0.25">
      <c r="A18" s="497"/>
      <c r="B18" s="498"/>
      <c r="C18" s="499"/>
      <c r="D18" s="499"/>
      <c r="E18" s="500"/>
      <c r="F18" s="501"/>
    </row>
    <row r="19" spans="1:6" ht="15.75" hidden="1" x14ac:dyDescent="0.25">
      <c r="A19" s="497"/>
      <c r="B19" s="498"/>
      <c r="C19" s="499"/>
      <c r="D19" s="499"/>
      <c r="E19" s="500"/>
      <c r="F19" s="501"/>
    </row>
    <row r="20" spans="1:6" ht="15.75" hidden="1" x14ac:dyDescent="0.25">
      <c r="A20" s="497"/>
      <c r="B20" s="498"/>
      <c r="C20" s="498"/>
      <c r="D20" s="499"/>
      <c r="E20" s="500"/>
      <c r="F20" s="501"/>
    </row>
    <row r="21" spans="1:6" ht="15.75" hidden="1" x14ac:dyDescent="0.25">
      <c r="A21" s="497"/>
      <c r="B21" s="498"/>
      <c r="C21" s="499"/>
      <c r="D21" s="499"/>
      <c r="E21" s="500"/>
      <c r="F21" s="501"/>
    </row>
    <row r="22" spans="1:6" ht="15.75" hidden="1" x14ac:dyDescent="0.25">
      <c r="A22" s="497"/>
      <c r="B22" s="498"/>
      <c r="C22" s="498"/>
      <c r="D22" s="499"/>
      <c r="E22" s="500"/>
      <c r="F22" s="501"/>
    </row>
    <row r="23" spans="1:6" ht="15.75" hidden="1" x14ac:dyDescent="0.25">
      <c r="A23" s="497"/>
      <c r="B23" s="498"/>
      <c r="C23" s="499"/>
      <c r="D23" s="499"/>
      <c r="E23" s="500"/>
      <c r="F23" s="501"/>
    </row>
    <row r="24" spans="1:6" ht="15.75" hidden="1" x14ac:dyDescent="0.25">
      <c r="A24" s="497"/>
      <c r="B24" s="498"/>
      <c r="C24" s="499"/>
      <c r="D24" s="499"/>
      <c r="E24" s="500"/>
      <c r="F24" s="501"/>
    </row>
    <row r="25" spans="1:6" ht="15.75" hidden="1" x14ac:dyDescent="0.25">
      <c r="A25" s="497"/>
      <c r="B25" s="498"/>
      <c r="C25" s="499"/>
      <c r="D25" s="499"/>
      <c r="E25" s="500"/>
      <c r="F25" s="501"/>
    </row>
    <row r="26" spans="1:6" ht="15.75" hidden="1" x14ac:dyDescent="0.25">
      <c r="A26" s="497"/>
      <c r="B26" s="498"/>
      <c r="C26" s="499"/>
      <c r="D26" s="499"/>
      <c r="E26" s="500"/>
      <c r="F26" s="501"/>
    </row>
    <row r="27" spans="1:6" ht="15.75" hidden="1" x14ac:dyDescent="0.25">
      <c r="A27" s="497"/>
      <c r="B27" s="502"/>
      <c r="C27" s="503"/>
      <c r="D27" s="499"/>
      <c r="E27" s="504"/>
      <c r="F27" s="501"/>
    </row>
    <row r="28" spans="1:6" ht="15.75" hidden="1" x14ac:dyDescent="0.25">
      <c r="A28" s="497"/>
      <c r="B28" s="505"/>
      <c r="C28" s="499"/>
      <c r="D28" s="499"/>
      <c r="E28" s="500"/>
      <c r="F28" s="501"/>
    </row>
    <row r="29" spans="1:6" ht="15.75" hidden="1" x14ac:dyDescent="0.25">
      <c r="A29" s="497"/>
      <c r="B29" s="498"/>
      <c r="C29" s="499"/>
      <c r="D29" s="499"/>
      <c r="E29" s="500"/>
      <c r="F29" s="501"/>
    </row>
    <row r="30" spans="1:6" ht="15.75" hidden="1" x14ac:dyDescent="0.25">
      <c r="A30" s="497"/>
      <c r="B30" s="498"/>
      <c r="C30" s="498"/>
      <c r="D30" s="498"/>
      <c r="E30" s="500"/>
      <c r="F30" s="501"/>
    </row>
    <row r="31" spans="1:6" ht="15.75" hidden="1" x14ac:dyDescent="0.25">
      <c r="A31" s="497"/>
      <c r="B31" s="506"/>
      <c r="C31" s="506"/>
      <c r="D31" s="506"/>
      <c r="E31" s="500"/>
      <c r="F31" s="501"/>
    </row>
    <row r="32" spans="1:6" ht="15.75" hidden="1" x14ac:dyDescent="0.25">
      <c r="A32" s="497"/>
      <c r="B32" s="506"/>
      <c r="C32" s="506"/>
      <c r="D32" s="506"/>
      <c r="E32" s="500"/>
      <c r="F32" s="501"/>
    </row>
    <row r="33" spans="1:6" ht="15.75" hidden="1" x14ac:dyDescent="0.25">
      <c r="A33" s="497"/>
      <c r="B33" s="498"/>
      <c r="C33" s="499"/>
      <c r="D33" s="499"/>
      <c r="E33" s="500"/>
      <c r="F33" s="501"/>
    </row>
    <row r="34" spans="1:6" ht="15.75" hidden="1" x14ac:dyDescent="0.25">
      <c r="A34" s="497"/>
      <c r="B34" s="498"/>
      <c r="C34" s="498"/>
      <c r="D34" s="498"/>
      <c r="E34" s="500"/>
      <c r="F34" s="501"/>
    </row>
    <row r="35" spans="1:6" ht="15.75" hidden="1" x14ac:dyDescent="0.25">
      <c r="A35" s="497"/>
      <c r="B35" s="506"/>
      <c r="C35" s="506"/>
      <c r="D35" s="506"/>
      <c r="E35" s="500"/>
      <c r="F35" s="501"/>
    </row>
    <row r="36" spans="1:6" ht="22.5" hidden="1" customHeight="1" thickBot="1" x14ac:dyDescent="0.3">
      <c r="A36" s="497"/>
      <c r="B36" s="507"/>
      <c r="C36" s="507"/>
      <c r="D36" s="507"/>
      <c r="E36" s="500"/>
      <c r="F36" s="501"/>
    </row>
    <row r="37" spans="1:6" ht="13.5" thickBot="1" x14ac:dyDescent="0.25">
      <c r="A37" s="484"/>
      <c r="B37" s="508" t="s">
        <v>99</v>
      </c>
      <c r="C37" s="491">
        <v>20</v>
      </c>
      <c r="D37" s="491">
        <v>0</v>
      </c>
      <c r="E37" s="491">
        <v>20</v>
      </c>
      <c r="F37" s="492"/>
    </row>
    <row r="38" spans="1:6" x14ac:dyDescent="0.2">
      <c r="A38" s="484"/>
      <c r="B38" s="484"/>
      <c r="C38" s="486"/>
      <c r="D38" s="486"/>
      <c r="E38" s="486"/>
      <c r="F38" s="486"/>
    </row>
    <row r="39" spans="1:6" x14ac:dyDescent="0.2">
      <c r="A39" s="486"/>
      <c r="B39" s="486"/>
      <c r="C39" s="486"/>
      <c r="D39" s="486"/>
      <c r="E39" s="486"/>
      <c r="F39" s="486"/>
    </row>
    <row r="40" spans="1:6" x14ac:dyDescent="0.2">
      <c r="A40" s="486"/>
      <c r="B40" s="486"/>
      <c r="C40" s="486"/>
      <c r="D40" s="486"/>
      <c r="E40" s="486"/>
      <c r="F40" s="486"/>
    </row>
    <row r="41" spans="1:6" x14ac:dyDescent="0.2">
      <c r="A41" s="486"/>
      <c r="B41" s="486"/>
      <c r="C41" s="486"/>
      <c r="D41" s="486"/>
      <c r="E41" s="486"/>
      <c r="F41" s="486"/>
    </row>
    <row r="42" spans="1:6" x14ac:dyDescent="0.2">
      <c r="A42" s="668"/>
      <c r="B42" s="668"/>
      <c r="C42" s="668"/>
      <c r="D42" s="668"/>
      <c r="E42" s="668"/>
      <c r="F42" s="668"/>
    </row>
  </sheetData>
  <mergeCells count="3">
    <mergeCell ref="B3:B4"/>
    <mergeCell ref="C3:E3"/>
    <mergeCell ref="C4:D4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Önkormányzat&amp;CKöltségvetési engedélyezett létszámhely 2018. év&amp;R12.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4"/>
  <sheetViews>
    <sheetView view="pageLayout" zoomScaleNormal="100" workbookViewId="0">
      <selection activeCell="O31" sqref="O31"/>
    </sheetView>
  </sheetViews>
  <sheetFormatPr defaultRowHeight="12.75" x14ac:dyDescent="0.2"/>
  <cols>
    <col min="1" max="1" width="39.85546875" customWidth="1"/>
    <col min="2" max="2" width="11.85546875" customWidth="1"/>
    <col min="3" max="3" width="12.7109375" customWidth="1"/>
    <col min="4" max="4" width="11.85546875" customWidth="1"/>
    <col min="5" max="5" width="13" customWidth="1"/>
  </cols>
  <sheetData>
    <row r="1" spans="1:6" x14ac:dyDescent="0.2">
      <c r="A1" s="1030" t="s">
        <v>690</v>
      </c>
      <c r="B1" s="1030"/>
      <c r="C1" s="1030"/>
      <c r="D1" s="1030"/>
      <c r="E1" s="1030"/>
      <c r="F1" s="1030"/>
    </row>
    <row r="2" spans="1:6" x14ac:dyDescent="0.2">
      <c r="A2" s="1030" t="s">
        <v>507</v>
      </c>
      <c r="B2" s="1030"/>
      <c r="C2" s="1030"/>
      <c r="D2" s="1030"/>
      <c r="E2" s="1030"/>
      <c r="F2" s="1030"/>
    </row>
    <row r="3" spans="1:6" x14ac:dyDescent="0.2">
      <c r="E3" s="509"/>
      <c r="F3" s="509"/>
    </row>
    <row r="4" spans="1:6" ht="13.5" thickBot="1" x14ac:dyDescent="0.25">
      <c r="F4" s="509"/>
    </row>
    <row r="5" spans="1:6" ht="13.5" thickBot="1" x14ac:dyDescent="0.25">
      <c r="A5" s="510"/>
      <c r="B5" s="511">
        <v>2018</v>
      </c>
      <c r="C5" s="511">
        <v>2019</v>
      </c>
      <c r="D5" s="511">
        <v>2020</v>
      </c>
      <c r="E5" s="511">
        <v>2021</v>
      </c>
    </row>
    <row r="6" spans="1:6" x14ac:dyDescent="0.2">
      <c r="A6" s="512" t="s">
        <v>644</v>
      </c>
      <c r="B6" s="513">
        <f>'Bevétel össz.'!F15</f>
        <v>73978668</v>
      </c>
      <c r="C6" s="513">
        <v>69000000</v>
      </c>
      <c r="D6" s="513">
        <v>70000000</v>
      </c>
      <c r="E6" s="513">
        <v>71000000</v>
      </c>
    </row>
    <row r="7" spans="1:6" x14ac:dyDescent="0.2">
      <c r="A7" s="514" t="s">
        <v>112</v>
      </c>
      <c r="B7" s="515">
        <f>Önkormányzat!F127+'Bevétel össz.'!I40</f>
        <v>15537484</v>
      </c>
      <c r="C7" s="515">
        <v>15000000</v>
      </c>
      <c r="D7" s="515">
        <v>16000000</v>
      </c>
      <c r="E7" s="515">
        <v>17000000</v>
      </c>
    </row>
    <row r="8" spans="1:6" ht="13.5" thickBot="1" x14ac:dyDescent="0.25">
      <c r="A8" s="514" t="s">
        <v>645</v>
      </c>
      <c r="B8" s="515">
        <v>0</v>
      </c>
      <c r="C8" s="515">
        <v>0</v>
      </c>
      <c r="D8" s="515">
        <v>0</v>
      </c>
      <c r="E8" s="515">
        <v>0</v>
      </c>
    </row>
    <row r="9" spans="1:6" ht="13.5" thickBot="1" x14ac:dyDescent="0.25">
      <c r="A9" s="517" t="s">
        <v>508</v>
      </c>
      <c r="B9" s="518">
        <f>SUM(B6:B8)</f>
        <v>89516152</v>
      </c>
      <c r="C9" s="518">
        <f>SUM(C6:C8)</f>
        <v>84000000</v>
      </c>
      <c r="D9" s="518">
        <f>SUM(D6:D8)</f>
        <v>86000000</v>
      </c>
      <c r="E9" s="518">
        <f>SUM(E6:E8)</f>
        <v>88000000</v>
      </c>
    </row>
    <row r="10" spans="1:6" x14ac:dyDescent="0.2">
      <c r="A10" s="514" t="s">
        <v>635</v>
      </c>
      <c r="B10" s="515">
        <f>'Bevétel össz.'!F21</f>
        <v>4104815</v>
      </c>
      <c r="C10" s="515"/>
      <c r="D10" s="515"/>
      <c r="E10" s="515"/>
    </row>
    <row r="11" spans="1:6" x14ac:dyDescent="0.2">
      <c r="A11" s="514" t="s">
        <v>509</v>
      </c>
      <c r="B11" s="515">
        <f>Önkormányzat!F136</f>
        <v>3269100</v>
      </c>
      <c r="C11" s="515">
        <v>3500000</v>
      </c>
      <c r="D11" s="515">
        <v>3780000</v>
      </c>
      <c r="E11" s="515">
        <v>3900000</v>
      </c>
    </row>
    <row r="12" spans="1:6" ht="13.5" thickBot="1" x14ac:dyDescent="0.25">
      <c r="A12" s="519" t="s">
        <v>510</v>
      </c>
      <c r="B12" s="520">
        <f>Önkormányzat!F130</f>
        <v>0</v>
      </c>
      <c r="C12" s="520"/>
      <c r="D12" s="520"/>
      <c r="E12" s="520"/>
    </row>
    <row r="13" spans="1:6" ht="13.5" thickBot="1" x14ac:dyDescent="0.25">
      <c r="A13" s="517" t="s">
        <v>511</v>
      </c>
      <c r="B13" s="518">
        <f>SUM(B10:B12)</f>
        <v>7373915</v>
      </c>
      <c r="C13" s="518">
        <f>SUM(C10:C12)</f>
        <v>3500000</v>
      </c>
      <c r="D13" s="518">
        <f>SUM(D10:D12)</f>
        <v>3780000</v>
      </c>
      <c r="E13" s="518">
        <f>SUM(E10:E12)</f>
        <v>3900000</v>
      </c>
    </row>
    <row r="14" spans="1:6" x14ac:dyDescent="0.2">
      <c r="A14" s="512" t="s">
        <v>512</v>
      </c>
      <c r="B14" s="513">
        <f>Önkormányzat!F117</f>
        <v>160915000</v>
      </c>
      <c r="C14" s="513">
        <f>SUM(C15:C24)</f>
        <v>161415000</v>
      </c>
      <c r="D14" s="513">
        <f t="shared" ref="D14:E14" si="0">SUM(D15:D24)</f>
        <v>164565000</v>
      </c>
      <c r="E14" s="513">
        <f t="shared" si="0"/>
        <v>174200000</v>
      </c>
    </row>
    <row r="15" spans="1:6" x14ac:dyDescent="0.2">
      <c r="A15" s="514" t="s">
        <v>643</v>
      </c>
      <c r="B15" s="515">
        <f>Önkormányzat!F109</f>
        <v>2000000</v>
      </c>
      <c r="C15" s="515">
        <v>2300000</v>
      </c>
      <c r="D15" s="515">
        <v>3000000</v>
      </c>
      <c r="E15" s="515">
        <v>5480000</v>
      </c>
    </row>
    <row r="16" spans="1:6" x14ac:dyDescent="0.2">
      <c r="A16" s="514" t="s">
        <v>515</v>
      </c>
      <c r="B16" s="515">
        <f>Önkormányzat!F110</f>
        <v>7000000</v>
      </c>
      <c r="C16" s="515">
        <v>7500000</v>
      </c>
      <c r="D16" s="515">
        <v>8000000</v>
      </c>
      <c r="E16" s="515">
        <v>8540000</v>
      </c>
    </row>
    <row r="17" spans="1:5" x14ac:dyDescent="0.2">
      <c r="A17" s="514" t="s">
        <v>513</v>
      </c>
      <c r="B17" s="515">
        <f>Önkormányzat!F111</f>
        <v>140000000</v>
      </c>
      <c r="C17" s="515">
        <v>140000000</v>
      </c>
      <c r="D17" s="515">
        <v>140000000</v>
      </c>
      <c r="E17" s="515">
        <v>145000000</v>
      </c>
    </row>
    <row r="18" spans="1:5" x14ac:dyDescent="0.2">
      <c r="A18" s="519" t="s">
        <v>641</v>
      </c>
      <c r="B18" s="515">
        <f>Önkormányzat!F112</f>
        <v>4200000</v>
      </c>
      <c r="C18" s="520">
        <v>4200000</v>
      </c>
      <c r="D18" s="520">
        <v>6000000</v>
      </c>
      <c r="E18" s="520">
        <v>7000000</v>
      </c>
    </row>
    <row r="19" spans="1:5" x14ac:dyDescent="0.2">
      <c r="A19" s="519" t="s">
        <v>514</v>
      </c>
      <c r="B19" s="515">
        <f>Önkormányzat!F113</f>
        <v>1500000</v>
      </c>
      <c r="C19" s="520">
        <v>1700000</v>
      </c>
      <c r="D19" s="520">
        <v>1750000</v>
      </c>
      <c r="E19" s="520">
        <v>1800000</v>
      </c>
    </row>
    <row r="20" spans="1:5" x14ac:dyDescent="0.2">
      <c r="A20" s="519" t="s">
        <v>90</v>
      </c>
      <c r="B20" s="515">
        <f>Önkormányzat!F114</f>
        <v>6000000</v>
      </c>
      <c r="C20" s="520">
        <v>5500000</v>
      </c>
      <c r="D20" s="520">
        <v>5500000</v>
      </c>
      <c r="E20" s="520">
        <v>6000000</v>
      </c>
    </row>
    <row r="21" spans="1:5" x14ac:dyDescent="0.2">
      <c r="A21" s="519" t="s">
        <v>516</v>
      </c>
      <c r="B21" s="515">
        <f>Önkormányzat!F115</f>
        <v>200000</v>
      </c>
      <c r="C21" s="520">
        <v>200000</v>
      </c>
      <c r="D21" s="520">
        <v>300000</v>
      </c>
      <c r="E21" s="520">
        <v>300000</v>
      </c>
    </row>
    <row r="22" spans="1:5" hidden="1" x14ac:dyDescent="0.2">
      <c r="A22" s="519" t="s">
        <v>92</v>
      </c>
      <c r="B22" s="515">
        <f>Önkormányzat!F116</f>
        <v>15000</v>
      </c>
      <c r="C22" s="520"/>
      <c r="D22" s="520"/>
      <c r="E22" s="520"/>
    </row>
    <row r="23" spans="1:5" ht="13.5" hidden="1" thickBot="1" x14ac:dyDescent="0.25">
      <c r="A23" s="519" t="s">
        <v>517</v>
      </c>
      <c r="B23" s="515">
        <f>Önkormányzat!F117</f>
        <v>160915000</v>
      </c>
      <c r="C23" s="516"/>
      <c r="D23" s="516"/>
      <c r="E23" s="516"/>
    </row>
    <row r="24" spans="1:5" ht="13.5" thickBot="1" x14ac:dyDescent="0.25">
      <c r="A24" s="772" t="s">
        <v>681</v>
      </c>
      <c r="B24" s="515">
        <f>Önkormányzat!F116</f>
        <v>15000</v>
      </c>
      <c r="C24" s="773">
        <v>15000</v>
      </c>
      <c r="D24" s="773">
        <v>15000</v>
      </c>
      <c r="E24" s="773">
        <v>80000</v>
      </c>
    </row>
    <row r="25" spans="1:5" ht="13.5" thickBot="1" x14ac:dyDescent="0.25">
      <c r="A25" s="517" t="s">
        <v>518</v>
      </c>
      <c r="B25" s="518">
        <f>B14</f>
        <v>160915000</v>
      </c>
      <c r="C25" s="518">
        <f>C14</f>
        <v>161415000</v>
      </c>
      <c r="D25" s="518">
        <f>D14</f>
        <v>164565000</v>
      </c>
      <c r="E25" s="518">
        <f>E14</f>
        <v>174200000</v>
      </c>
    </row>
    <row r="26" spans="1:5" ht="13.5" thickBot="1" x14ac:dyDescent="0.25">
      <c r="A26" s="517" t="s">
        <v>79</v>
      </c>
      <c r="B26" s="521">
        <f>'Bevétel össz.'!I53</f>
        <v>62937550</v>
      </c>
      <c r="C26" s="521">
        <v>63000000</v>
      </c>
      <c r="D26" s="521">
        <v>64000000</v>
      </c>
      <c r="E26" s="521">
        <v>66000000</v>
      </c>
    </row>
    <row r="27" spans="1:5" ht="13.5" thickBot="1" x14ac:dyDescent="0.25">
      <c r="A27" s="517" t="s">
        <v>733</v>
      </c>
      <c r="B27" s="521">
        <f>'Bevétel össz.'!K52</f>
        <v>167515977</v>
      </c>
      <c r="C27" s="521"/>
      <c r="D27" s="521"/>
      <c r="E27" s="521"/>
    </row>
    <row r="28" spans="1:5" ht="13.5" thickBot="1" x14ac:dyDescent="0.25">
      <c r="A28" s="517" t="s">
        <v>519</v>
      </c>
      <c r="B28" s="521">
        <f>SUM(B9+B13+B25)+B26+B27</f>
        <v>488258594</v>
      </c>
      <c r="C28" s="521">
        <f>SUM(C9+C13+C25)+C26</f>
        <v>311915000</v>
      </c>
      <c r="D28" s="521">
        <f>SUM(D9+D13+D25)+D26</f>
        <v>318345000</v>
      </c>
      <c r="E28" s="521">
        <f>SUM(E9+E13+E25)+E26</f>
        <v>332100000</v>
      </c>
    </row>
    <row r="29" spans="1:5" ht="13.5" thickBot="1" x14ac:dyDescent="0.25">
      <c r="A29" s="522"/>
      <c r="B29" s="523"/>
      <c r="C29" s="523"/>
      <c r="D29" s="523"/>
      <c r="E29" s="523"/>
    </row>
    <row r="30" spans="1:5" ht="13.5" thickBot="1" x14ac:dyDescent="0.25">
      <c r="A30" s="510" t="s">
        <v>67</v>
      </c>
      <c r="B30" s="511">
        <v>2018</v>
      </c>
      <c r="C30" s="511">
        <v>2019</v>
      </c>
      <c r="D30" s="511">
        <v>2020</v>
      </c>
      <c r="E30" s="511">
        <v>2021</v>
      </c>
    </row>
    <row r="31" spans="1:5" x14ac:dyDescent="0.2">
      <c r="A31" s="524" t="s">
        <v>2</v>
      </c>
      <c r="B31" s="525">
        <f>Önkormányzat!F23+'Kiadás ktgvszervenként'!Q6</f>
        <v>76999735</v>
      </c>
      <c r="C31" s="525">
        <v>77521008</v>
      </c>
      <c r="D31" s="525">
        <v>78500000</v>
      </c>
      <c r="E31" s="525">
        <v>79000000</v>
      </c>
    </row>
    <row r="32" spans="1:5" x14ac:dyDescent="0.2">
      <c r="A32" s="526" t="s">
        <v>114</v>
      </c>
      <c r="B32" s="527">
        <f>Önkormányzat!F28+'Kiadás ktgvszervenként'!Q7</f>
        <v>15734031</v>
      </c>
      <c r="C32" s="527">
        <v>15900000</v>
      </c>
      <c r="D32" s="527">
        <v>16500000</v>
      </c>
      <c r="E32" s="527">
        <v>17000000</v>
      </c>
    </row>
    <row r="33" spans="1:5" x14ac:dyDescent="0.2">
      <c r="A33" s="526" t="s">
        <v>520</v>
      </c>
      <c r="B33" s="527">
        <f>Önkormányzat!F62+'Kiadás ktgvszervenként'!Q8</f>
        <v>84136650</v>
      </c>
      <c r="C33" s="527">
        <v>85000000</v>
      </c>
      <c r="D33" s="527">
        <v>87500000</v>
      </c>
      <c r="E33" s="527">
        <v>83000000</v>
      </c>
    </row>
    <row r="34" spans="1:5" x14ac:dyDescent="0.2">
      <c r="A34" s="528" t="s">
        <v>521</v>
      </c>
      <c r="B34" s="527">
        <f>Önkormányzat!F63</f>
        <v>4736800</v>
      </c>
      <c r="C34" s="527">
        <v>5000000</v>
      </c>
      <c r="D34" s="527">
        <v>6000000</v>
      </c>
      <c r="E34" s="527">
        <v>6100000</v>
      </c>
    </row>
    <row r="35" spans="1:5" x14ac:dyDescent="0.2">
      <c r="A35" s="528" t="s">
        <v>426</v>
      </c>
      <c r="B35" s="527">
        <f>Önkormányzat!F69-B36</f>
        <v>39692086</v>
      </c>
      <c r="C35" s="527">
        <v>28000000</v>
      </c>
      <c r="D35" s="527">
        <v>28500000</v>
      </c>
      <c r="E35" s="527">
        <v>28500000</v>
      </c>
    </row>
    <row r="36" spans="1:5" x14ac:dyDescent="0.2">
      <c r="A36" s="528" t="s">
        <v>62</v>
      </c>
      <c r="B36" s="527">
        <f>Önkormányzat!F68</f>
        <v>99231341</v>
      </c>
      <c r="C36" s="527">
        <v>2000000</v>
      </c>
      <c r="D36" s="527">
        <v>4345000</v>
      </c>
      <c r="E36" s="527">
        <v>10000000</v>
      </c>
    </row>
    <row r="37" spans="1:5" x14ac:dyDescent="0.2">
      <c r="A37" s="528" t="s">
        <v>116</v>
      </c>
      <c r="B37" s="527">
        <f>Önkormányzat!F70+'Kiadás ktgvszervenként'!Q20</f>
        <v>29690960</v>
      </c>
      <c r="C37" s="527">
        <v>13404452</v>
      </c>
      <c r="D37" s="527">
        <v>13000000</v>
      </c>
      <c r="E37" s="527">
        <v>13500000</v>
      </c>
    </row>
    <row r="38" spans="1:5" x14ac:dyDescent="0.2">
      <c r="A38" s="528" t="s">
        <v>642</v>
      </c>
      <c r="B38" s="527">
        <f>Önkormányzat!F71</f>
        <v>72211298</v>
      </c>
      <c r="C38" s="527">
        <v>22089540</v>
      </c>
      <c r="D38" s="527">
        <v>20000000</v>
      </c>
      <c r="E38" s="527">
        <v>29000000</v>
      </c>
    </row>
    <row r="39" spans="1:5" hidden="1" x14ac:dyDescent="0.2">
      <c r="A39" s="528"/>
      <c r="B39" s="527"/>
      <c r="C39" s="527"/>
      <c r="D39" s="527"/>
      <c r="E39" s="527"/>
    </row>
    <row r="40" spans="1:5" ht="13.5" hidden="1" thickBot="1" x14ac:dyDescent="0.25">
      <c r="A40" s="528"/>
      <c r="B40" s="527"/>
      <c r="C40" s="527"/>
      <c r="D40" s="527"/>
      <c r="E40" s="527"/>
    </row>
    <row r="41" spans="1:5" x14ac:dyDescent="0.2">
      <c r="A41" s="749" t="s">
        <v>671</v>
      </c>
      <c r="B41" s="750">
        <f>Önkormányzat!F77</f>
        <v>1309508</v>
      </c>
      <c r="C41" s="750"/>
      <c r="D41" s="750"/>
      <c r="E41" s="750"/>
    </row>
    <row r="42" spans="1:5" x14ac:dyDescent="0.2">
      <c r="A42" s="749" t="s">
        <v>673</v>
      </c>
      <c r="B42" s="750">
        <f>Önkormányzat!F79</f>
        <v>1578635</v>
      </c>
      <c r="C42" s="750"/>
      <c r="D42" s="750"/>
      <c r="E42" s="750"/>
    </row>
    <row r="43" spans="1:5" ht="13.5" thickBot="1" x14ac:dyDescent="0.25">
      <c r="A43" s="749" t="s">
        <v>682</v>
      </c>
      <c r="B43" s="750">
        <f>'Kiadás ktgvszervenként'!F24</f>
        <v>62937550</v>
      </c>
      <c r="C43" s="750">
        <v>63000000</v>
      </c>
      <c r="D43" s="750">
        <v>64000000</v>
      </c>
      <c r="E43" s="750">
        <v>66000000</v>
      </c>
    </row>
    <row r="44" spans="1:5" ht="13.5" thickBot="1" x14ac:dyDescent="0.25">
      <c r="A44" s="521" t="s">
        <v>522</v>
      </c>
      <c r="B44" s="521">
        <f>SUM(B31:B43)</f>
        <v>488258594</v>
      </c>
      <c r="C44" s="521">
        <f>SUM(C31:C43)</f>
        <v>311915000</v>
      </c>
      <c r="D44" s="521">
        <f>SUM(D31:D43)</f>
        <v>318345000</v>
      </c>
      <c r="E44" s="521">
        <f>SUM(E31:E43)</f>
        <v>332100000</v>
      </c>
    </row>
  </sheetData>
  <mergeCells count="2">
    <mergeCell ref="A1:F1"/>
    <mergeCell ref="A2:F2"/>
  </mergeCells>
  <phoneticPr fontId="2" type="noConversion"/>
  <pageMargins left="0.7" right="0.7" top="0.75" bottom="0.75" header="0.3" footer="0.3"/>
  <pageSetup paperSize="9" orientation="portrait" horizontalDpi="120" verticalDpi="72" r:id="rId1"/>
  <headerFooter>
    <oddHeader>&amp;LLevél Községi Önkormányzat&amp;CGördülő&amp;R15.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view="pageLayout" zoomScaleNormal="100" workbookViewId="0">
      <selection activeCell="K8" sqref="K8"/>
    </sheetView>
  </sheetViews>
  <sheetFormatPr defaultRowHeight="12.75" x14ac:dyDescent="0.2"/>
  <cols>
    <col min="1" max="1" width="31.7109375" customWidth="1"/>
    <col min="2" max="2" width="16" customWidth="1"/>
    <col min="3" max="3" width="14.5703125" customWidth="1"/>
    <col min="4" max="4" width="15.28515625" customWidth="1"/>
    <col min="5" max="5" width="14.7109375" customWidth="1"/>
    <col min="6" max="6" width="14.85546875" customWidth="1"/>
    <col min="7" max="7" width="13.28515625" customWidth="1"/>
    <col min="8" max="8" width="13.85546875" customWidth="1"/>
    <col min="9" max="9" width="14.7109375" customWidth="1"/>
    <col min="10" max="10" width="13.85546875" customWidth="1"/>
  </cols>
  <sheetData>
    <row r="1" spans="1:10" x14ac:dyDescent="0.2">
      <c r="A1" s="1030" t="s">
        <v>523</v>
      </c>
      <c r="B1" s="1030"/>
      <c r="C1" s="1030"/>
      <c r="D1" s="1030"/>
      <c r="E1" s="1030"/>
      <c r="F1" s="1030"/>
      <c r="G1" s="1030"/>
      <c r="H1" s="1030"/>
      <c r="I1" s="1030"/>
      <c r="J1" s="1030"/>
    </row>
    <row r="2" spans="1:10" x14ac:dyDescent="0.2">
      <c r="A2" s="1030" t="s">
        <v>688</v>
      </c>
      <c r="B2" s="1030"/>
      <c r="C2" s="1030"/>
      <c r="D2" s="1030"/>
      <c r="E2" s="1030"/>
      <c r="F2" s="1030"/>
      <c r="G2" s="1030"/>
      <c r="H2" s="1030"/>
      <c r="I2" s="1030"/>
      <c r="J2" s="1030"/>
    </row>
    <row r="3" spans="1:10" x14ac:dyDescent="0.2">
      <c r="A3" s="1030" t="s">
        <v>524</v>
      </c>
      <c r="B3" s="1030"/>
      <c r="C3" s="1030"/>
      <c r="D3" s="1030"/>
      <c r="E3" s="1030"/>
      <c r="F3" s="1030"/>
      <c r="G3" s="1030"/>
      <c r="H3" s="1030"/>
      <c r="I3" s="1030"/>
      <c r="J3" s="1030"/>
    </row>
    <row r="4" spans="1:10" x14ac:dyDescent="0.2">
      <c r="A4" s="529"/>
    </row>
    <row r="5" spans="1:10" x14ac:dyDescent="0.2">
      <c r="B5" s="509"/>
      <c r="I5" s="1033"/>
      <c r="J5" s="1033"/>
    </row>
    <row r="6" spans="1:10" ht="15.75" x14ac:dyDescent="0.25">
      <c r="A6" s="1031" t="s">
        <v>93</v>
      </c>
      <c r="B6" s="530">
        <v>2018</v>
      </c>
      <c r="C6" s="531">
        <v>2019</v>
      </c>
      <c r="D6" s="531">
        <v>2020</v>
      </c>
      <c r="E6" s="531">
        <v>2021</v>
      </c>
      <c r="F6" s="531">
        <v>2022</v>
      </c>
      <c r="G6" s="531">
        <v>2023</v>
      </c>
      <c r="H6" s="531">
        <v>2024</v>
      </c>
      <c r="I6" s="531">
        <v>2025</v>
      </c>
      <c r="J6" s="531" t="s">
        <v>689</v>
      </c>
    </row>
    <row r="7" spans="1:10" ht="15.75" x14ac:dyDescent="0.25">
      <c r="A7" s="1032"/>
      <c r="B7" s="530" t="s">
        <v>525</v>
      </c>
      <c r="C7" s="530" t="s">
        <v>525</v>
      </c>
      <c r="D7" s="530" t="s">
        <v>525</v>
      </c>
      <c r="E7" s="530" t="s">
        <v>525</v>
      </c>
      <c r="F7" s="530" t="s">
        <v>525</v>
      </c>
      <c r="G7" s="530" t="s">
        <v>525</v>
      </c>
      <c r="H7" s="530" t="s">
        <v>525</v>
      </c>
      <c r="I7" s="530" t="s">
        <v>525</v>
      </c>
      <c r="J7" s="530" t="s">
        <v>525</v>
      </c>
    </row>
    <row r="8" spans="1:10" ht="15.75" x14ac:dyDescent="0.25">
      <c r="A8" s="532" t="s">
        <v>512</v>
      </c>
      <c r="B8" s="533">
        <f>Önkormányzat!F117</f>
        <v>160915000</v>
      </c>
      <c r="C8" s="533">
        <v>161415000</v>
      </c>
      <c r="D8" s="533">
        <v>164565000</v>
      </c>
      <c r="E8" s="533">
        <v>174200000</v>
      </c>
      <c r="F8" s="533">
        <v>175000000</v>
      </c>
      <c r="G8" s="533">
        <v>176000000</v>
      </c>
      <c r="H8" s="533">
        <v>177500000</v>
      </c>
      <c r="I8" s="533">
        <v>178000000</v>
      </c>
      <c r="J8" s="533">
        <v>179000000</v>
      </c>
    </row>
    <row r="9" spans="1:10" ht="15.75" x14ac:dyDescent="0.25">
      <c r="A9" s="534" t="s">
        <v>526</v>
      </c>
      <c r="B9" s="535"/>
      <c r="C9" s="535"/>
      <c r="D9" s="535"/>
      <c r="E9" s="535"/>
      <c r="F9" s="535"/>
      <c r="G9" s="535"/>
      <c r="H9" s="535"/>
      <c r="I9" s="535"/>
      <c r="J9" s="533"/>
    </row>
    <row r="10" spans="1:10" ht="15.75" x14ac:dyDescent="0.25">
      <c r="A10" s="534" t="s">
        <v>527</v>
      </c>
      <c r="B10" s="535"/>
      <c r="C10" s="535"/>
      <c r="D10" s="535"/>
      <c r="E10" s="535"/>
      <c r="F10" s="535"/>
      <c r="G10" s="535"/>
      <c r="H10" s="535"/>
      <c r="I10" s="535"/>
      <c r="J10" s="533"/>
    </row>
    <row r="11" spans="1:10" ht="69.75" customHeight="1" x14ac:dyDescent="0.25">
      <c r="A11" s="536" t="s">
        <v>528</v>
      </c>
      <c r="B11" s="537">
        <f>Önkormányzat!F128</f>
        <v>0</v>
      </c>
      <c r="C11" s="537"/>
      <c r="D11" s="537"/>
      <c r="E11" s="537"/>
      <c r="F11" s="537"/>
      <c r="G11" s="537"/>
      <c r="H11" s="537"/>
      <c r="I11" s="537"/>
      <c r="J11" s="533"/>
    </row>
    <row r="12" spans="1:10" ht="37.5" customHeight="1" x14ac:dyDescent="0.25">
      <c r="A12" s="538" t="s">
        <v>529</v>
      </c>
      <c r="B12" s="537"/>
      <c r="C12" s="537"/>
      <c r="D12" s="537"/>
      <c r="E12" s="537"/>
      <c r="F12" s="537"/>
      <c r="G12" s="537"/>
      <c r="H12" s="537"/>
      <c r="I12" s="537"/>
      <c r="J12" s="533"/>
    </row>
    <row r="13" spans="1:10" ht="39" customHeight="1" x14ac:dyDescent="0.25">
      <c r="A13" s="538" t="s">
        <v>530</v>
      </c>
      <c r="B13" s="537"/>
      <c r="C13" s="537"/>
      <c r="D13" s="537"/>
      <c r="E13" s="537"/>
      <c r="F13" s="537"/>
      <c r="G13" s="537"/>
      <c r="H13" s="537"/>
      <c r="I13" s="537"/>
      <c r="J13" s="533"/>
    </row>
    <row r="14" spans="1:10" ht="15.75" x14ac:dyDescent="0.25">
      <c r="A14" s="539" t="s">
        <v>531</v>
      </c>
      <c r="B14" s="540"/>
      <c r="C14" s="540"/>
      <c r="D14" s="540"/>
      <c r="E14" s="540"/>
      <c r="F14" s="540"/>
      <c r="G14" s="540"/>
      <c r="H14" s="540"/>
      <c r="I14" s="540"/>
      <c r="J14" s="533"/>
    </row>
    <row r="15" spans="1:10" ht="15.75" x14ac:dyDescent="0.25">
      <c r="A15" s="541" t="s">
        <v>532</v>
      </c>
      <c r="B15" s="542">
        <f>SUM(B8:B14)</f>
        <v>160915000</v>
      </c>
      <c r="C15" s="542">
        <f t="shared" ref="C15:J15" si="0">SUM(C8:C14)</f>
        <v>161415000</v>
      </c>
      <c r="D15" s="542">
        <f t="shared" si="0"/>
        <v>164565000</v>
      </c>
      <c r="E15" s="542">
        <f t="shared" si="0"/>
        <v>174200000</v>
      </c>
      <c r="F15" s="542">
        <f t="shared" si="0"/>
        <v>175000000</v>
      </c>
      <c r="G15" s="542">
        <f t="shared" si="0"/>
        <v>176000000</v>
      </c>
      <c r="H15" s="542">
        <f t="shared" si="0"/>
        <v>177500000</v>
      </c>
      <c r="I15" s="542">
        <f t="shared" si="0"/>
        <v>178000000</v>
      </c>
      <c r="J15" s="542">
        <f t="shared" si="0"/>
        <v>179000000</v>
      </c>
    </row>
    <row r="16" spans="1:10" ht="15.75" x14ac:dyDescent="0.25">
      <c r="A16" s="541" t="s">
        <v>533</v>
      </c>
      <c r="B16" s="542">
        <f>B15/2</f>
        <v>80457500</v>
      </c>
      <c r="C16" s="542">
        <f t="shared" ref="C16:J16" si="1">C15/2</f>
        <v>80707500</v>
      </c>
      <c r="D16" s="542">
        <f t="shared" si="1"/>
        <v>82282500</v>
      </c>
      <c r="E16" s="542">
        <f t="shared" si="1"/>
        <v>87100000</v>
      </c>
      <c r="F16" s="542">
        <f t="shared" si="1"/>
        <v>87500000</v>
      </c>
      <c r="G16" s="542">
        <f t="shared" si="1"/>
        <v>88000000</v>
      </c>
      <c r="H16" s="542">
        <f t="shared" si="1"/>
        <v>88750000</v>
      </c>
      <c r="I16" s="542">
        <f t="shared" si="1"/>
        <v>89000000</v>
      </c>
      <c r="J16" s="542">
        <f t="shared" si="1"/>
        <v>89500000</v>
      </c>
    </row>
  </sheetData>
  <mergeCells count="5">
    <mergeCell ref="A6:A7"/>
    <mergeCell ref="A1:J1"/>
    <mergeCell ref="A2:J2"/>
    <mergeCell ref="A3:J3"/>
    <mergeCell ref="I5:J5"/>
  </mergeCells>
  <phoneticPr fontId="2" type="noConversion"/>
  <pageMargins left="0.7" right="0.7" top="0.75" bottom="0.75" header="0.3" footer="0.3"/>
  <pageSetup paperSize="9" scale="54" orientation="portrait" horizontalDpi="120" verticalDpi="72" r:id="rId1"/>
  <headerFooter>
    <oddHeader>&amp;LLevél Községi Önkormányzat&amp;R16.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6E12-F5AC-4CD4-BE59-F6DBBBA9BBB2}">
  <dimension ref="A1:B22"/>
  <sheetViews>
    <sheetView view="pageLayout" workbookViewId="0">
      <selection activeCell="A3" sqref="A3"/>
    </sheetView>
  </sheetViews>
  <sheetFormatPr defaultRowHeight="12.75" x14ac:dyDescent="0.2"/>
  <cols>
    <col min="1" max="1" width="35.7109375" customWidth="1"/>
    <col min="2" max="2" width="18.42578125" customWidth="1"/>
  </cols>
  <sheetData>
    <row r="1" spans="1:2" ht="30" customHeight="1" x14ac:dyDescent="0.2">
      <c r="A1" s="1034" t="s">
        <v>891</v>
      </c>
      <c r="B1" s="1034"/>
    </row>
    <row r="2" spans="1:2" ht="30" customHeight="1" x14ac:dyDescent="0.2">
      <c r="A2" s="864" t="s">
        <v>93</v>
      </c>
      <c r="B2" s="864" t="s">
        <v>790</v>
      </c>
    </row>
    <row r="3" spans="1:2" ht="30" customHeight="1" x14ac:dyDescent="0.2">
      <c r="A3" s="864">
        <v>2</v>
      </c>
      <c r="B3" s="864">
        <v>3</v>
      </c>
    </row>
    <row r="4" spans="1:2" ht="30" customHeight="1" x14ac:dyDescent="0.2">
      <c r="A4" s="865" t="s">
        <v>791</v>
      </c>
      <c r="B4" s="866">
        <v>296715615</v>
      </c>
    </row>
    <row r="5" spans="1:2" ht="30" customHeight="1" x14ac:dyDescent="0.2">
      <c r="A5" s="865" t="s">
        <v>792</v>
      </c>
      <c r="B5" s="866">
        <v>258377547</v>
      </c>
    </row>
    <row r="6" spans="1:2" ht="30" customHeight="1" x14ac:dyDescent="0.2">
      <c r="A6" s="867" t="s">
        <v>793</v>
      </c>
      <c r="B6" s="868">
        <v>38338068</v>
      </c>
    </row>
    <row r="7" spans="1:2" ht="30" customHeight="1" x14ac:dyDescent="0.2">
      <c r="A7" s="865" t="s">
        <v>794</v>
      </c>
      <c r="B7" s="866">
        <v>222978926</v>
      </c>
    </row>
    <row r="8" spans="1:2" ht="30" customHeight="1" x14ac:dyDescent="0.2">
      <c r="A8" s="865" t="s">
        <v>795</v>
      </c>
      <c r="B8" s="866">
        <v>71766385</v>
      </c>
    </row>
    <row r="9" spans="1:2" ht="30" customHeight="1" x14ac:dyDescent="0.2">
      <c r="A9" s="867" t="s">
        <v>796</v>
      </c>
      <c r="B9" s="868">
        <v>151212541</v>
      </c>
    </row>
    <row r="10" spans="1:2" ht="30" customHeight="1" x14ac:dyDescent="0.2">
      <c r="A10" s="867" t="s">
        <v>797</v>
      </c>
      <c r="B10" s="868">
        <v>189550609</v>
      </c>
    </row>
    <row r="11" spans="1:2" ht="30" customHeight="1" x14ac:dyDescent="0.2">
      <c r="A11" s="865" t="s">
        <v>798</v>
      </c>
      <c r="B11" s="866">
        <v>0</v>
      </c>
    </row>
    <row r="12" spans="1:2" ht="30" customHeight="1" x14ac:dyDescent="0.2">
      <c r="A12" s="865" t="s">
        <v>799</v>
      </c>
      <c r="B12" s="866">
        <v>0</v>
      </c>
    </row>
    <row r="13" spans="1:2" ht="30" customHeight="1" x14ac:dyDescent="0.2">
      <c r="A13" s="867" t="s">
        <v>800</v>
      </c>
      <c r="B13" s="868">
        <v>0</v>
      </c>
    </row>
    <row r="14" spans="1:2" ht="30" customHeight="1" x14ac:dyDescent="0.2">
      <c r="A14" s="865" t="s">
        <v>801</v>
      </c>
      <c r="B14" s="866">
        <v>0</v>
      </c>
    </row>
    <row r="15" spans="1:2" ht="30" customHeight="1" x14ac:dyDescent="0.2">
      <c r="A15" s="865" t="s">
        <v>802</v>
      </c>
      <c r="B15" s="866">
        <v>0</v>
      </c>
    </row>
    <row r="16" spans="1:2" ht="30" customHeight="1" x14ac:dyDescent="0.2">
      <c r="A16" s="867" t="s">
        <v>803</v>
      </c>
      <c r="B16" s="868">
        <v>0</v>
      </c>
    </row>
    <row r="17" spans="1:2" ht="30" customHeight="1" x14ac:dyDescent="0.2">
      <c r="A17" s="867" t="s">
        <v>804</v>
      </c>
      <c r="B17" s="868">
        <v>0</v>
      </c>
    </row>
    <row r="18" spans="1:2" ht="30" customHeight="1" x14ac:dyDescent="0.2">
      <c r="A18" s="867" t="s">
        <v>805</v>
      </c>
      <c r="B18" s="868">
        <v>189550609</v>
      </c>
    </row>
    <row r="19" spans="1:2" ht="30" customHeight="1" x14ac:dyDescent="0.2">
      <c r="A19" s="867" t="s">
        <v>806</v>
      </c>
      <c r="B19" s="868">
        <v>0</v>
      </c>
    </row>
    <row r="20" spans="1:2" ht="30" customHeight="1" x14ac:dyDescent="0.2">
      <c r="A20" s="867" t="s">
        <v>807</v>
      </c>
      <c r="B20" s="868">
        <v>189550609</v>
      </c>
    </row>
    <row r="21" spans="1:2" ht="30" customHeight="1" x14ac:dyDescent="0.2">
      <c r="A21" s="867" t="s">
        <v>808</v>
      </c>
      <c r="B21" s="868">
        <v>0</v>
      </c>
    </row>
    <row r="22" spans="1:2" ht="30" customHeight="1" x14ac:dyDescent="0.2">
      <c r="A22" s="867" t="s">
        <v>809</v>
      </c>
      <c r="B22" s="868">
        <v>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  <headerFooter>
    <oddHeader>&amp;LLevél Községi Önkormányzat&amp;R17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0DE79-BFFD-4C58-A542-D02A67D4D66E}">
  <dimension ref="A1:B22"/>
  <sheetViews>
    <sheetView view="pageLayout" workbookViewId="0">
      <selection activeCell="A3" sqref="A3"/>
    </sheetView>
  </sheetViews>
  <sheetFormatPr defaultRowHeight="12.75" x14ac:dyDescent="0.2"/>
  <cols>
    <col min="1" max="1" width="35.7109375" customWidth="1"/>
    <col min="2" max="2" width="18.28515625" customWidth="1"/>
  </cols>
  <sheetData>
    <row r="1" spans="1:2" ht="30" customHeight="1" x14ac:dyDescent="0.2">
      <c r="A1" s="1035" t="s">
        <v>890</v>
      </c>
      <c r="B1" s="1035"/>
    </row>
    <row r="2" spans="1:2" ht="30" customHeight="1" x14ac:dyDescent="0.2">
      <c r="A2" s="864" t="s">
        <v>93</v>
      </c>
      <c r="B2" s="864" t="s">
        <v>790</v>
      </c>
    </row>
    <row r="3" spans="1:2" ht="30" customHeight="1" x14ac:dyDescent="0.2">
      <c r="A3" s="864">
        <v>2</v>
      </c>
      <c r="B3" s="864">
        <v>3</v>
      </c>
    </row>
    <row r="4" spans="1:2" ht="30" customHeight="1" x14ac:dyDescent="0.2">
      <c r="A4" s="865" t="s">
        <v>791</v>
      </c>
      <c r="B4" s="866">
        <v>1470113</v>
      </c>
    </row>
    <row r="5" spans="1:2" ht="30" customHeight="1" x14ac:dyDescent="0.2">
      <c r="A5" s="865" t="s">
        <v>792</v>
      </c>
      <c r="B5" s="866">
        <v>60273161</v>
      </c>
    </row>
    <row r="6" spans="1:2" ht="30" customHeight="1" x14ac:dyDescent="0.2">
      <c r="A6" s="867" t="s">
        <v>793</v>
      </c>
      <c r="B6" s="868">
        <v>-58803048</v>
      </c>
    </row>
    <row r="7" spans="1:2" ht="30" customHeight="1" x14ac:dyDescent="0.2">
      <c r="A7" s="865" t="s">
        <v>794</v>
      </c>
      <c r="B7" s="866">
        <v>58880598</v>
      </c>
    </row>
    <row r="8" spans="1:2" ht="30" customHeight="1" x14ac:dyDescent="0.2">
      <c r="A8" s="865" t="s">
        <v>795</v>
      </c>
      <c r="B8" s="866">
        <v>0</v>
      </c>
    </row>
    <row r="9" spans="1:2" ht="30" customHeight="1" x14ac:dyDescent="0.2">
      <c r="A9" s="867" t="s">
        <v>796</v>
      </c>
      <c r="B9" s="868">
        <v>58880598</v>
      </c>
    </row>
    <row r="10" spans="1:2" ht="30" customHeight="1" x14ac:dyDescent="0.2">
      <c r="A10" s="867" t="s">
        <v>797</v>
      </c>
      <c r="B10" s="868">
        <v>77550</v>
      </c>
    </row>
    <row r="11" spans="1:2" ht="30" customHeight="1" x14ac:dyDescent="0.2">
      <c r="A11" s="865" t="s">
        <v>798</v>
      </c>
      <c r="B11" s="866">
        <v>0</v>
      </c>
    </row>
    <row r="12" spans="1:2" ht="30" customHeight="1" x14ac:dyDescent="0.2">
      <c r="A12" s="865" t="s">
        <v>799</v>
      </c>
      <c r="B12" s="866">
        <v>0</v>
      </c>
    </row>
    <row r="13" spans="1:2" ht="30" customHeight="1" x14ac:dyDescent="0.2">
      <c r="A13" s="867" t="s">
        <v>800</v>
      </c>
      <c r="B13" s="868">
        <v>0</v>
      </c>
    </row>
    <row r="14" spans="1:2" ht="30" customHeight="1" x14ac:dyDescent="0.2">
      <c r="A14" s="865" t="s">
        <v>801</v>
      </c>
      <c r="B14" s="866">
        <v>0</v>
      </c>
    </row>
    <row r="15" spans="1:2" ht="30" customHeight="1" x14ac:dyDescent="0.2">
      <c r="A15" s="865" t="s">
        <v>802</v>
      </c>
      <c r="B15" s="866">
        <v>0</v>
      </c>
    </row>
    <row r="16" spans="1:2" ht="30" customHeight="1" x14ac:dyDescent="0.2">
      <c r="A16" s="867" t="s">
        <v>803</v>
      </c>
      <c r="B16" s="868">
        <v>0</v>
      </c>
    </row>
    <row r="17" spans="1:2" ht="30" customHeight="1" x14ac:dyDescent="0.2">
      <c r="A17" s="867" t="s">
        <v>804</v>
      </c>
      <c r="B17" s="868">
        <v>0</v>
      </c>
    </row>
    <row r="18" spans="1:2" ht="30" customHeight="1" x14ac:dyDescent="0.2">
      <c r="A18" s="867" t="s">
        <v>805</v>
      </c>
      <c r="B18" s="868">
        <v>77550</v>
      </c>
    </row>
    <row r="19" spans="1:2" ht="30" customHeight="1" x14ac:dyDescent="0.2">
      <c r="A19" s="867" t="s">
        <v>806</v>
      </c>
      <c r="B19" s="868">
        <v>0</v>
      </c>
    </row>
    <row r="20" spans="1:2" ht="30" customHeight="1" x14ac:dyDescent="0.2">
      <c r="A20" s="867" t="s">
        <v>807</v>
      </c>
      <c r="B20" s="868">
        <v>77550</v>
      </c>
    </row>
    <row r="21" spans="1:2" ht="30" customHeight="1" x14ac:dyDescent="0.2">
      <c r="A21" s="867" t="s">
        <v>808</v>
      </c>
      <c r="B21" s="868">
        <v>0</v>
      </c>
    </row>
    <row r="22" spans="1:2" ht="30" customHeight="1" x14ac:dyDescent="0.2">
      <c r="A22" s="867" t="s">
        <v>809</v>
      </c>
      <c r="B22" s="868">
        <v>0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  <headerFooter>
    <oddHeader>&amp;LLevél Községi Önkormányzat&amp;R18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1914-A964-4E95-B8F0-A2B85851BEC0}">
  <dimension ref="A1:D76"/>
  <sheetViews>
    <sheetView view="pageLayout" workbookViewId="0">
      <selection sqref="A1:D1"/>
    </sheetView>
  </sheetViews>
  <sheetFormatPr defaultRowHeight="12.75" x14ac:dyDescent="0.2"/>
  <cols>
    <col min="1" max="1" width="37" customWidth="1"/>
    <col min="2" max="4" width="15.7109375" customWidth="1"/>
  </cols>
  <sheetData>
    <row r="1" spans="1:4" ht="30" customHeight="1" x14ac:dyDescent="0.2">
      <c r="A1" s="1036" t="s">
        <v>888</v>
      </c>
      <c r="B1" s="1036"/>
      <c r="C1" s="1036"/>
      <c r="D1" s="1036"/>
    </row>
    <row r="2" spans="1:4" ht="30" customHeight="1" x14ac:dyDescent="0.2">
      <c r="A2" s="864" t="s">
        <v>93</v>
      </c>
      <c r="B2" s="864" t="s">
        <v>810</v>
      </c>
      <c r="C2" s="864" t="s">
        <v>811</v>
      </c>
      <c r="D2" s="864" t="s">
        <v>812</v>
      </c>
    </row>
    <row r="3" spans="1:4" ht="30" customHeight="1" x14ac:dyDescent="0.2">
      <c r="A3" s="864">
        <v>2</v>
      </c>
      <c r="B3" s="864">
        <v>3</v>
      </c>
      <c r="C3" s="864">
        <v>4</v>
      </c>
      <c r="D3" s="864">
        <v>5</v>
      </c>
    </row>
    <row r="4" spans="1:4" ht="30" customHeight="1" x14ac:dyDescent="0.2">
      <c r="A4" s="865" t="s">
        <v>813</v>
      </c>
      <c r="B4" s="866">
        <v>630203</v>
      </c>
      <c r="C4" s="866">
        <v>0</v>
      </c>
      <c r="D4" s="866">
        <v>0</v>
      </c>
    </row>
    <row r="5" spans="1:4" ht="30" customHeight="1" x14ac:dyDescent="0.2">
      <c r="A5" s="865" t="s">
        <v>814</v>
      </c>
      <c r="B5" s="866">
        <v>4520188</v>
      </c>
      <c r="C5" s="866">
        <v>0</v>
      </c>
      <c r="D5" s="866">
        <v>2224874</v>
      </c>
    </row>
    <row r="6" spans="1:4" ht="30" customHeight="1" x14ac:dyDescent="0.2">
      <c r="A6" s="867" t="s">
        <v>815</v>
      </c>
      <c r="B6" s="868">
        <v>5150391</v>
      </c>
      <c r="C6" s="868">
        <v>0</v>
      </c>
      <c r="D6" s="868">
        <v>2224874</v>
      </c>
    </row>
    <row r="7" spans="1:4" ht="30" customHeight="1" x14ac:dyDescent="0.2">
      <c r="A7" s="865" t="s">
        <v>816</v>
      </c>
      <c r="B7" s="866">
        <v>982337827</v>
      </c>
      <c r="C7" s="866">
        <v>0</v>
      </c>
      <c r="D7" s="866">
        <v>992066566</v>
      </c>
    </row>
    <row r="8" spans="1:4" ht="30" customHeight="1" x14ac:dyDescent="0.2">
      <c r="A8" s="865" t="s">
        <v>817</v>
      </c>
      <c r="B8" s="866">
        <v>12076063</v>
      </c>
      <c r="C8" s="866">
        <v>0</v>
      </c>
      <c r="D8" s="866">
        <v>15283668</v>
      </c>
    </row>
    <row r="9" spans="1:4" ht="30" customHeight="1" x14ac:dyDescent="0.2">
      <c r="A9" s="865" t="s">
        <v>818</v>
      </c>
      <c r="B9" s="866">
        <v>15914351</v>
      </c>
      <c r="C9" s="866">
        <v>0</v>
      </c>
      <c r="D9" s="866">
        <v>48821744</v>
      </c>
    </row>
    <row r="10" spans="1:4" ht="30" customHeight="1" x14ac:dyDescent="0.2">
      <c r="A10" s="867" t="s">
        <v>819</v>
      </c>
      <c r="B10" s="868">
        <v>1010328241</v>
      </c>
      <c r="C10" s="868">
        <v>0</v>
      </c>
      <c r="D10" s="868">
        <v>1056171978</v>
      </c>
    </row>
    <row r="11" spans="1:4" ht="30" customHeight="1" x14ac:dyDescent="0.2">
      <c r="A11" s="865" t="s">
        <v>820</v>
      </c>
      <c r="B11" s="866">
        <v>5780000</v>
      </c>
      <c r="C11" s="866">
        <v>0</v>
      </c>
      <c r="D11" s="866">
        <v>5780000</v>
      </c>
    </row>
    <row r="12" spans="1:4" ht="30" customHeight="1" x14ac:dyDescent="0.2">
      <c r="A12" s="865" t="s">
        <v>821</v>
      </c>
      <c r="B12" s="866">
        <v>5780000</v>
      </c>
      <c r="C12" s="866">
        <v>0</v>
      </c>
      <c r="D12" s="866">
        <v>5780000</v>
      </c>
    </row>
    <row r="13" spans="1:4" ht="30" customHeight="1" x14ac:dyDescent="0.2">
      <c r="A13" s="865" t="s">
        <v>822</v>
      </c>
      <c r="B13" s="866">
        <v>25000000</v>
      </c>
      <c r="C13" s="866">
        <v>0</v>
      </c>
      <c r="D13" s="866">
        <v>5000000</v>
      </c>
    </row>
    <row r="14" spans="1:4" ht="30" customHeight="1" x14ac:dyDescent="0.2">
      <c r="A14" s="865" t="s">
        <v>823</v>
      </c>
      <c r="B14" s="866">
        <v>25000000</v>
      </c>
      <c r="C14" s="866">
        <v>0</v>
      </c>
      <c r="D14" s="866">
        <v>5000000</v>
      </c>
    </row>
    <row r="15" spans="1:4" ht="30" customHeight="1" x14ac:dyDescent="0.2">
      <c r="A15" s="867" t="s">
        <v>824</v>
      </c>
      <c r="B15" s="868">
        <v>30780000</v>
      </c>
      <c r="C15" s="868">
        <v>0</v>
      </c>
      <c r="D15" s="868">
        <v>10780000</v>
      </c>
    </row>
    <row r="16" spans="1:4" ht="30" customHeight="1" x14ac:dyDescent="0.2">
      <c r="A16" s="865" t="s">
        <v>825</v>
      </c>
      <c r="B16" s="866">
        <v>86108872</v>
      </c>
      <c r="C16" s="866">
        <v>0</v>
      </c>
      <c r="D16" s="866">
        <v>80314351</v>
      </c>
    </row>
    <row r="17" spans="1:4" ht="30" customHeight="1" x14ac:dyDescent="0.2">
      <c r="A17" s="865" t="s">
        <v>826</v>
      </c>
      <c r="B17" s="866">
        <v>86108872</v>
      </c>
      <c r="C17" s="866">
        <v>0</v>
      </c>
      <c r="D17" s="866">
        <v>80314351</v>
      </c>
    </row>
    <row r="18" spans="1:4" ht="30" customHeight="1" x14ac:dyDescent="0.2">
      <c r="A18" s="867" t="s">
        <v>827</v>
      </c>
      <c r="B18" s="868">
        <v>86108872</v>
      </c>
      <c r="C18" s="868">
        <v>0</v>
      </c>
      <c r="D18" s="868">
        <v>80314351</v>
      </c>
    </row>
    <row r="19" spans="1:4" ht="38.25" x14ac:dyDescent="0.2">
      <c r="A19" s="867" t="s">
        <v>828</v>
      </c>
      <c r="B19" s="868">
        <v>1132367504</v>
      </c>
      <c r="C19" s="868">
        <v>0</v>
      </c>
      <c r="D19" s="868">
        <v>1149491203</v>
      </c>
    </row>
    <row r="20" spans="1:4" ht="38.25" x14ac:dyDescent="0.2">
      <c r="A20" s="865" t="s">
        <v>829</v>
      </c>
      <c r="B20" s="866">
        <v>0</v>
      </c>
      <c r="C20" s="866">
        <v>0</v>
      </c>
      <c r="D20" s="866">
        <v>0</v>
      </c>
    </row>
    <row r="21" spans="1:4" ht="30" customHeight="1" x14ac:dyDescent="0.2">
      <c r="A21" s="865" t="s">
        <v>830</v>
      </c>
      <c r="B21" s="866">
        <v>0</v>
      </c>
      <c r="C21" s="866">
        <v>0</v>
      </c>
      <c r="D21" s="866">
        <v>0</v>
      </c>
    </row>
    <row r="22" spans="1:4" ht="30" customHeight="1" x14ac:dyDescent="0.2">
      <c r="A22" s="867" t="s">
        <v>831</v>
      </c>
      <c r="B22" s="868">
        <v>0</v>
      </c>
      <c r="C22" s="868">
        <v>0</v>
      </c>
      <c r="D22" s="868">
        <v>0</v>
      </c>
    </row>
    <row r="23" spans="1:4" ht="30" customHeight="1" x14ac:dyDescent="0.2">
      <c r="A23" s="867" t="s">
        <v>832</v>
      </c>
      <c r="B23" s="868">
        <v>0</v>
      </c>
      <c r="C23" s="868">
        <v>0</v>
      </c>
      <c r="D23" s="868">
        <v>0</v>
      </c>
    </row>
    <row r="24" spans="1:4" ht="30" customHeight="1" x14ac:dyDescent="0.2">
      <c r="A24" s="865" t="s">
        <v>833</v>
      </c>
      <c r="B24" s="866">
        <v>1333380</v>
      </c>
      <c r="C24" s="866">
        <v>0</v>
      </c>
      <c r="D24" s="866">
        <v>192230</v>
      </c>
    </row>
    <row r="25" spans="1:4" ht="30" customHeight="1" x14ac:dyDescent="0.2">
      <c r="A25" s="867" t="s">
        <v>834</v>
      </c>
      <c r="B25" s="868">
        <v>133380</v>
      </c>
      <c r="C25" s="868">
        <v>0</v>
      </c>
      <c r="D25" s="868">
        <v>192230</v>
      </c>
    </row>
    <row r="26" spans="1:4" ht="30" customHeight="1" x14ac:dyDescent="0.2">
      <c r="A26" s="865" t="s">
        <v>835</v>
      </c>
      <c r="B26" s="866">
        <v>167466441</v>
      </c>
      <c r="C26" s="866">
        <v>0</v>
      </c>
      <c r="D26" s="866">
        <v>164330888</v>
      </c>
    </row>
    <row r="27" spans="1:4" ht="30" customHeight="1" x14ac:dyDescent="0.2">
      <c r="A27" s="867" t="s">
        <v>836</v>
      </c>
      <c r="B27" s="868">
        <v>167466441</v>
      </c>
      <c r="C27" s="868">
        <v>0</v>
      </c>
      <c r="D27" s="868">
        <v>164330888</v>
      </c>
    </row>
    <row r="28" spans="1:4" ht="30" customHeight="1" x14ac:dyDescent="0.2">
      <c r="A28" s="867" t="s">
        <v>837</v>
      </c>
      <c r="B28" s="868">
        <v>167599821</v>
      </c>
      <c r="C28" s="868">
        <v>0</v>
      </c>
      <c r="D28" s="868">
        <v>164523118</v>
      </c>
    </row>
    <row r="29" spans="1:4" ht="30" customHeight="1" x14ac:dyDescent="0.2">
      <c r="A29" s="865" t="s">
        <v>838</v>
      </c>
      <c r="B29" s="866">
        <v>1338546</v>
      </c>
      <c r="C29" s="866">
        <v>0</v>
      </c>
      <c r="D29" s="866">
        <v>2864221</v>
      </c>
    </row>
    <row r="30" spans="1:4" ht="30" customHeight="1" x14ac:dyDescent="0.2">
      <c r="A30" s="865" t="s">
        <v>839</v>
      </c>
      <c r="B30" s="866">
        <v>385237</v>
      </c>
      <c r="C30" s="866">
        <v>0</v>
      </c>
      <c r="D30" s="866">
        <v>928921</v>
      </c>
    </row>
    <row r="31" spans="1:4" ht="30" customHeight="1" x14ac:dyDescent="0.2">
      <c r="A31" s="865" t="s">
        <v>840</v>
      </c>
      <c r="B31" s="866">
        <v>839656</v>
      </c>
      <c r="C31" s="866">
        <v>0</v>
      </c>
      <c r="D31" s="866">
        <v>1599648</v>
      </c>
    </row>
    <row r="32" spans="1:4" ht="30" customHeight="1" x14ac:dyDescent="0.2">
      <c r="A32" s="865" t="s">
        <v>841</v>
      </c>
      <c r="B32" s="866">
        <v>113653</v>
      </c>
      <c r="C32" s="866">
        <v>0</v>
      </c>
      <c r="D32" s="866">
        <v>335652</v>
      </c>
    </row>
    <row r="33" spans="1:4" ht="30" customHeight="1" x14ac:dyDescent="0.2">
      <c r="A33" s="865" t="s">
        <v>842</v>
      </c>
      <c r="B33" s="866">
        <v>162002</v>
      </c>
      <c r="C33" s="866">
        <v>0</v>
      </c>
      <c r="D33" s="866">
        <v>958807</v>
      </c>
    </row>
    <row r="34" spans="1:4" ht="30" customHeight="1" x14ac:dyDescent="0.2">
      <c r="A34" s="865" t="s">
        <v>843</v>
      </c>
      <c r="B34" s="866">
        <v>0</v>
      </c>
      <c r="C34" s="866">
        <v>0</v>
      </c>
      <c r="D34" s="866">
        <v>655607</v>
      </c>
    </row>
    <row r="35" spans="1:4" ht="30" customHeight="1" x14ac:dyDescent="0.2">
      <c r="A35" s="865" t="s">
        <v>844</v>
      </c>
      <c r="B35" s="866">
        <v>127561</v>
      </c>
      <c r="C35" s="866">
        <v>0</v>
      </c>
      <c r="D35" s="866">
        <v>99365</v>
      </c>
    </row>
    <row r="36" spans="1:4" ht="30" customHeight="1" x14ac:dyDescent="0.2">
      <c r="A36" s="865" t="s">
        <v>845</v>
      </c>
      <c r="B36" s="866">
        <v>34441</v>
      </c>
      <c r="C36" s="866">
        <v>0</v>
      </c>
      <c r="D36" s="866">
        <v>203835</v>
      </c>
    </row>
    <row r="37" spans="1:4" ht="30" customHeight="1" x14ac:dyDescent="0.2">
      <c r="A37" s="865" t="s">
        <v>846</v>
      </c>
      <c r="B37" s="866">
        <v>179232</v>
      </c>
      <c r="C37" s="866">
        <v>0</v>
      </c>
      <c r="D37" s="866">
        <v>179232</v>
      </c>
    </row>
    <row r="38" spans="1:4" ht="30" customHeight="1" x14ac:dyDescent="0.2">
      <c r="A38" s="865" t="s">
        <v>847</v>
      </c>
      <c r="B38" s="866">
        <v>179232</v>
      </c>
      <c r="C38" s="866">
        <v>0</v>
      </c>
      <c r="D38" s="866">
        <v>179232</v>
      </c>
    </row>
    <row r="39" spans="1:4" ht="30" customHeight="1" x14ac:dyDescent="0.2">
      <c r="A39" s="867" t="s">
        <v>848</v>
      </c>
      <c r="B39" s="868">
        <v>1679780</v>
      </c>
      <c r="C39" s="868">
        <v>0</v>
      </c>
      <c r="D39" s="868">
        <v>4002260</v>
      </c>
    </row>
    <row r="40" spans="1:4" ht="30" customHeight="1" x14ac:dyDescent="0.2">
      <c r="A40" s="865" t="s">
        <v>849</v>
      </c>
      <c r="B40" s="866">
        <v>514000</v>
      </c>
      <c r="C40" s="866">
        <v>0</v>
      </c>
      <c r="D40" s="866">
        <v>0</v>
      </c>
    </row>
    <row r="41" spans="1:4" ht="30" customHeight="1" x14ac:dyDescent="0.2">
      <c r="A41" s="865" t="s">
        <v>850</v>
      </c>
      <c r="B41" s="866">
        <v>514000</v>
      </c>
      <c r="C41" s="866">
        <v>0</v>
      </c>
      <c r="D41" s="866">
        <v>0</v>
      </c>
    </row>
    <row r="42" spans="1:4" ht="30" customHeight="1" x14ac:dyDescent="0.2">
      <c r="A42" s="865" t="s">
        <v>851</v>
      </c>
      <c r="B42" s="866">
        <v>382500</v>
      </c>
      <c r="C42" s="866">
        <v>0</v>
      </c>
      <c r="D42" s="866">
        <v>0</v>
      </c>
    </row>
    <row r="43" spans="1:4" ht="30" customHeight="1" x14ac:dyDescent="0.2">
      <c r="A43" s="865" t="s">
        <v>852</v>
      </c>
      <c r="B43" s="866">
        <v>382500</v>
      </c>
      <c r="C43" s="866">
        <v>0</v>
      </c>
      <c r="D43" s="866">
        <v>0</v>
      </c>
    </row>
    <row r="44" spans="1:4" ht="30" customHeight="1" x14ac:dyDescent="0.2">
      <c r="A44" s="867" t="s">
        <v>853</v>
      </c>
      <c r="B44" s="868">
        <v>896500</v>
      </c>
      <c r="C44" s="868">
        <v>0</v>
      </c>
      <c r="D44" s="868">
        <v>0</v>
      </c>
    </row>
    <row r="45" spans="1:4" ht="30" customHeight="1" x14ac:dyDescent="0.2">
      <c r="A45" s="865" t="s">
        <v>854</v>
      </c>
      <c r="B45" s="866">
        <v>843420</v>
      </c>
      <c r="C45" s="866">
        <v>0</v>
      </c>
      <c r="D45" s="866">
        <v>819420</v>
      </c>
    </row>
    <row r="46" spans="1:4" ht="30" customHeight="1" x14ac:dyDescent="0.2">
      <c r="A46" s="865" t="s">
        <v>855</v>
      </c>
      <c r="B46" s="866">
        <v>0</v>
      </c>
      <c r="C46" s="866">
        <v>0</v>
      </c>
      <c r="D46" s="866">
        <v>0</v>
      </c>
    </row>
    <row r="47" spans="1:4" ht="30" customHeight="1" x14ac:dyDescent="0.2">
      <c r="A47" s="865" t="s">
        <v>856</v>
      </c>
      <c r="B47" s="866">
        <v>843420</v>
      </c>
      <c r="C47" s="866">
        <v>0</v>
      </c>
      <c r="D47" s="866">
        <v>819420</v>
      </c>
    </row>
    <row r="48" spans="1:4" ht="30" customHeight="1" x14ac:dyDescent="0.2">
      <c r="A48" s="865" t="s">
        <v>857</v>
      </c>
      <c r="B48" s="866">
        <v>20000</v>
      </c>
      <c r="C48" s="866">
        <v>0</v>
      </c>
      <c r="D48" s="866">
        <v>10000</v>
      </c>
    </row>
    <row r="49" spans="1:4" ht="30" customHeight="1" x14ac:dyDescent="0.2">
      <c r="A49" s="865" t="s">
        <v>858</v>
      </c>
      <c r="B49" s="866">
        <v>10834187</v>
      </c>
      <c r="C49" s="866">
        <v>0</v>
      </c>
      <c r="D49" s="866">
        <v>10834187</v>
      </c>
    </row>
    <row r="50" spans="1:4" ht="30" customHeight="1" x14ac:dyDescent="0.2">
      <c r="A50" s="867" t="s">
        <v>859</v>
      </c>
      <c r="B50" s="868">
        <v>11697607</v>
      </c>
      <c r="C50" s="868">
        <v>0</v>
      </c>
      <c r="D50" s="868">
        <v>11663607</v>
      </c>
    </row>
    <row r="51" spans="1:4" ht="30" customHeight="1" x14ac:dyDescent="0.2">
      <c r="A51" s="867" t="s">
        <v>860</v>
      </c>
      <c r="B51" s="868">
        <v>14273887</v>
      </c>
      <c r="C51" s="868">
        <v>0</v>
      </c>
      <c r="D51" s="868">
        <v>15665867</v>
      </c>
    </row>
    <row r="52" spans="1:4" ht="30" customHeight="1" x14ac:dyDescent="0.2">
      <c r="A52" s="865" t="s">
        <v>861</v>
      </c>
      <c r="B52" s="866">
        <v>0</v>
      </c>
      <c r="C52" s="866">
        <v>0</v>
      </c>
      <c r="D52" s="866">
        <v>503000</v>
      </c>
    </row>
    <row r="53" spans="1:4" ht="38.25" x14ac:dyDescent="0.2">
      <c r="A53" s="867" t="s">
        <v>862</v>
      </c>
      <c r="B53" s="868">
        <v>0</v>
      </c>
      <c r="C53" s="868">
        <v>0</v>
      </c>
      <c r="D53" s="868">
        <v>503000</v>
      </c>
    </row>
    <row r="54" spans="1:4" ht="30" customHeight="1" x14ac:dyDescent="0.2">
      <c r="A54" s="867" t="s">
        <v>863</v>
      </c>
      <c r="B54" s="868">
        <v>0</v>
      </c>
      <c r="C54" s="868">
        <v>0</v>
      </c>
      <c r="D54" s="868">
        <v>503000</v>
      </c>
    </row>
    <row r="55" spans="1:4" ht="30" customHeight="1" x14ac:dyDescent="0.2">
      <c r="A55" s="867" t="s">
        <v>864</v>
      </c>
      <c r="B55" s="868">
        <v>1314241212</v>
      </c>
      <c r="C55" s="868">
        <v>0</v>
      </c>
      <c r="D55" s="868">
        <v>1330183188</v>
      </c>
    </row>
    <row r="56" spans="1:4" ht="30" customHeight="1" x14ac:dyDescent="0.2">
      <c r="A56" s="865" t="s">
        <v>865</v>
      </c>
      <c r="B56" s="866">
        <v>649676000</v>
      </c>
      <c r="C56" s="866">
        <v>0</v>
      </c>
      <c r="D56" s="866">
        <v>649676000</v>
      </c>
    </row>
    <row r="57" spans="1:4" ht="30" customHeight="1" x14ac:dyDescent="0.2">
      <c r="A57" s="865" t="s">
        <v>866</v>
      </c>
      <c r="B57" s="866">
        <v>10834187</v>
      </c>
      <c r="C57" s="866">
        <v>0</v>
      </c>
      <c r="D57" s="866">
        <v>10834187</v>
      </c>
    </row>
    <row r="58" spans="1:4" ht="30" customHeight="1" x14ac:dyDescent="0.2">
      <c r="A58" s="865" t="s">
        <v>885</v>
      </c>
      <c r="B58" s="866">
        <v>6812430</v>
      </c>
      <c r="C58" s="866">
        <v>0</v>
      </c>
      <c r="D58" s="866">
        <v>6812430</v>
      </c>
    </row>
    <row r="59" spans="1:4" ht="30" customHeight="1" x14ac:dyDescent="0.2">
      <c r="A59" s="865" t="s">
        <v>867</v>
      </c>
      <c r="B59" s="866">
        <v>575963975</v>
      </c>
      <c r="C59" s="866">
        <v>0</v>
      </c>
      <c r="D59" s="866">
        <v>629041370</v>
      </c>
    </row>
    <row r="60" spans="1:4" ht="30" customHeight="1" x14ac:dyDescent="0.2">
      <c r="A60" s="865" t="s">
        <v>868</v>
      </c>
      <c r="B60" s="866">
        <v>53077395</v>
      </c>
      <c r="C60" s="866">
        <v>0</v>
      </c>
      <c r="D60" s="866">
        <v>15250900</v>
      </c>
    </row>
    <row r="61" spans="1:4" ht="30" customHeight="1" x14ac:dyDescent="0.2">
      <c r="A61" s="867" t="s">
        <v>869</v>
      </c>
      <c r="B61" s="868">
        <v>1296363987</v>
      </c>
      <c r="C61" s="868">
        <v>0</v>
      </c>
      <c r="D61" s="868">
        <v>1311617887</v>
      </c>
    </row>
    <row r="62" spans="1:4" ht="30" customHeight="1" x14ac:dyDescent="0.2">
      <c r="A62" s="865" t="s">
        <v>870</v>
      </c>
      <c r="B62" s="866">
        <v>84852</v>
      </c>
      <c r="C62" s="866">
        <v>0</v>
      </c>
      <c r="D62" s="866">
        <v>0</v>
      </c>
    </row>
    <row r="63" spans="1:4" ht="30" customHeight="1" x14ac:dyDescent="0.2">
      <c r="A63" s="867" t="s">
        <v>871</v>
      </c>
      <c r="B63" s="868">
        <v>84852</v>
      </c>
      <c r="C63" s="868">
        <v>0</v>
      </c>
      <c r="D63" s="868">
        <v>0</v>
      </c>
    </row>
    <row r="64" spans="1:4" ht="30" customHeight="1" x14ac:dyDescent="0.2">
      <c r="A64" s="865" t="s">
        <v>872</v>
      </c>
      <c r="B64" s="866">
        <v>94335</v>
      </c>
      <c r="C64" s="866">
        <v>0</v>
      </c>
      <c r="D64" s="866">
        <v>28528</v>
      </c>
    </row>
    <row r="65" spans="1:4" ht="30" customHeight="1" x14ac:dyDescent="0.2">
      <c r="A65" s="865" t="s">
        <v>873</v>
      </c>
      <c r="B65" s="866">
        <v>299382</v>
      </c>
      <c r="C65" s="866">
        <v>0</v>
      </c>
      <c r="D65" s="866">
        <v>630492</v>
      </c>
    </row>
    <row r="66" spans="1:4" ht="30" customHeight="1" x14ac:dyDescent="0.2">
      <c r="A66" s="865" t="s">
        <v>874</v>
      </c>
      <c r="B66" s="866">
        <v>1578635</v>
      </c>
      <c r="C66" s="866">
        <v>0</v>
      </c>
      <c r="D66" s="866">
        <v>524833</v>
      </c>
    </row>
    <row r="67" spans="1:4" ht="30" customHeight="1" x14ac:dyDescent="0.2">
      <c r="A67" s="865" t="s">
        <v>875</v>
      </c>
      <c r="B67" s="866">
        <v>1415167</v>
      </c>
      <c r="C67" s="866">
        <v>0</v>
      </c>
      <c r="D67" s="866">
        <v>105659</v>
      </c>
    </row>
    <row r="68" spans="1:4" ht="30" customHeight="1" x14ac:dyDescent="0.2">
      <c r="A68" s="867" t="s">
        <v>876</v>
      </c>
      <c r="B68" s="868">
        <v>3088737</v>
      </c>
      <c r="C68" s="868">
        <v>0</v>
      </c>
      <c r="D68" s="868">
        <v>659020</v>
      </c>
    </row>
    <row r="69" spans="1:4" ht="30" customHeight="1" x14ac:dyDescent="0.2">
      <c r="A69" s="865" t="s">
        <v>877</v>
      </c>
      <c r="B69" s="866">
        <v>4288720</v>
      </c>
      <c r="C69" s="866">
        <v>0</v>
      </c>
      <c r="D69" s="866">
        <v>3789519</v>
      </c>
    </row>
    <row r="70" spans="1:4" ht="30" customHeight="1" x14ac:dyDescent="0.2">
      <c r="A70" s="865" t="s">
        <v>878</v>
      </c>
      <c r="B70" s="866">
        <v>83844</v>
      </c>
      <c r="C70" s="866">
        <v>0</v>
      </c>
      <c r="D70" s="866">
        <v>375826</v>
      </c>
    </row>
    <row r="71" spans="1:4" ht="30" customHeight="1" x14ac:dyDescent="0.2">
      <c r="A71" s="867" t="s">
        <v>879</v>
      </c>
      <c r="B71" s="868">
        <v>4372564</v>
      </c>
      <c r="C71" s="868">
        <v>0</v>
      </c>
      <c r="D71" s="868">
        <v>4165345</v>
      </c>
    </row>
    <row r="72" spans="1:4" ht="30" customHeight="1" x14ac:dyDescent="0.2">
      <c r="A72" s="867" t="s">
        <v>880</v>
      </c>
      <c r="B72" s="868">
        <v>7546153</v>
      </c>
      <c r="C72" s="868">
        <v>0</v>
      </c>
      <c r="D72" s="868">
        <v>4824365</v>
      </c>
    </row>
    <row r="73" spans="1:4" ht="30" customHeight="1" x14ac:dyDescent="0.2">
      <c r="A73" s="865" t="s">
        <v>881</v>
      </c>
      <c r="B73" s="866">
        <v>161976</v>
      </c>
      <c r="C73" s="866">
        <v>0</v>
      </c>
      <c r="D73" s="866">
        <v>3574840</v>
      </c>
    </row>
    <row r="74" spans="1:4" ht="30" customHeight="1" x14ac:dyDescent="0.2">
      <c r="A74" s="865" t="s">
        <v>882</v>
      </c>
      <c r="B74" s="866">
        <v>10169096</v>
      </c>
      <c r="C74" s="866">
        <v>0</v>
      </c>
      <c r="D74" s="866">
        <v>10169096</v>
      </c>
    </row>
    <row r="75" spans="1:4" ht="30" customHeight="1" x14ac:dyDescent="0.2">
      <c r="A75" s="867" t="s">
        <v>883</v>
      </c>
      <c r="B75" s="868">
        <v>10331072</v>
      </c>
      <c r="C75" s="868">
        <v>0</v>
      </c>
      <c r="D75" s="868">
        <v>13743936</v>
      </c>
    </row>
    <row r="76" spans="1:4" ht="30" customHeight="1" x14ac:dyDescent="0.2">
      <c r="A76" s="867" t="s">
        <v>884</v>
      </c>
      <c r="B76" s="868">
        <v>1314241212</v>
      </c>
      <c r="C76" s="868">
        <v>0</v>
      </c>
      <c r="D76" s="868">
        <v>1330183188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&amp;LLevél Közséi Önkomrányzat&amp;R19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>
    <tabColor theme="3" tint="0.79998168889431442"/>
  </sheetPr>
  <dimension ref="A1:R31"/>
  <sheetViews>
    <sheetView workbookViewId="0">
      <selection activeCell="Q25" sqref="Q25"/>
    </sheetView>
  </sheetViews>
  <sheetFormatPr defaultRowHeight="12.75" x14ac:dyDescent="0.2"/>
  <cols>
    <col min="1" max="1" width="5.140625" customWidth="1"/>
    <col min="2" max="2" width="51" customWidth="1"/>
    <col min="3" max="5" width="0" hidden="1" customWidth="1"/>
    <col min="6" max="8" width="17.85546875" customWidth="1"/>
    <col min="9" max="10" width="8.5703125" customWidth="1"/>
    <col min="11" max="11" width="43" customWidth="1"/>
    <col min="12" max="13" width="0" hidden="1" customWidth="1"/>
    <col min="14" max="14" width="11.28515625" hidden="1" customWidth="1"/>
    <col min="15" max="17" width="16.42578125" customWidth="1"/>
    <col min="18" max="18" width="11.28515625" customWidth="1"/>
  </cols>
  <sheetData>
    <row r="1" spans="1:18" ht="20.100000000000001" customHeight="1" x14ac:dyDescent="0.2">
      <c r="A1" s="887"/>
      <c r="B1" s="892" t="s">
        <v>97</v>
      </c>
      <c r="C1" s="886" t="s">
        <v>53</v>
      </c>
      <c r="D1" s="886"/>
      <c r="E1" s="886"/>
      <c r="F1" s="250"/>
      <c r="G1" s="250"/>
      <c r="H1" s="250"/>
      <c r="I1" s="252" t="s">
        <v>133</v>
      </c>
      <c r="J1" s="888"/>
      <c r="K1" s="889" t="s">
        <v>67</v>
      </c>
      <c r="L1" s="886" t="s">
        <v>53</v>
      </c>
      <c r="M1" s="886"/>
      <c r="N1" s="886"/>
      <c r="O1" s="250"/>
      <c r="P1" s="250"/>
      <c r="Q1" s="250"/>
      <c r="R1" s="253" t="s">
        <v>133</v>
      </c>
    </row>
    <row r="2" spans="1:18" ht="15" customHeight="1" x14ac:dyDescent="0.2">
      <c r="A2" s="887"/>
      <c r="B2" s="892"/>
      <c r="C2" s="886" t="s">
        <v>264</v>
      </c>
      <c r="D2" s="886"/>
      <c r="E2" s="886" t="s">
        <v>442</v>
      </c>
      <c r="F2" s="796" t="s">
        <v>726</v>
      </c>
      <c r="G2" s="796" t="s">
        <v>726</v>
      </c>
      <c r="H2" s="796" t="s">
        <v>726</v>
      </c>
      <c r="I2" s="252" t="s">
        <v>443</v>
      </c>
      <c r="J2" s="888"/>
      <c r="K2" s="890"/>
      <c r="L2" s="886" t="s">
        <v>264</v>
      </c>
      <c r="M2" s="886"/>
      <c r="N2" s="886" t="s">
        <v>442</v>
      </c>
      <c r="O2" s="796" t="s">
        <v>726</v>
      </c>
      <c r="P2" s="796" t="s">
        <v>726</v>
      </c>
      <c r="Q2" s="796" t="s">
        <v>726</v>
      </c>
      <c r="R2" s="254" t="s">
        <v>136</v>
      </c>
    </row>
    <row r="3" spans="1:18" ht="51" customHeight="1" x14ac:dyDescent="0.2">
      <c r="A3" s="887"/>
      <c r="B3" s="892"/>
      <c r="C3" s="247" t="s">
        <v>300</v>
      </c>
      <c r="D3" s="247" t="s">
        <v>441</v>
      </c>
      <c r="E3" s="886"/>
      <c r="F3" s="251" t="s">
        <v>74</v>
      </c>
      <c r="G3" s="843" t="s">
        <v>742</v>
      </c>
      <c r="H3" s="843" t="s">
        <v>764</v>
      </c>
      <c r="I3" s="252" t="s">
        <v>137</v>
      </c>
      <c r="J3" s="888"/>
      <c r="K3" s="891"/>
      <c r="L3" s="247" t="s">
        <v>300</v>
      </c>
      <c r="M3" s="247" t="s">
        <v>441</v>
      </c>
      <c r="N3" s="886"/>
      <c r="O3" s="251" t="s">
        <v>74</v>
      </c>
      <c r="P3" s="843" t="s">
        <v>742</v>
      </c>
      <c r="Q3" s="843" t="s">
        <v>764</v>
      </c>
      <c r="R3" s="255" t="s">
        <v>137</v>
      </c>
    </row>
    <row r="4" spans="1:18" ht="20.100000000000001" customHeight="1" x14ac:dyDescent="0.2">
      <c r="A4" s="262" t="s">
        <v>329</v>
      </c>
      <c r="B4" s="83" t="s">
        <v>322</v>
      </c>
      <c r="C4" s="120">
        <f>SUM('Ktvetési mérleg'!C3)</f>
        <v>0</v>
      </c>
      <c r="D4" s="120">
        <f>SUM('Ktvetési mérleg'!D3)</f>
        <v>0</v>
      </c>
      <c r="E4" s="120">
        <f>SUM('Ktvetési mérleg'!E3)</f>
        <v>0</v>
      </c>
      <c r="F4" s="295">
        <f>SUM('Ktvetési mérleg'!F3)</f>
        <v>54861068</v>
      </c>
      <c r="G4" s="295">
        <f>'Bevétel össz.'!L9</f>
        <v>55699940</v>
      </c>
      <c r="H4" s="295">
        <f>'Bevétel össz.'!R9</f>
        <v>59199501</v>
      </c>
      <c r="I4" s="136"/>
      <c r="J4" s="76" t="s">
        <v>170</v>
      </c>
      <c r="K4" s="151" t="s">
        <v>2</v>
      </c>
      <c r="L4" s="293" t="e">
        <f>SUM('Ktvetési mérleg'!K3)</f>
        <v>#REF!</v>
      </c>
      <c r="M4" s="293" t="e">
        <f>SUM('Ktvetési mérleg'!L3)</f>
        <v>#REF!</v>
      </c>
      <c r="N4" s="293" t="e">
        <f>SUM('Ktvetési mérleg'!M3)</f>
        <v>#REF!</v>
      </c>
      <c r="O4" s="680">
        <f>SUM('Ktvetési mérleg'!N3)</f>
        <v>76999735</v>
      </c>
      <c r="P4" s="680">
        <f>'Kiadás ktgvszervenként'!V6</f>
        <v>77268436</v>
      </c>
      <c r="Q4" s="680">
        <f>'Kiadás ktgvszervenként'!W6</f>
        <v>85925465</v>
      </c>
      <c r="R4" s="293"/>
    </row>
    <row r="5" spans="1:18" ht="20.100000000000001" customHeight="1" x14ac:dyDescent="0.2">
      <c r="A5" s="262" t="s">
        <v>330</v>
      </c>
      <c r="B5" s="83" t="s">
        <v>416</v>
      </c>
      <c r="C5" s="120">
        <f>SUM('Ktvetési mérleg'!C4)</f>
        <v>0</v>
      </c>
      <c r="D5" s="120">
        <f>SUM('Ktvetési mérleg'!D4)</f>
        <v>0</v>
      </c>
      <c r="E5" s="120">
        <f>SUM('Ktvetési mérleg'!E4)</f>
        <v>0</v>
      </c>
      <c r="F5" s="301">
        <f>SUM('Ktvetési mérleg'!F4)</f>
        <v>19117600</v>
      </c>
      <c r="G5" s="301">
        <f>'Bevétel össz.'!L14</f>
        <v>19117600</v>
      </c>
      <c r="H5" s="301">
        <f>'Bevétel össz.'!R14</f>
        <v>24478014</v>
      </c>
      <c r="I5" s="137"/>
      <c r="J5" s="76" t="s">
        <v>175</v>
      </c>
      <c r="K5" s="151" t="s">
        <v>58</v>
      </c>
      <c r="L5" s="293" t="e">
        <f>SUM('Ktvetési mérleg'!K4)</f>
        <v>#REF!</v>
      </c>
      <c r="M5" s="293" t="e">
        <f>SUM('Ktvetési mérleg'!L4)</f>
        <v>#REF!</v>
      </c>
      <c r="N5" s="293" t="e">
        <f>SUM('Ktvetési mérleg'!M4)</f>
        <v>#REF!</v>
      </c>
      <c r="O5" s="680">
        <f>SUM('Ktvetési mérleg'!N4)</f>
        <v>15734031</v>
      </c>
      <c r="P5" s="680">
        <f>'Kiadás ktgvszervenként'!V7</f>
        <v>15787642</v>
      </c>
      <c r="Q5" s="680">
        <f>'Kiadás ktgvszervenként'!W7</f>
        <v>17127901</v>
      </c>
      <c r="R5" s="293"/>
    </row>
    <row r="6" spans="1:18" ht="20.100000000000001" customHeight="1" x14ac:dyDescent="0.2">
      <c r="A6" s="282" t="s">
        <v>321</v>
      </c>
      <c r="B6" s="153" t="s">
        <v>431</v>
      </c>
      <c r="C6" s="297">
        <f t="shared" ref="C6:H6" si="0">SUM(C4:C5)</f>
        <v>0</v>
      </c>
      <c r="D6" s="297">
        <f t="shared" si="0"/>
        <v>0</v>
      </c>
      <c r="E6" s="297">
        <f t="shared" si="0"/>
        <v>0</v>
      </c>
      <c r="F6" s="678">
        <f t="shared" si="0"/>
        <v>73978668</v>
      </c>
      <c r="G6" s="678">
        <f t="shared" si="0"/>
        <v>74817540</v>
      </c>
      <c r="H6" s="678">
        <f t="shared" si="0"/>
        <v>83677515</v>
      </c>
      <c r="I6" s="283"/>
      <c r="J6" s="76" t="s">
        <v>235</v>
      </c>
      <c r="K6" s="151" t="s">
        <v>3</v>
      </c>
      <c r="L6" s="293" t="e">
        <f>SUM('Ktvetési mérleg'!K5)</f>
        <v>#REF!</v>
      </c>
      <c r="M6" s="293" t="e">
        <f>SUM('Ktvetési mérleg'!L5)</f>
        <v>#REF!</v>
      </c>
      <c r="N6" s="293" t="e">
        <f>SUM('Ktvetési mérleg'!M5)</f>
        <v>#REF!</v>
      </c>
      <c r="O6" s="680">
        <f>SUM('Ktvetési mérleg'!N5)</f>
        <v>84136650</v>
      </c>
      <c r="P6" s="680">
        <f>'Kiadás ktgvszervenként'!V8</f>
        <v>84764650</v>
      </c>
      <c r="Q6" s="680">
        <f>'Kiadás ktgvszervenként'!W8</f>
        <v>90211968</v>
      </c>
      <c r="R6" s="293"/>
    </row>
    <row r="7" spans="1:18" ht="20.100000000000001" customHeight="1" x14ac:dyDescent="0.2">
      <c r="A7" s="284"/>
      <c r="B7" s="153"/>
      <c r="C7" s="297"/>
      <c r="D7" s="297"/>
      <c r="E7" s="297"/>
      <c r="F7" s="678"/>
      <c r="G7" s="678"/>
      <c r="H7" s="678"/>
      <c r="I7" s="283"/>
      <c r="J7" s="76" t="s">
        <v>267</v>
      </c>
      <c r="K7" s="151" t="s">
        <v>4</v>
      </c>
      <c r="L7" s="293" t="e">
        <f>SUM('Ktvetési mérleg'!K6)</f>
        <v>#REF!</v>
      </c>
      <c r="M7" s="293" t="e">
        <f>SUM('Ktvetési mérleg'!L6)</f>
        <v>#REF!</v>
      </c>
      <c r="N7" s="293" t="e">
        <f>SUM('Ktvetési mérleg'!M6)</f>
        <v>#REF!</v>
      </c>
      <c r="O7" s="680">
        <f>SUM('Ktvetési mérleg'!N6)</f>
        <v>4736800</v>
      </c>
      <c r="P7" s="680">
        <f>'Kiadás ktgvszervenként'!U9</f>
        <v>4736800</v>
      </c>
      <c r="Q7" s="680">
        <f>'Kiadás ktgvszervenként'!W9</f>
        <v>7236521</v>
      </c>
      <c r="R7" s="293"/>
    </row>
    <row r="8" spans="1:18" ht="20.100000000000001" customHeight="1" x14ac:dyDescent="0.2">
      <c r="A8" s="284" t="s">
        <v>347</v>
      </c>
      <c r="B8" s="153" t="s">
        <v>419</v>
      </c>
      <c r="C8" s="297" t="e">
        <f>SUM('Ktvetési mérleg'!C18)</f>
        <v>#REF!</v>
      </c>
      <c r="D8" s="297" t="e">
        <f>SUM('Ktvetési mérleg'!D18)</f>
        <v>#REF!</v>
      </c>
      <c r="E8" s="297" t="e">
        <f>SUM('Ktvetési mérleg'!E18)</f>
        <v>#REF!</v>
      </c>
      <c r="F8" s="678">
        <f>'Bevétel össz.'!K30</f>
        <v>160915000</v>
      </c>
      <c r="G8" s="678">
        <f>'Bevétel össz.'!L30</f>
        <v>160915000</v>
      </c>
      <c r="H8" s="678">
        <f>'Bevétel össz.'!R30</f>
        <v>160915000</v>
      </c>
      <c r="I8" s="678">
        <f>'Bevétel össz.'!N30</f>
        <v>0</v>
      </c>
      <c r="J8" s="602" t="s">
        <v>606</v>
      </c>
      <c r="K8" s="603" t="s">
        <v>269</v>
      </c>
      <c r="L8" s="681"/>
      <c r="M8" s="681"/>
      <c r="N8" s="681"/>
      <c r="O8" s="682">
        <f>SUM('Ktvetési mérleg'!N7)</f>
        <v>10555551</v>
      </c>
      <c r="P8" s="682">
        <f>'Kiadás ktgvszervenként'!V10</f>
        <v>10555551</v>
      </c>
      <c r="Q8" s="682">
        <f>'Kiadás ktgvszervenként'!W10</f>
        <v>10555551</v>
      </c>
      <c r="R8" s="681"/>
    </row>
    <row r="9" spans="1:18" ht="20.100000000000001" customHeight="1" x14ac:dyDescent="0.2">
      <c r="A9" s="282" t="s">
        <v>349</v>
      </c>
      <c r="B9" s="153" t="s">
        <v>112</v>
      </c>
      <c r="C9" s="297" t="e">
        <f>SUM('Ktvetési mérleg'!C18)</f>
        <v>#REF!</v>
      </c>
      <c r="D9" s="297" t="e">
        <f>SUM('Ktvetési mérleg'!D18)</f>
        <v>#REF!</v>
      </c>
      <c r="E9" s="297" t="e">
        <f>SUM('Ktvetési mérleg'!E18)</f>
        <v>#REF!</v>
      </c>
      <c r="F9" s="678">
        <f>SUM('Ktvetési mérleg'!F18)</f>
        <v>15537484</v>
      </c>
      <c r="G9" s="678">
        <f>'Bevétel össz.'!L40</f>
        <v>15537484</v>
      </c>
      <c r="H9" s="678">
        <f>'Bevétel össz.'!R40</f>
        <v>16946032</v>
      </c>
      <c r="I9" s="283"/>
      <c r="J9" s="265" t="s">
        <v>270</v>
      </c>
      <c r="K9" s="83" t="s">
        <v>306</v>
      </c>
      <c r="L9" s="294" t="e">
        <f>SUM('Ktvetési mérleg'!K7)</f>
        <v>#REF!</v>
      </c>
      <c r="M9" s="294" t="e">
        <f>SUM('Ktvetési mérleg'!L7)</f>
        <v>#REF!</v>
      </c>
      <c r="N9" s="294" t="e">
        <f>SUM('Ktvetési mérleg'!M7)</f>
        <v>#REF!</v>
      </c>
      <c r="O9" s="296">
        <f>SUM('Ktvetési mérleg'!N8)</f>
        <v>15567267</v>
      </c>
      <c r="P9" s="682">
        <f>'Kiadás ktgvszervenként'!V11</f>
        <v>15577267</v>
      </c>
      <c r="Q9" s="682">
        <f>'Kiadás ktgvszervenként'!W11</f>
        <v>17440719</v>
      </c>
      <c r="R9" s="137">
        <f>SUM(Önkormányzat!J65)</f>
        <v>0</v>
      </c>
    </row>
    <row r="10" spans="1:18" ht="20.100000000000001" customHeight="1" x14ac:dyDescent="0.2">
      <c r="A10" s="263" t="s">
        <v>372</v>
      </c>
      <c r="B10" s="83" t="s">
        <v>432</v>
      </c>
      <c r="C10" s="122">
        <f>SUM('Ktvetési mérleg'!C20)</f>
        <v>0</v>
      </c>
      <c r="D10" s="122">
        <f>SUM('Ktvetési mérleg'!D20)</f>
        <v>0</v>
      </c>
      <c r="E10" s="122">
        <f>SUM('Ktvetési mérleg'!E20)</f>
        <v>0</v>
      </c>
      <c r="F10" s="679">
        <f>SUM('Ktvetési mérleg'!F20)</f>
        <v>0</v>
      </c>
      <c r="G10" s="679"/>
      <c r="H10" s="679"/>
      <c r="I10" s="137"/>
      <c r="J10" s="178" t="s">
        <v>272</v>
      </c>
      <c r="K10" s="83" t="s">
        <v>423</v>
      </c>
      <c r="L10" s="294" t="e">
        <f>SUM('Ktvetési mérleg'!K8)</f>
        <v>#REF!</v>
      </c>
      <c r="M10" s="294" t="e">
        <f>SUM('Ktvetési mérleg'!L8)</f>
        <v>#REF!</v>
      </c>
      <c r="N10" s="294" t="e">
        <f>SUM('Ktvetési mérleg'!M8)</f>
        <v>#REF!</v>
      </c>
      <c r="O10" s="296">
        <f>SUM('Ktvetési mérleg'!N9)</f>
        <v>0</v>
      </c>
      <c r="P10" s="682">
        <f>'Kiadás ktgvszervenként'!V12</f>
        <v>75072</v>
      </c>
      <c r="Q10" s="682">
        <f>'Kiadás ktgvszervenként'!W12</f>
        <v>75072</v>
      </c>
      <c r="R10" s="137">
        <f>SUM(Önkormányzat!J66)</f>
        <v>0</v>
      </c>
    </row>
    <row r="11" spans="1:18" ht="20.100000000000001" customHeight="1" x14ac:dyDescent="0.2">
      <c r="A11" s="263" t="s">
        <v>374</v>
      </c>
      <c r="B11" s="83" t="s">
        <v>433</v>
      </c>
      <c r="C11" s="122">
        <f>SUM('Ktvetési mérleg'!C21)</f>
        <v>0</v>
      </c>
      <c r="D11" s="122">
        <f>SUM('Ktvetési mérleg'!D21)</f>
        <v>0</v>
      </c>
      <c r="E11" s="122">
        <f>SUM('Ktvetési mérleg'!E21)</f>
        <v>0</v>
      </c>
      <c r="F11" s="298">
        <f>SUM('Ktvetési mérleg'!F21)</f>
        <v>0</v>
      </c>
      <c r="G11" s="298"/>
      <c r="H11" s="298"/>
      <c r="I11" s="137"/>
      <c r="J11" s="178" t="s">
        <v>274</v>
      </c>
      <c r="K11" s="83" t="s">
        <v>308</v>
      </c>
      <c r="L11" s="294" t="e">
        <f>SUM('Ktvetési mérleg'!K9)</f>
        <v>#REF!</v>
      </c>
      <c r="M11" s="294" t="e">
        <f>SUM('Ktvetési mérleg'!L9)</f>
        <v>#REF!</v>
      </c>
      <c r="N11" s="294" t="e">
        <f>SUM('Ktvetési mérleg'!M9)</f>
        <v>#REF!</v>
      </c>
      <c r="O11" s="296">
        <f>SUM('Ktvetési mérleg'!N10)</f>
        <v>13569268</v>
      </c>
      <c r="P11" s="682">
        <f>'Kiadás ktgvszervenként'!V13</f>
        <v>13664518</v>
      </c>
      <c r="Q11" s="682">
        <f>'Kiadás ktgvszervenként'!W13</f>
        <v>17017445</v>
      </c>
      <c r="R11" s="137">
        <f>SUM(Önkormányzat!J67)</f>
        <v>0</v>
      </c>
    </row>
    <row r="12" spans="1:18" ht="20.100000000000001" customHeight="1" x14ac:dyDescent="0.2">
      <c r="A12" s="285" t="s">
        <v>376</v>
      </c>
      <c r="B12" s="153" t="s">
        <v>434</v>
      </c>
      <c r="C12" s="297">
        <f>SUM(C10:C11)</f>
        <v>0</v>
      </c>
      <c r="D12" s="297">
        <f>SUM(D10:D11)</f>
        <v>0</v>
      </c>
      <c r="E12" s="297">
        <f>SUM(E10:E11)</f>
        <v>0</v>
      </c>
      <c r="F12" s="678">
        <f>SUM(F10:F11)</f>
        <v>0</v>
      </c>
      <c r="G12" s="678"/>
      <c r="H12" s="678"/>
      <c r="I12" s="283"/>
      <c r="J12" s="76" t="s">
        <v>278</v>
      </c>
      <c r="K12" s="151" t="s">
        <v>426</v>
      </c>
      <c r="L12" s="297" t="e">
        <f>SUM(L9:L11)</f>
        <v>#REF!</v>
      </c>
      <c r="M12" s="297" t="e">
        <f>SUM(M9:M11)</f>
        <v>#REF!</v>
      </c>
      <c r="N12" s="297" t="e">
        <f>SUM(N9:N11)</f>
        <v>#REF!</v>
      </c>
      <c r="O12" s="298">
        <f>SUM(O8:O11)</f>
        <v>39692086</v>
      </c>
      <c r="P12" s="298">
        <f>P8+P9+P10+P11</f>
        <v>39872408</v>
      </c>
      <c r="Q12" s="298">
        <f>Q8+Q9+Q10+Q11</f>
        <v>45088787</v>
      </c>
      <c r="R12" s="297">
        <f>SUM(R9:R11)</f>
        <v>0</v>
      </c>
    </row>
    <row r="13" spans="1:18" ht="20.100000000000001" customHeight="1" x14ac:dyDescent="0.2">
      <c r="A13" s="263"/>
      <c r="B13" s="288" t="s">
        <v>121</v>
      </c>
      <c r="C13" s="123"/>
      <c r="D13" s="123"/>
      <c r="E13" s="123"/>
      <c r="F13" s="299"/>
      <c r="G13" s="299"/>
      <c r="H13" s="299"/>
      <c r="I13" s="138"/>
      <c r="J13" s="5" t="s">
        <v>276</v>
      </c>
      <c r="K13" s="83" t="s">
        <v>62</v>
      </c>
      <c r="L13" s="123" t="e">
        <f>SUM('Ktvetési mérleg'!K19)</f>
        <v>#REF!</v>
      </c>
      <c r="M13" s="123" t="e">
        <f>SUM('Ktvetési mérleg'!L19)</f>
        <v>#REF!</v>
      </c>
      <c r="N13" s="123" t="e">
        <f>SUM('Ktvetési mérleg'!M19)</f>
        <v>#REF!</v>
      </c>
      <c r="O13" s="678">
        <f>SUM('Ktvetési mérleg'!N19)</f>
        <v>99231341</v>
      </c>
      <c r="P13" s="678">
        <f>'Kiadás ktgvszervenként'!V21</f>
        <v>85626378</v>
      </c>
      <c r="Q13" s="678">
        <f>'Kiadás ktgvszervenként'!W21</f>
        <v>60729559</v>
      </c>
      <c r="R13" s="123">
        <f>SUM(Önkormányzat!J68)</f>
        <v>0</v>
      </c>
    </row>
    <row r="14" spans="1:18" ht="20.100000000000001" customHeight="1" x14ac:dyDescent="0.2">
      <c r="A14" s="263"/>
      <c r="B14" s="125" t="s">
        <v>446</v>
      </c>
      <c r="C14" s="122"/>
      <c r="D14" s="122"/>
      <c r="E14" s="122"/>
      <c r="F14" s="304"/>
      <c r="G14" s="304"/>
      <c r="H14" s="304"/>
      <c r="I14" s="137"/>
      <c r="J14" s="122"/>
      <c r="K14" s="124" t="s">
        <v>64</v>
      </c>
      <c r="L14" s="122"/>
      <c r="M14" s="122"/>
      <c r="N14" s="122"/>
      <c r="O14" s="249"/>
      <c r="P14" s="249"/>
      <c r="Q14" s="249"/>
      <c r="R14" s="137"/>
    </row>
    <row r="15" spans="1:18" ht="20.100000000000001" customHeight="1" thickBot="1" x14ac:dyDescent="0.25">
      <c r="A15" s="271"/>
      <c r="B15" s="286" t="s">
        <v>122</v>
      </c>
      <c r="C15" s="248">
        <f>SUM(C13:C14)</f>
        <v>0</v>
      </c>
      <c r="D15" s="248">
        <f>SUM(D13:D14)</f>
        <v>0</v>
      </c>
      <c r="E15" s="248">
        <f>SUM(E13:E14)</f>
        <v>0</v>
      </c>
      <c r="F15" s="299">
        <f>SUM(F13:F14)</f>
        <v>0</v>
      </c>
      <c r="G15" s="299"/>
      <c r="H15" s="299"/>
      <c r="I15" s="287">
        <f>SUM(I14:I14)</f>
        <v>0</v>
      </c>
      <c r="J15" s="248" t="s">
        <v>445</v>
      </c>
      <c r="K15" s="290" t="s">
        <v>123</v>
      </c>
      <c r="L15" s="248" t="e">
        <f t="shared" ref="L15:R15" si="1">SUM(L13:L14)</f>
        <v>#REF!</v>
      </c>
      <c r="M15" s="248" t="e">
        <f t="shared" si="1"/>
        <v>#REF!</v>
      </c>
      <c r="N15" s="248" t="e">
        <f t="shared" si="1"/>
        <v>#REF!</v>
      </c>
      <c r="O15" s="248">
        <f t="shared" si="1"/>
        <v>99231341</v>
      </c>
      <c r="P15" s="248">
        <f t="shared" si="1"/>
        <v>85626378</v>
      </c>
      <c r="Q15" s="248">
        <f t="shared" si="1"/>
        <v>60729559</v>
      </c>
      <c r="R15" s="248">
        <f t="shared" si="1"/>
        <v>0</v>
      </c>
    </row>
    <row r="16" spans="1:18" ht="20.100000000000001" customHeight="1" thickBot="1" x14ac:dyDescent="0.25">
      <c r="A16" s="271"/>
      <c r="B16" s="272" t="s">
        <v>124</v>
      </c>
      <c r="C16" s="279" t="e">
        <f>SUM(C6:C9,C12,C15)</f>
        <v>#REF!</v>
      </c>
      <c r="D16" s="279" t="e">
        <f>SUM(D6:D9,D12,D15)</f>
        <v>#REF!</v>
      </c>
      <c r="E16" s="279" t="e">
        <f>SUM(E6:E9,E12,E15)</f>
        <v>#REF!</v>
      </c>
      <c r="F16" s="305">
        <f>SUM(F6:F9,F12,F15)</f>
        <v>250431152</v>
      </c>
      <c r="G16" s="305">
        <f>G6+G9+G8</f>
        <v>251270024</v>
      </c>
      <c r="H16" s="305">
        <f>H6+H9+H8</f>
        <v>261538547</v>
      </c>
      <c r="I16" s="279">
        <f>SUM(I6:I9,I12,I15)</f>
        <v>0</v>
      </c>
      <c r="J16" s="280"/>
      <c r="K16" s="281" t="s">
        <v>125</v>
      </c>
      <c r="L16" s="279" t="e">
        <f>SUM(L4:L7,L12,L13:L14)</f>
        <v>#REF!</v>
      </c>
      <c r="M16" s="300" t="e">
        <f>SUM(M4:M7,M12,M13:M14)</f>
        <v>#REF!</v>
      </c>
      <c r="N16" s="279" t="e">
        <f>SUM(N4:N7,N12,N13:N14)</f>
        <v>#REF!</v>
      </c>
      <c r="O16" s="279">
        <f>SUM(O4:O7,O12,O13:O14)</f>
        <v>320530643</v>
      </c>
      <c r="P16" s="279">
        <f t="shared" ref="P16:R16" si="2">SUM(P4:P7,P12,P13:P14)</f>
        <v>308056314</v>
      </c>
      <c r="Q16" s="279">
        <f t="shared" si="2"/>
        <v>306320201</v>
      </c>
      <c r="R16" s="279">
        <f t="shared" si="2"/>
        <v>0</v>
      </c>
    </row>
    <row r="17" spans="1:18" ht="20.100000000000001" customHeight="1" thickBot="1" x14ac:dyDescent="0.25">
      <c r="A17" s="263"/>
      <c r="B17" s="260" t="s">
        <v>126</v>
      </c>
      <c r="C17" s="306" t="e">
        <f>IF(((L16-C16)&gt;0),L16-C16,"----")</f>
        <v>#REF!</v>
      </c>
      <c r="D17" s="306"/>
      <c r="E17" s="306" t="e">
        <f>IF(((N16-E16)&gt;0),N16-E16,"----")</f>
        <v>#REF!</v>
      </c>
      <c r="F17" s="307"/>
      <c r="G17" s="307"/>
      <c r="H17" s="307"/>
      <c r="I17" s="139"/>
      <c r="J17" s="267"/>
      <c r="K17" s="127" t="s">
        <v>127</v>
      </c>
      <c r="L17" s="126" t="e">
        <f>IF(((C16-L16)&gt;0),C16-L16,"----")</f>
        <v>#REF!</v>
      </c>
      <c r="M17" s="126"/>
      <c r="N17" s="126" t="e">
        <f>IF(((E16-N16)&gt;0),E16-N16,"----")</f>
        <v>#REF!</v>
      </c>
      <c r="O17" s="258"/>
      <c r="P17" s="840"/>
      <c r="Q17" s="840"/>
      <c r="R17" s="126"/>
    </row>
    <row r="18" spans="1:18" ht="20.100000000000001" customHeight="1" x14ac:dyDescent="0.2">
      <c r="A18" s="262" t="s">
        <v>334</v>
      </c>
      <c r="B18" s="83" t="s">
        <v>537</v>
      </c>
      <c r="C18" s="120">
        <f>SUM('Ktvetési mérleg'!C6)</f>
        <v>0</v>
      </c>
      <c r="D18" s="120">
        <f>SUM('Ktvetési mérleg'!D6)</f>
        <v>0</v>
      </c>
      <c r="E18" s="120">
        <f>SUM('Ktvetési mérleg'!E6)</f>
        <v>0</v>
      </c>
      <c r="F18" s="308">
        <f>SUM('Ktvetési mérleg'!F6)</f>
        <v>4104815</v>
      </c>
      <c r="G18" s="308">
        <f>'Bevétel össz.'!L16</f>
        <v>4104815</v>
      </c>
      <c r="H18" s="308">
        <f>'Bevétel össz.'!S16</f>
        <v>7593025</v>
      </c>
      <c r="I18" s="136"/>
      <c r="J18" s="76" t="s">
        <v>249</v>
      </c>
      <c r="K18" s="222" t="s">
        <v>5</v>
      </c>
      <c r="L18" s="293" t="e">
        <f>SUM('Ktvetési mérleg'!K13)</f>
        <v>#REF!</v>
      </c>
      <c r="M18" s="293" t="e">
        <f>SUM('Ktvetési mérleg'!L13)</f>
        <v>#REF!</v>
      </c>
      <c r="N18" s="293" t="e">
        <f>SUM('Ktvetési mérleg'!M13)</f>
        <v>#REF!</v>
      </c>
      <c r="O18" s="295">
        <f>SUM('Ktvetési mérleg'!N13)</f>
        <v>29690960</v>
      </c>
      <c r="P18" s="295">
        <f>'Kiadás ktgvszervenként'!V15</f>
        <v>42750161</v>
      </c>
      <c r="Q18" s="295">
        <f>'Kiadás ktgvszervenként'!W15</f>
        <v>40628282</v>
      </c>
      <c r="R18" s="289">
        <f>SUM(Önkormányzat!J70)</f>
        <v>0</v>
      </c>
    </row>
    <row r="19" spans="1:18" ht="20.100000000000001" customHeight="1" x14ac:dyDescent="0.2">
      <c r="A19" s="264" t="s">
        <v>332</v>
      </c>
      <c r="B19" s="83" t="s">
        <v>418</v>
      </c>
      <c r="C19" s="120">
        <f>SUM('Ktvetési mérleg'!C7)</f>
        <v>0</v>
      </c>
      <c r="D19" s="120">
        <f>SUM('Ktvetési mérleg'!D7)</f>
        <v>0</v>
      </c>
      <c r="E19" s="120">
        <f>SUM('Ktvetési mérleg'!E7)</f>
        <v>0</v>
      </c>
      <c r="F19" s="308">
        <f>SUM('Ktvetési mérleg'!F7)</f>
        <v>0</v>
      </c>
      <c r="G19" s="308"/>
      <c r="H19" s="308"/>
      <c r="I19" s="137"/>
      <c r="J19" s="76" t="s">
        <v>255</v>
      </c>
      <c r="K19" s="222" t="s">
        <v>65</v>
      </c>
      <c r="L19" s="293" t="e">
        <f>SUM('Ktvetési mérleg'!K14)</f>
        <v>#REF!</v>
      </c>
      <c r="M19" s="293" t="e">
        <f>SUM('Ktvetési mérleg'!L14)</f>
        <v>#REF!</v>
      </c>
      <c r="N19" s="293" t="e">
        <f>SUM('Ktvetési mérleg'!M14)</f>
        <v>#REF!</v>
      </c>
      <c r="O19" s="295">
        <f>SUM('Ktvetési mérleg'!N14)</f>
        <v>72211298</v>
      </c>
      <c r="P19" s="295">
        <f>'Kiadás ktgvszervenként'!V16</f>
        <v>72465298</v>
      </c>
      <c r="Q19" s="295">
        <f>'Kiadás ktgvszervenként'!W16</f>
        <v>80080023</v>
      </c>
      <c r="R19" s="289">
        <f>SUM(Önkormányzat!J71)</f>
        <v>0</v>
      </c>
    </row>
    <row r="20" spans="1:18" ht="20.100000000000001" customHeight="1" x14ac:dyDescent="0.2">
      <c r="A20" s="284" t="s">
        <v>333</v>
      </c>
      <c r="B20" s="153" t="s">
        <v>420</v>
      </c>
      <c r="C20" s="297">
        <f>SUM(C18:C19)</f>
        <v>0</v>
      </c>
      <c r="D20" s="297">
        <f>SUM(D18:D19)</f>
        <v>0</v>
      </c>
      <c r="E20" s="297">
        <f>SUM(E18:E19)</f>
        <v>0</v>
      </c>
      <c r="F20" s="678">
        <f>SUM(F18:F19)</f>
        <v>4104815</v>
      </c>
      <c r="G20" s="678">
        <f>G18</f>
        <v>4104815</v>
      </c>
      <c r="H20" s="678">
        <f>H18</f>
        <v>7593025</v>
      </c>
      <c r="I20" s="283"/>
      <c r="J20" s="5" t="s">
        <v>257</v>
      </c>
      <c r="K20" s="83" t="s">
        <v>313</v>
      </c>
      <c r="L20" s="294" t="e">
        <f>SUM('Ktvetési mérleg'!K15)</f>
        <v>#REF!</v>
      </c>
      <c r="M20" s="294" t="e">
        <f>SUM('Ktvetési mérleg'!L15)</f>
        <v>#REF!</v>
      </c>
      <c r="N20" s="294" t="e">
        <f>SUM('Ktvetési mérleg'!M15)</f>
        <v>#REF!</v>
      </c>
      <c r="O20" s="301">
        <f>SUM('Ktvetési mérleg'!N15)</f>
        <v>0</v>
      </c>
      <c r="P20" s="301"/>
      <c r="Q20" s="301"/>
      <c r="R20" s="137">
        <f>SUM(Önkormányzat!J72)</f>
        <v>0</v>
      </c>
    </row>
    <row r="21" spans="1:18" ht="20.100000000000001" customHeight="1" x14ac:dyDescent="0.2">
      <c r="A21" s="282" t="s">
        <v>421</v>
      </c>
      <c r="B21" s="153" t="s">
        <v>422</v>
      </c>
      <c r="C21" s="297">
        <f>SUM('Ktvetési mérleg'!C19)</f>
        <v>0</v>
      </c>
      <c r="D21" s="297">
        <f>SUM('Ktvetési mérleg'!D19)</f>
        <v>0</v>
      </c>
      <c r="E21" s="297">
        <f>SUM('Ktvetési mérleg'!E19)</f>
        <v>0</v>
      </c>
      <c r="F21" s="678">
        <f>SUM('Ktvetési mérleg'!F19)</f>
        <v>0</v>
      </c>
      <c r="G21" s="678"/>
      <c r="H21" s="678"/>
      <c r="I21" s="283"/>
      <c r="J21" s="5" t="s">
        <v>258</v>
      </c>
      <c r="K21" s="83" t="s">
        <v>314</v>
      </c>
      <c r="L21" s="294" t="e">
        <f>SUM('Ktvetési mérleg'!K16)</f>
        <v>#REF!</v>
      </c>
      <c r="M21" s="294" t="e">
        <f>SUM('Ktvetési mérleg'!L16)</f>
        <v>#REF!</v>
      </c>
      <c r="N21" s="294" t="e">
        <f>SUM('Ktvetési mérleg'!M16)</f>
        <v>#REF!</v>
      </c>
      <c r="O21" s="301">
        <f>SUM('Ktvetési mérleg'!N16)</f>
        <v>0</v>
      </c>
      <c r="P21" s="301"/>
      <c r="Q21" s="301"/>
      <c r="R21" s="137">
        <f>SUM(Önkormányzat!J73)</f>
        <v>0</v>
      </c>
    </row>
    <row r="22" spans="1:18" ht="20.100000000000001" customHeight="1" x14ac:dyDescent="0.2">
      <c r="A22" s="263" t="s">
        <v>380</v>
      </c>
      <c r="B22" s="83" t="s">
        <v>381</v>
      </c>
      <c r="C22" s="122">
        <f>SUM('Ktvetési mérleg'!C23)</f>
        <v>0</v>
      </c>
      <c r="D22" s="122">
        <f>SUM('Ktvetési mérleg'!D23)</f>
        <v>0</v>
      </c>
      <c r="E22" s="122">
        <f>SUM('Ktvetési mérleg'!E23)</f>
        <v>0</v>
      </c>
      <c r="F22" s="304">
        <f>SUM('Ktvetési mérleg'!F23)</f>
        <v>382500</v>
      </c>
      <c r="G22" s="304">
        <f>'Bevétel össz.'!L47</f>
        <v>382500</v>
      </c>
      <c r="H22" s="304">
        <f>'Bevétel össz.'!M47</f>
        <v>382500</v>
      </c>
      <c r="I22" s="137"/>
      <c r="J22" s="5" t="s">
        <v>259</v>
      </c>
      <c r="K22" s="83" t="s">
        <v>315</v>
      </c>
      <c r="L22" s="294" t="e">
        <f>SUM('Ktvetési mérleg'!K17)</f>
        <v>#REF!</v>
      </c>
      <c r="M22" s="294" t="e">
        <f>SUM('Ktvetési mérleg'!L17)</f>
        <v>#REF!</v>
      </c>
      <c r="N22" s="294" t="e">
        <f>SUM('Ktvetési mérleg'!M17)</f>
        <v>#REF!</v>
      </c>
      <c r="O22" s="301">
        <f>SUM('Ktvetési mérleg'!N17)</f>
        <v>0</v>
      </c>
      <c r="P22" s="301"/>
      <c r="Q22" s="301"/>
      <c r="R22" s="137">
        <f>SUM(Önkormányzat!J74)</f>
        <v>0</v>
      </c>
    </row>
    <row r="23" spans="1:18" ht="20.100000000000001" customHeight="1" x14ac:dyDescent="0.2">
      <c r="A23" s="263" t="s">
        <v>382</v>
      </c>
      <c r="B23" s="83" t="s">
        <v>436</v>
      </c>
      <c r="C23" s="122">
        <f>SUM('Ktvetési mérleg'!C24)</f>
        <v>0</v>
      </c>
      <c r="D23" s="122">
        <f>SUM('Ktvetési mérleg'!D24)</f>
        <v>0</v>
      </c>
      <c r="E23" s="122">
        <f>SUM('Ktvetési mérleg'!E24)</f>
        <v>0</v>
      </c>
      <c r="F23" s="304">
        <f>SUM('Ktvetési mérleg'!F24)</f>
        <v>2886600</v>
      </c>
      <c r="G23" s="304">
        <f>'Bevétel össz.'!L48</f>
        <v>2886600</v>
      </c>
      <c r="H23" s="304">
        <f>'Bevétel össz.'!M48</f>
        <v>2886600</v>
      </c>
      <c r="I23" s="137"/>
      <c r="J23" s="76" t="s">
        <v>261</v>
      </c>
      <c r="K23" s="151" t="s">
        <v>427</v>
      </c>
      <c r="L23" s="297" t="e">
        <f>SUM(L20:L22)</f>
        <v>#REF!</v>
      </c>
      <c r="M23" s="297" t="e">
        <f>SUM(M20:M22)</f>
        <v>#REF!</v>
      </c>
      <c r="N23" s="297" t="e">
        <f>SUM(N20:N22)</f>
        <v>#REF!</v>
      </c>
      <c r="O23" s="298">
        <f>SUM(O20:O22)</f>
        <v>0</v>
      </c>
      <c r="P23" s="298"/>
      <c r="Q23" s="298"/>
      <c r="R23" s="297">
        <f>SUM(R20:R22)</f>
        <v>0</v>
      </c>
    </row>
    <row r="24" spans="1:18" ht="20.100000000000001" customHeight="1" x14ac:dyDescent="0.2">
      <c r="A24" s="285" t="s">
        <v>377</v>
      </c>
      <c r="B24" s="153" t="s">
        <v>435</v>
      </c>
      <c r="C24" s="297">
        <f>SUM(C22:C23)</f>
        <v>0</v>
      </c>
      <c r="D24" s="297">
        <f>SUM(D22:D23)</f>
        <v>0</v>
      </c>
      <c r="E24" s="297">
        <f>SUM(E22:E23)</f>
        <v>0</v>
      </c>
      <c r="F24" s="678">
        <f>SUM(F22:F23)</f>
        <v>3269100</v>
      </c>
      <c r="G24" s="678">
        <f>G22+G23</f>
        <v>3269100</v>
      </c>
      <c r="H24" s="678">
        <f>H22+H23</f>
        <v>3269100</v>
      </c>
      <c r="I24" s="297">
        <f>SUM(I22:I23)</f>
        <v>0</v>
      </c>
      <c r="J24" s="5" t="s">
        <v>654</v>
      </c>
      <c r="K24" s="183" t="s">
        <v>655</v>
      </c>
      <c r="L24" s="122"/>
      <c r="M24" s="122"/>
      <c r="N24" s="122"/>
      <c r="O24" s="256">
        <f>Önkormányzat!F77</f>
        <v>1309508</v>
      </c>
      <c r="P24" s="794">
        <f>'Kiadás ktgvszervenként'!V23</f>
        <v>1309508</v>
      </c>
      <c r="Q24" s="794">
        <f>'Kiadás ktgvszervenként'!W23</f>
        <v>1309508</v>
      </c>
      <c r="R24" s="137"/>
    </row>
    <row r="25" spans="1:18" ht="34.5" customHeight="1" x14ac:dyDescent="0.2">
      <c r="A25" s="263"/>
      <c r="B25" s="270" t="s">
        <v>121</v>
      </c>
      <c r="C25" s="309">
        <f>SUM('Ktvetési mérleg'!C27,-C13)</f>
        <v>0</v>
      </c>
      <c r="D25" s="123">
        <f>SUM('Ktvetési mérleg'!D27,-D13)</f>
        <v>0</v>
      </c>
      <c r="E25" s="123">
        <f>SUM('Ktvetési mérleg'!E27,-E13)</f>
        <v>0</v>
      </c>
      <c r="F25" s="299">
        <f>SUM('Ktvetési mérleg'!F27,-F13)</f>
        <v>0</v>
      </c>
      <c r="G25" s="299"/>
      <c r="H25" s="299"/>
      <c r="I25" s="138"/>
      <c r="J25" s="612" t="s">
        <v>659</v>
      </c>
      <c r="K25" s="745" t="s">
        <v>660</v>
      </c>
      <c r="L25" s="123"/>
      <c r="M25" s="123"/>
      <c r="N25" s="123"/>
      <c r="O25" s="257">
        <f>Önkormányzat!F79</f>
        <v>1578635</v>
      </c>
      <c r="P25" s="841">
        <f>'Kiadás ktgvszervenként'!V25</f>
        <v>1578635</v>
      </c>
      <c r="Q25" s="841">
        <f>'Kiadás ktgvszervenként'!X25</f>
        <v>1578635</v>
      </c>
      <c r="R25" s="138"/>
    </row>
    <row r="26" spans="1:18" ht="20.100000000000001" customHeight="1" x14ac:dyDescent="0.2">
      <c r="A26" s="263"/>
      <c r="B26" s="125" t="s">
        <v>79</v>
      </c>
      <c r="C26" s="123" t="e">
        <f>SUM('Ktvetési mérleg'!C28,-C14)</f>
        <v>#REF!</v>
      </c>
      <c r="D26" s="123" t="e">
        <f>SUM('Ktvetési mérleg'!D28,-D14)</f>
        <v>#REF!</v>
      </c>
      <c r="E26" s="123" t="e">
        <f>SUM('Ktvetési mérleg'!E28,-E14)</f>
        <v>#REF!</v>
      </c>
      <c r="F26" s="299">
        <f>'Ktvetési mérleg'!F30</f>
        <v>62937550</v>
      </c>
      <c r="G26" s="299">
        <f>'Bevétel össz.'!L53</f>
        <v>62940179</v>
      </c>
      <c r="H26" s="299">
        <f>'Bevétel össz.'!T53</f>
        <v>62950691</v>
      </c>
      <c r="I26" s="137"/>
      <c r="J26" s="266"/>
      <c r="K26" s="121" t="s">
        <v>79</v>
      </c>
      <c r="L26" s="122"/>
      <c r="M26" s="122"/>
      <c r="N26" s="122"/>
      <c r="O26" s="256">
        <f>'Ktvetési mérleg'!N30</f>
        <v>62937550</v>
      </c>
      <c r="P26" s="794">
        <f>'Kiadás ktgvszervenként'!V24</f>
        <v>62940179</v>
      </c>
      <c r="Q26" s="794">
        <f>'Kiadás ktgvszervenként'!W24</f>
        <v>62950691</v>
      </c>
      <c r="R26" s="137"/>
    </row>
    <row r="27" spans="1:18" ht="20.100000000000001" customHeight="1" x14ac:dyDescent="0.2">
      <c r="A27" s="263"/>
      <c r="B27" s="125" t="s">
        <v>731</v>
      </c>
      <c r="C27" s="123"/>
      <c r="D27" s="123"/>
      <c r="E27" s="123"/>
      <c r="F27" s="299">
        <f>'Bevétel össz.'!F52</f>
        <v>167515977</v>
      </c>
      <c r="G27" s="299">
        <f>'Bevétel össz.'!L52</f>
        <v>167515977</v>
      </c>
      <c r="H27" s="299">
        <f>'Bevétel össz.'!M52</f>
        <v>167515977</v>
      </c>
      <c r="I27" s="137"/>
      <c r="J27" s="266"/>
      <c r="K27" s="121" t="s">
        <v>64</v>
      </c>
      <c r="L27" s="122"/>
      <c r="M27" s="122"/>
      <c r="N27" s="122"/>
      <c r="O27" s="794"/>
      <c r="P27" s="794"/>
      <c r="Q27" s="794">
        <f>'Kiadás ktgvszervenként'!W26</f>
        <v>10000000</v>
      </c>
      <c r="R27" s="137"/>
    </row>
    <row r="28" spans="1:18" ht="20.100000000000001" customHeight="1" thickBot="1" x14ac:dyDescent="0.25">
      <c r="A28" s="285" t="s">
        <v>444</v>
      </c>
      <c r="B28" s="286" t="s">
        <v>128</v>
      </c>
      <c r="C28" s="248" t="e">
        <f>SUM(C25:C26)</f>
        <v>#REF!</v>
      </c>
      <c r="D28" s="248" t="e">
        <f>SUM(D25:D26)</f>
        <v>#REF!</v>
      </c>
      <c r="E28" s="248" t="e">
        <f>SUM(E25:E26)</f>
        <v>#REF!</v>
      </c>
      <c r="F28" s="299">
        <f>F25+F26+F27</f>
        <v>230453527</v>
      </c>
      <c r="G28" s="299">
        <f>G26+G27</f>
        <v>230456156</v>
      </c>
      <c r="H28" s="299">
        <f>H26+H27</f>
        <v>230466668</v>
      </c>
      <c r="I28" s="248">
        <f>SUM(I26:I26)</f>
        <v>0</v>
      </c>
      <c r="J28" s="291" t="s">
        <v>445</v>
      </c>
      <c r="K28" s="292" t="s">
        <v>123</v>
      </c>
      <c r="L28" s="248">
        <f>SUM(L24:L26)</f>
        <v>0</v>
      </c>
      <c r="M28" s="248">
        <f>SUM(M24:M26)</f>
        <v>0</v>
      </c>
      <c r="N28" s="248">
        <f>SUM(N24:N26)</f>
        <v>0</v>
      </c>
      <c r="O28" s="299">
        <f>SUM(O24:O26)</f>
        <v>65825693</v>
      </c>
      <c r="P28" s="299">
        <f>P24+P25+P26</f>
        <v>65828322</v>
      </c>
      <c r="Q28" s="299">
        <f>Q24+Q25+Q26+Q27</f>
        <v>75838834</v>
      </c>
      <c r="R28" s="248">
        <f>SUM(R24:R26)</f>
        <v>0</v>
      </c>
    </row>
    <row r="29" spans="1:18" ht="20.100000000000001" customHeight="1" thickBot="1" x14ac:dyDescent="0.25">
      <c r="A29" s="271"/>
      <c r="B29" s="272" t="s">
        <v>129</v>
      </c>
      <c r="C29" s="273" t="e">
        <f>SUM(C20:C21,C24,C28)</f>
        <v>#REF!</v>
      </c>
      <c r="D29" s="273" t="e">
        <f>SUM(D20:D21,D24,D28)</f>
        <v>#REF!</v>
      </c>
      <c r="E29" s="273" t="e">
        <f>SUM(E20:E21,E24,E28)</f>
        <v>#REF!</v>
      </c>
      <c r="F29" s="273">
        <f>SUM(F20:F21,F24,F28)</f>
        <v>237827442</v>
      </c>
      <c r="G29" s="273">
        <f>G20+G21+G24+G28</f>
        <v>237830071</v>
      </c>
      <c r="H29" s="273">
        <f>H20+H21+H24+H28</f>
        <v>241328793</v>
      </c>
      <c r="I29" s="273">
        <f>SUM(I20:I21,I24,I28)</f>
        <v>0</v>
      </c>
      <c r="J29" s="274"/>
      <c r="K29" s="275" t="s">
        <v>130</v>
      </c>
      <c r="L29" s="273" t="e">
        <f>SUM(L18:L19,L23,L28)</f>
        <v>#REF!</v>
      </c>
      <c r="M29" s="273" t="e">
        <f>SUM(M18:M19,M23,M28)</f>
        <v>#REF!</v>
      </c>
      <c r="N29" s="273" t="e">
        <f>SUM(N18:N19,N23,N28)</f>
        <v>#REF!</v>
      </c>
      <c r="O29" s="302">
        <f>SUM(O18:O19,O23,O28)</f>
        <v>167727951</v>
      </c>
      <c r="P29" s="302">
        <f>P18+P19+P28</f>
        <v>181043781</v>
      </c>
      <c r="Q29" s="302">
        <f>Q18+Q19+Q28</f>
        <v>196547139</v>
      </c>
      <c r="R29" s="273">
        <f>SUM(R18:R19,R23,R28)</f>
        <v>0</v>
      </c>
    </row>
    <row r="30" spans="1:18" ht="20.100000000000001" customHeight="1" thickBot="1" x14ac:dyDescent="0.25">
      <c r="A30" s="263"/>
      <c r="B30" s="261" t="s">
        <v>126</v>
      </c>
      <c r="C30" s="310" t="e">
        <f>SUM(C21:C22,C25,C29)</f>
        <v>#REF!</v>
      </c>
      <c r="D30" s="310" t="e">
        <f>SUM(D21:D22,D25,D29)</f>
        <v>#REF!</v>
      </c>
      <c r="E30" s="310" t="e">
        <f>SUM(E21:E22,E25,E29)</f>
        <v>#REF!</v>
      </c>
      <c r="F30" s="310"/>
      <c r="G30" s="310"/>
      <c r="H30" s="310"/>
      <c r="I30" s="310">
        <f>SUM(I21:I22,I25,I29)</f>
        <v>0</v>
      </c>
      <c r="J30" s="268"/>
      <c r="K30" s="129" t="s">
        <v>127</v>
      </c>
      <c r="L30" s="128" t="e">
        <f>IF(((C29-L29)&gt;0),C29-L29,"----")</f>
        <v>#REF!</v>
      </c>
      <c r="M30" s="128"/>
      <c r="N30" s="128" t="e">
        <f>IF(((E29-N29)&gt;0),E29-N29,"----")</f>
        <v>#REF!</v>
      </c>
      <c r="O30" s="259"/>
      <c r="P30" s="842"/>
      <c r="Q30" s="842"/>
      <c r="R30" s="128"/>
    </row>
    <row r="31" spans="1:18" ht="20.100000000000001" customHeight="1" thickBot="1" x14ac:dyDescent="0.3">
      <c r="A31" s="269"/>
      <c r="B31" s="276" t="s">
        <v>131</v>
      </c>
      <c r="C31" s="277" t="e">
        <f>SUM(C16,C29)</f>
        <v>#REF!</v>
      </c>
      <c r="D31" s="277" t="e">
        <f>SUM(D16,D29)</f>
        <v>#REF!</v>
      </c>
      <c r="E31" s="277" t="e">
        <f>SUM(E16,E29)</f>
        <v>#REF!</v>
      </c>
      <c r="F31" s="277">
        <f>SUM(F16,F29)</f>
        <v>488258594</v>
      </c>
      <c r="G31" s="277">
        <f>G16+G29</f>
        <v>489100095</v>
      </c>
      <c r="H31" s="277">
        <f>H16+H29</f>
        <v>502867340</v>
      </c>
      <c r="I31" s="277">
        <f>SUM(I16,I29)</f>
        <v>0</v>
      </c>
      <c r="J31" s="277"/>
      <c r="K31" s="278" t="s">
        <v>132</v>
      </c>
      <c r="L31" s="277" t="e">
        <f>SUM(L16,L29)</f>
        <v>#REF!</v>
      </c>
      <c r="M31" s="277" t="e">
        <f>SUM(M16,M29)</f>
        <v>#REF!</v>
      </c>
      <c r="N31" s="277" t="e">
        <f>SUM(N16,N29)</f>
        <v>#REF!</v>
      </c>
      <c r="O31" s="303">
        <f>SUM(O16,O29)</f>
        <v>488258594</v>
      </c>
      <c r="P31" s="303">
        <f>P16+P29</f>
        <v>489100095</v>
      </c>
      <c r="Q31" s="303">
        <f>Q16+Q29</f>
        <v>502867340</v>
      </c>
      <c r="R31" s="277">
        <f>SUM(R16,R29)</f>
        <v>0</v>
      </c>
    </row>
  </sheetData>
  <mergeCells count="10">
    <mergeCell ref="L1:N1"/>
    <mergeCell ref="L2:M2"/>
    <mergeCell ref="N2:N3"/>
    <mergeCell ref="A1:A3"/>
    <mergeCell ref="C2:D2"/>
    <mergeCell ref="E2:E3"/>
    <mergeCell ref="J1:J3"/>
    <mergeCell ref="K1:K3"/>
    <mergeCell ref="B1:B3"/>
    <mergeCell ref="C1:E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>
    <oddHeader>&amp;LLevél Községi Önkormányzat&amp;CMűk-felh. mérleg 2018.&amp;R2.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5715F-B317-431E-8F16-CEB1627380B7}">
  <dimension ref="A1:D17"/>
  <sheetViews>
    <sheetView view="pageLayout" workbookViewId="0">
      <selection activeCell="C4" sqref="C4"/>
    </sheetView>
  </sheetViews>
  <sheetFormatPr defaultRowHeight="12.75" x14ac:dyDescent="0.2"/>
  <cols>
    <col min="1" max="1" width="30.7109375" customWidth="1"/>
    <col min="2" max="4" width="15.7109375" customWidth="1"/>
  </cols>
  <sheetData>
    <row r="1" spans="1:4" ht="15" x14ac:dyDescent="0.2">
      <c r="A1" s="1035" t="s">
        <v>889</v>
      </c>
      <c r="B1" s="1035"/>
      <c r="C1" s="1035"/>
      <c r="D1" s="1035"/>
    </row>
    <row r="2" spans="1:4" ht="30" customHeight="1" x14ac:dyDescent="0.2">
      <c r="A2" s="864" t="s">
        <v>93</v>
      </c>
      <c r="B2" s="864" t="s">
        <v>810</v>
      </c>
      <c r="C2" s="864" t="s">
        <v>811</v>
      </c>
      <c r="D2" s="864" t="s">
        <v>812</v>
      </c>
    </row>
    <row r="3" spans="1:4" ht="30" customHeight="1" x14ac:dyDescent="0.2">
      <c r="A3" s="864">
        <v>2</v>
      </c>
      <c r="B3" s="864">
        <v>3</v>
      </c>
      <c r="C3" s="864">
        <v>4</v>
      </c>
      <c r="D3" s="864">
        <v>5</v>
      </c>
    </row>
    <row r="4" spans="1:4" s="863" customFormat="1" ht="30" customHeight="1" x14ac:dyDescent="0.2">
      <c r="A4" s="869" t="s">
        <v>835</v>
      </c>
      <c r="B4" s="873">
        <v>0</v>
      </c>
      <c r="C4" s="870"/>
      <c r="D4" s="873">
        <v>77550</v>
      </c>
    </row>
    <row r="5" spans="1:4" s="863" customFormat="1" ht="30" customHeight="1" x14ac:dyDescent="0.2">
      <c r="A5" s="872" t="s">
        <v>886</v>
      </c>
      <c r="B5" s="874">
        <v>0</v>
      </c>
      <c r="C5" s="871"/>
      <c r="D5" s="874">
        <v>77550</v>
      </c>
    </row>
    <row r="6" spans="1:4" s="863" customFormat="1" ht="30" customHeight="1" x14ac:dyDescent="0.2">
      <c r="A6" s="872" t="s">
        <v>887</v>
      </c>
      <c r="B6" s="874">
        <v>0</v>
      </c>
      <c r="C6" s="871"/>
      <c r="D6" s="874">
        <v>77550</v>
      </c>
    </row>
    <row r="7" spans="1:4" ht="30" customHeight="1" x14ac:dyDescent="0.2">
      <c r="A7" s="865" t="s">
        <v>842</v>
      </c>
      <c r="B7" s="866">
        <v>17950</v>
      </c>
      <c r="C7" s="866">
        <v>0</v>
      </c>
      <c r="D7" s="866">
        <v>12710</v>
      </c>
    </row>
    <row r="8" spans="1:4" ht="30" customHeight="1" x14ac:dyDescent="0.2">
      <c r="A8" s="865" t="s">
        <v>844</v>
      </c>
      <c r="B8" s="866">
        <v>17950</v>
      </c>
      <c r="C8" s="866">
        <v>0</v>
      </c>
      <c r="D8" s="866">
        <v>12710</v>
      </c>
    </row>
    <row r="9" spans="1:4" ht="30" customHeight="1" x14ac:dyDescent="0.2">
      <c r="A9" s="867" t="s">
        <v>848</v>
      </c>
      <c r="B9" s="868">
        <v>17950</v>
      </c>
      <c r="C9" s="868">
        <v>0</v>
      </c>
      <c r="D9" s="868">
        <v>12710</v>
      </c>
    </row>
    <row r="10" spans="1:4" ht="30" customHeight="1" x14ac:dyDescent="0.2">
      <c r="A10" s="867" t="s">
        <v>860</v>
      </c>
      <c r="B10" s="868">
        <v>17950</v>
      </c>
      <c r="C10" s="868">
        <v>0</v>
      </c>
      <c r="D10" s="868">
        <v>12710</v>
      </c>
    </row>
    <row r="11" spans="1:4" ht="30" customHeight="1" x14ac:dyDescent="0.2">
      <c r="A11" s="867" t="s">
        <v>864</v>
      </c>
      <c r="B11" s="868">
        <v>17950</v>
      </c>
      <c r="C11" s="868">
        <v>0</v>
      </c>
      <c r="D11" s="868">
        <v>90260</v>
      </c>
    </row>
    <row r="12" spans="1:4" ht="30" customHeight="1" x14ac:dyDescent="0.2">
      <c r="A12" s="865" t="s">
        <v>867</v>
      </c>
      <c r="B12" s="866">
        <v>-9526</v>
      </c>
      <c r="C12" s="866">
        <v>0</v>
      </c>
      <c r="D12" s="866">
        <v>-7718</v>
      </c>
    </row>
    <row r="13" spans="1:4" ht="30" customHeight="1" x14ac:dyDescent="0.2">
      <c r="A13" s="865" t="s">
        <v>868</v>
      </c>
      <c r="B13" s="866">
        <v>1808</v>
      </c>
      <c r="C13" s="866">
        <v>0</v>
      </c>
      <c r="D13" s="866">
        <v>-3122448</v>
      </c>
    </row>
    <row r="14" spans="1:4" ht="30" customHeight="1" x14ac:dyDescent="0.2">
      <c r="A14" s="867" t="s">
        <v>869</v>
      </c>
      <c r="B14" s="868">
        <v>-7718</v>
      </c>
      <c r="C14" s="868">
        <v>0</v>
      </c>
      <c r="D14" s="868">
        <v>-3130166</v>
      </c>
    </row>
    <row r="15" spans="1:4" ht="30" customHeight="1" x14ac:dyDescent="0.2">
      <c r="A15" s="865" t="s">
        <v>881</v>
      </c>
      <c r="B15" s="866">
        <v>25668</v>
      </c>
      <c r="C15" s="866">
        <v>0</v>
      </c>
      <c r="D15" s="866">
        <v>3220426</v>
      </c>
    </row>
    <row r="16" spans="1:4" ht="30" customHeight="1" x14ac:dyDescent="0.2">
      <c r="A16" s="867" t="s">
        <v>883</v>
      </c>
      <c r="B16" s="868">
        <v>25668</v>
      </c>
      <c r="C16" s="868">
        <v>0</v>
      </c>
      <c r="D16" s="868">
        <v>3220426</v>
      </c>
    </row>
    <row r="17" spans="1:4" ht="30" customHeight="1" x14ac:dyDescent="0.2">
      <c r="A17" s="867" t="s">
        <v>884</v>
      </c>
      <c r="B17" s="868">
        <v>17950</v>
      </c>
      <c r="C17" s="868">
        <v>0</v>
      </c>
      <c r="D17" s="868">
        <v>90260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  <headerFooter>
    <oddHeader>&amp;LLevél Községi Önkormányzat&amp;R20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4">
    <tabColor theme="3" tint="0.79998168889431442"/>
  </sheetPr>
  <dimension ref="A1:Z57"/>
  <sheetViews>
    <sheetView view="pageLayout" zoomScaleNormal="100" workbookViewId="0">
      <selection activeCell="U3" sqref="U3"/>
    </sheetView>
  </sheetViews>
  <sheetFormatPr defaultRowHeight="12.75" x14ac:dyDescent="0.2"/>
  <cols>
    <col min="1" max="1" width="6.5703125" customWidth="1"/>
    <col min="2" max="2" width="56.85546875" customWidth="1"/>
    <col min="3" max="3" width="12.140625" hidden="1" customWidth="1"/>
    <col min="4" max="4" width="14.42578125" hidden="1" customWidth="1"/>
    <col min="5" max="5" width="13.140625" hidden="1" customWidth="1"/>
    <col min="6" max="6" width="24.140625" customWidth="1"/>
    <col min="7" max="7" width="18.42578125" customWidth="1"/>
    <col min="8" max="8" width="11.7109375" hidden="1" customWidth="1"/>
    <col min="9" max="9" width="18" customWidth="1"/>
    <col min="10" max="10" width="11.42578125" hidden="1" customWidth="1"/>
    <col min="11" max="11" width="18.7109375" hidden="1" customWidth="1"/>
    <col min="12" max="13" width="24.140625" customWidth="1"/>
    <col min="14" max="14" width="24.140625" hidden="1" customWidth="1"/>
    <col min="15" max="15" width="24.140625" customWidth="1"/>
    <col min="16" max="17" width="24.140625" hidden="1" customWidth="1"/>
    <col min="18" max="22" width="24.140625" customWidth="1"/>
    <col min="23" max="23" width="24.140625" hidden="1" customWidth="1"/>
    <col min="24" max="24" width="24.140625" customWidth="1"/>
    <col min="25" max="26" width="24.140625" hidden="1" customWidth="1"/>
  </cols>
  <sheetData>
    <row r="1" spans="1:26" ht="15" customHeight="1" x14ac:dyDescent="0.2">
      <c r="A1" s="897" t="s">
        <v>288</v>
      </c>
      <c r="B1" s="899" t="s">
        <v>88</v>
      </c>
      <c r="C1" s="902" t="s">
        <v>54</v>
      </c>
      <c r="D1" s="902"/>
      <c r="E1" s="902"/>
      <c r="F1" s="901" t="s">
        <v>734</v>
      </c>
      <c r="G1" s="893"/>
      <c r="H1" s="894"/>
      <c r="I1" s="894"/>
      <c r="J1" s="894"/>
      <c r="K1" s="895"/>
      <c r="L1" s="901" t="s">
        <v>754</v>
      </c>
      <c r="M1" s="893"/>
      <c r="N1" s="894"/>
      <c r="O1" s="894"/>
      <c r="P1" s="894"/>
      <c r="Q1" s="895"/>
      <c r="R1" s="848"/>
      <c r="S1" s="848"/>
      <c r="T1" s="848"/>
      <c r="U1" s="896" t="s">
        <v>762</v>
      </c>
      <c r="V1" s="893"/>
      <c r="W1" s="894"/>
      <c r="X1" s="894"/>
      <c r="Y1" s="894"/>
      <c r="Z1" s="895"/>
    </row>
    <row r="2" spans="1:26" ht="27" customHeight="1" x14ac:dyDescent="0.2">
      <c r="A2" s="898"/>
      <c r="B2" s="900"/>
      <c r="C2" s="149" t="s">
        <v>59</v>
      </c>
      <c r="D2" s="149" t="s">
        <v>395</v>
      </c>
      <c r="E2" s="149" t="s">
        <v>73</v>
      </c>
      <c r="F2" s="901"/>
      <c r="G2" s="98" t="s">
        <v>302</v>
      </c>
      <c r="H2" s="98" t="s">
        <v>412</v>
      </c>
      <c r="I2" s="98" t="s">
        <v>55</v>
      </c>
      <c r="J2" s="98" t="s">
        <v>94</v>
      </c>
      <c r="K2" s="100" t="s">
        <v>66</v>
      </c>
      <c r="L2" s="901"/>
      <c r="M2" s="98" t="s">
        <v>302</v>
      </c>
      <c r="N2" s="98" t="s">
        <v>412</v>
      </c>
      <c r="O2" s="98" t="s">
        <v>55</v>
      </c>
      <c r="P2" s="98" t="s">
        <v>94</v>
      </c>
      <c r="Q2" s="100" t="s">
        <v>66</v>
      </c>
      <c r="R2" s="859" t="s">
        <v>787</v>
      </c>
      <c r="S2" s="861" t="s">
        <v>302</v>
      </c>
      <c r="T2" s="861" t="s">
        <v>55</v>
      </c>
      <c r="U2" s="896"/>
      <c r="V2" s="98" t="s">
        <v>302</v>
      </c>
      <c r="W2" s="98" t="s">
        <v>412</v>
      </c>
      <c r="X2" s="98" t="s">
        <v>55</v>
      </c>
      <c r="Y2" s="98" t="s">
        <v>94</v>
      </c>
      <c r="Z2" s="100" t="s">
        <v>66</v>
      </c>
    </row>
    <row r="3" spans="1:26" ht="18" x14ac:dyDescent="0.25">
      <c r="A3" s="10" t="s">
        <v>399</v>
      </c>
      <c r="B3" s="2" t="s">
        <v>405</v>
      </c>
      <c r="C3" s="205">
        <f>SUM(Önkormányzat!C90)</f>
        <v>0</v>
      </c>
      <c r="D3" s="204">
        <f>SUM(Önkormányzat!D90)</f>
        <v>0</v>
      </c>
      <c r="E3" s="204">
        <f>SUM(Önkormányzat!E90)</f>
        <v>0</v>
      </c>
      <c r="F3" s="207">
        <f>SUM(Önkormányzat!F90)</f>
        <v>0</v>
      </c>
      <c r="G3" s="470">
        <f>SUM(Önkormányzat!F90)</f>
        <v>0</v>
      </c>
      <c r="H3" s="2"/>
      <c r="I3" s="2"/>
      <c r="J3" s="2"/>
      <c r="K3" s="24">
        <f t="shared" ref="K3:K8" si="0">SUM(G3:J3)</f>
        <v>0</v>
      </c>
      <c r="L3" s="207">
        <f>M3+O3</f>
        <v>27206</v>
      </c>
      <c r="M3" s="470">
        <f>Önkormányzat!G90</f>
        <v>27206</v>
      </c>
      <c r="N3" s="2"/>
      <c r="O3" s="2"/>
      <c r="P3" s="2"/>
      <c r="Q3" s="24">
        <f t="shared" ref="Q3:Q8" si="1">SUM(M3:P3)</f>
        <v>27206</v>
      </c>
      <c r="R3" s="860">
        <f>S3+T3</f>
        <v>27206</v>
      </c>
      <c r="S3" s="862">
        <f>Önkormányzat!H90</f>
        <v>27206</v>
      </c>
      <c r="T3" s="862"/>
      <c r="U3" s="207">
        <f>V3+X3</f>
        <v>27206</v>
      </c>
      <c r="V3" s="470">
        <f>Önkormányzat!I90</f>
        <v>27206</v>
      </c>
      <c r="W3" s="2"/>
      <c r="X3" s="2"/>
      <c r="Y3" s="2"/>
      <c r="Z3" s="24">
        <f t="shared" ref="Z3:Z8" si="2">SUM(V3:Y3)</f>
        <v>27206</v>
      </c>
    </row>
    <row r="4" spans="1:26" ht="18" x14ac:dyDescent="0.25">
      <c r="A4" s="10" t="s">
        <v>400</v>
      </c>
      <c r="B4" s="83" t="s">
        <v>406</v>
      </c>
      <c r="C4" s="205">
        <f>SUM(Önkormányzat!C91)</f>
        <v>0</v>
      </c>
      <c r="D4" s="204">
        <f>SUM(Önkormányzat!D91)</f>
        <v>0</v>
      </c>
      <c r="E4" s="204">
        <f>SUM(Önkormányzat!E91)</f>
        <v>0</v>
      </c>
      <c r="F4" s="207">
        <f>SUM(Önkormányzat!F91)</f>
        <v>40800400</v>
      </c>
      <c r="G4" s="470">
        <f>SUM(Önkormányzat!F91)</f>
        <v>40800400</v>
      </c>
      <c r="H4" s="33"/>
      <c r="I4" s="33"/>
      <c r="J4" s="33"/>
      <c r="K4" s="24">
        <f t="shared" si="0"/>
        <v>40800400</v>
      </c>
      <c r="L4" s="207">
        <f>M4+O4</f>
        <v>41064400</v>
      </c>
      <c r="M4" s="470">
        <f>Önkormányzat!G91</f>
        <v>41064400</v>
      </c>
      <c r="N4" s="33"/>
      <c r="O4" s="33"/>
      <c r="P4" s="33"/>
      <c r="Q4" s="24">
        <f t="shared" si="1"/>
        <v>41064400</v>
      </c>
      <c r="R4" s="860">
        <f t="shared" ref="R4:R54" si="3">S4+T4</f>
        <v>41440700</v>
      </c>
      <c r="S4" s="862">
        <f>Önkormányzat!H91</f>
        <v>41440700</v>
      </c>
      <c r="T4" s="862"/>
      <c r="U4" s="207">
        <f t="shared" ref="U4:U55" si="4">V4+X4</f>
        <v>41716967</v>
      </c>
      <c r="V4" s="470">
        <f>Önkormányzat!I91</f>
        <v>41716967</v>
      </c>
      <c r="W4" s="33"/>
      <c r="X4" s="33"/>
      <c r="Y4" s="33"/>
      <c r="Z4" s="24">
        <f t="shared" si="2"/>
        <v>41716967</v>
      </c>
    </row>
    <row r="5" spans="1:26" ht="18" x14ac:dyDescent="0.25">
      <c r="A5" s="10" t="s">
        <v>401</v>
      </c>
      <c r="B5" s="83" t="s">
        <v>407</v>
      </c>
      <c r="C5" s="205">
        <f>SUM(Önkormányzat!C92)</f>
        <v>0</v>
      </c>
      <c r="D5" s="204">
        <f>SUM(Önkormányzat!D92)</f>
        <v>0</v>
      </c>
      <c r="E5" s="204">
        <f>SUM(Önkormányzat!E92)</f>
        <v>0</v>
      </c>
      <c r="F5" s="207">
        <f>SUM(Önkormányzat!F92)</f>
        <v>11719318</v>
      </c>
      <c r="G5" s="470">
        <f>SUM(Önkormányzat!F92)</f>
        <v>11719318</v>
      </c>
      <c r="H5" s="33"/>
      <c r="I5" s="33"/>
      <c r="J5" s="33"/>
      <c r="K5" s="24">
        <f t="shared" si="0"/>
        <v>11719318</v>
      </c>
      <c r="L5" s="207">
        <f>M5+O5</f>
        <v>11719318</v>
      </c>
      <c r="M5" s="470">
        <f>Önkormányzat!G92</f>
        <v>11719318</v>
      </c>
      <c r="N5" s="33"/>
      <c r="O5" s="33"/>
      <c r="P5" s="33"/>
      <c r="Q5" s="24">
        <f t="shared" si="1"/>
        <v>11719318</v>
      </c>
      <c r="R5" s="860">
        <f t="shared" si="3"/>
        <v>10809352</v>
      </c>
      <c r="S5" s="862">
        <f>Önkormányzat!H92</f>
        <v>10809352</v>
      </c>
      <c r="T5" s="862"/>
      <c r="U5" s="207">
        <f t="shared" si="4"/>
        <v>11719318</v>
      </c>
      <c r="V5" s="470">
        <f>Önkormányzat!I92</f>
        <v>11719318</v>
      </c>
      <c r="W5" s="33"/>
      <c r="X5" s="33"/>
      <c r="Y5" s="33"/>
      <c r="Z5" s="24">
        <f t="shared" si="2"/>
        <v>11719318</v>
      </c>
    </row>
    <row r="6" spans="1:26" ht="18" x14ac:dyDescent="0.25">
      <c r="A6" s="10" t="s">
        <v>402</v>
      </c>
      <c r="B6" s="83" t="s">
        <v>408</v>
      </c>
      <c r="C6" s="205">
        <f>SUM(Önkormányzat!C93)</f>
        <v>0</v>
      </c>
      <c r="D6" s="204">
        <f>SUM(Önkormányzat!D93)</f>
        <v>0</v>
      </c>
      <c r="E6" s="204">
        <f>SUM(Önkormányzat!E93)</f>
        <v>0</v>
      </c>
      <c r="F6" s="207">
        <f>SUM(Önkormányzat!F93)</f>
        <v>2341350</v>
      </c>
      <c r="G6" s="470">
        <f>SUM(Önkormányzat!F93)</f>
        <v>2341350</v>
      </c>
      <c r="H6" s="33"/>
      <c r="I6" s="33"/>
      <c r="J6" s="33"/>
      <c r="K6" s="24">
        <f t="shared" si="0"/>
        <v>2341350</v>
      </c>
      <c r="L6" s="207">
        <f>M6+O6</f>
        <v>2529858</v>
      </c>
      <c r="M6" s="470">
        <f>Önkormányzat!G93</f>
        <v>2529858</v>
      </c>
      <c r="N6" s="33"/>
      <c r="O6" s="33"/>
      <c r="P6" s="33"/>
      <c r="Q6" s="24">
        <f t="shared" si="1"/>
        <v>2529858</v>
      </c>
      <c r="R6" s="860">
        <f t="shared" si="3"/>
        <v>2717711</v>
      </c>
      <c r="S6" s="862">
        <f>Önkormányzat!H93</f>
        <v>2717711</v>
      </c>
      <c r="T6" s="862"/>
      <c r="U6" s="207">
        <f t="shared" si="4"/>
        <v>2717711</v>
      </c>
      <c r="V6" s="470">
        <f>Önkormányzat!I93</f>
        <v>2717711</v>
      </c>
      <c r="W6" s="33"/>
      <c r="X6" s="33"/>
      <c r="Y6" s="33"/>
      <c r="Z6" s="24">
        <f t="shared" si="2"/>
        <v>2717711</v>
      </c>
    </row>
    <row r="7" spans="1:26" ht="18" x14ac:dyDescent="0.25">
      <c r="A7" s="10" t="s">
        <v>403</v>
      </c>
      <c r="B7" s="83" t="s">
        <v>410</v>
      </c>
      <c r="C7" s="205">
        <f>SUM(Önkormányzat!C94)</f>
        <v>0</v>
      </c>
      <c r="D7" s="204">
        <f>SUM(Önkormányzat!D94)</f>
        <v>0</v>
      </c>
      <c r="E7" s="204">
        <f>SUM(Önkormányzat!E94)</f>
        <v>0</v>
      </c>
      <c r="F7" s="207">
        <f>SUM(Önkormányzat!F94)</f>
        <v>0</v>
      </c>
      <c r="G7" s="470">
        <f>SUM(Önkormányzat!F94)</f>
        <v>0</v>
      </c>
      <c r="H7" s="33"/>
      <c r="I7" s="33"/>
      <c r="J7" s="33"/>
      <c r="K7" s="24">
        <f t="shared" si="0"/>
        <v>0</v>
      </c>
      <c r="L7" s="207">
        <f>M7+O7</f>
        <v>359158</v>
      </c>
      <c r="M7" s="470">
        <f>Önkormányzat!G94</f>
        <v>359158</v>
      </c>
      <c r="N7" s="33"/>
      <c r="O7" s="33"/>
      <c r="P7" s="33"/>
      <c r="Q7" s="24">
        <f t="shared" si="1"/>
        <v>359158</v>
      </c>
      <c r="R7" s="860">
        <f t="shared" si="3"/>
        <v>3969586</v>
      </c>
      <c r="S7" s="862">
        <f>Önkormányzat!H94</f>
        <v>3969586</v>
      </c>
      <c r="T7" s="862"/>
      <c r="U7" s="207">
        <f t="shared" si="4"/>
        <v>3969586</v>
      </c>
      <c r="V7" s="470">
        <f>Önkormányzat!I94</f>
        <v>3969586</v>
      </c>
      <c r="W7" s="33"/>
      <c r="X7" s="33"/>
      <c r="Y7" s="33"/>
      <c r="Z7" s="24">
        <f t="shared" si="2"/>
        <v>3969586</v>
      </c>
    </row>
    <row r="8" spans="1:26" ht="18" x14ac:dyDescent="0.25">
      <c r="A8" s="10" t="s">
        <v>404</v>
      </c>
      <c r="B8" s="83" t="s">
        <v>788</v>
      </c>
      <c r="C8" s="205">
        <f>SUM(Önkormányzat!C95)</f>
        <v>0</v>
      </c>
      <c r="D8" s="204">
        <f>SUM(Önkormányzat!D95)</f>
        <v>0</v>
      </c>
      <c r="E8" s="204">
        <f>SUM(Önkormányzat!E95)</f>
        <v>0</v>
      </c>
      <c r="F8" s="207">
        <f>SUM(Önkormányzat!F95)</f>
        <v>0</v>
      </c>
      <c r="G8" s="470">
        <f>SUM(Önkormányzat!F95)</f>
        <v>0</v>
      </c>
      <c r="H8" s="33"/>
      <c r="I8" s="33"/>
      <c r="J8" s="33"/>
      <c r="K8" s="24">
        <f t="shared" si="0"/>
        <v>0</v>
      </c>
      <c r="L8" s="207"/>
      <c r="M8" s="470"/>
      <c r="N8" s="33"/>
      <c r="O8" s="33"/>
      <c r="P8" s="33"/>
      <c r="Q8" s="24">
        <f t="shared" si="1"/>
        <v>0</v>
      </c>
      <c r="R8" s="860">
        <f t="shared" si="3"/>
        <v>234946</v>
      </c>
      <c r="S8" s="862">
        <f>Önkormányzat!H95</f>
        <v>234946</v>
      </c>
      <c r="T8" s="862"/>
      <c r="U8" s="207">
        <f t="shared" si="4"/>
        <v>234946</v>
      </c>
      <c r="V8" s="470">
        <f>Önkormányzat!I95</f>
        <v>234946</v>
      </c>
      <c r="W8" s="33"/>
      <c r="X8" s="33"/>
      <c r="Y8" s="33"/>
      <c r="Z8" s="24">
        <f t="shared" si="2"/>
        <v>234946</v>
      </c>
    </row>
    <row r="9" spans="1:26" ht="18" x14ac:dyDescent="0.25">
      <c r="A9" s="151" t="s">
        <v>329</v>
      </c>
      <c r="B9" s="153" t="s">
        <v>322</v>
      </c>
      <c r="C9" s="147">
        <f t="shared" ref="C9:K9" si="5">SUM(C3:C8)</f>
        <v>0</v>
      </c>
      <c r="D9" s="144">
        <f t="shared" si="5"/>
        <v>0</v>
      </c>
      <c r="E9" s="144">
        <f t="shared" si="5"/>
        <v>0</v>
      </c>
      <c r="F9" s="179">
        <f t="shared" si="5"/>
        <v>54861068</v>
      </c>
      <c r="G9" s="144">
        <f t="shared" si="5"/>
        <v>54861068</v>
      </c>
      <c r="H9" s="144">
        <f t="shared" si="5"/>
        <v>0</v>
      </c>
      <c r="I9" s="144">
        <f t="shared" si="5"/>
        <v>0</v>
      </c>
      <c r="J9" s="144">
        <f t="shared" si="5"/>
        <v>0</v>
      </c>
      <c r="K9" s="144">
        <f t="shared" si="5"/>
        <v>54861068</v>
      </c>
      <c r="L9" s="207">
        <f t="shared" ref="L9:L55" si="6">M9+O9</f>
        <v>55699940</v>
      </c>
      <c r="M9" s="144">
        <f t="shared" ref="M9:Z9" si="7">SUM(M3:M8)</f>
        <v>55699940</v>
      </c>
      <c r="N9" s="144">
        <f t="shared" si="7"/>
        <v>0</v>
      </c>
      <c r="O9" s="144">
        <f t="shared" si="7"/>
        <v>0</v>
      </c>
      <c r="P9" s="144">
        <f t="shared" si="7"/>
        <v>0</v>
      </c>
      <c r="Q9" s="144">
        <f t="shared" si="7"/>
        <v>55699940</v>
      </c>
      <c r="R9" s="860">
        <f t="shared" si="3"/>
        <v>59199501</v>
      </c>
      <c r="S9" s="144">
        <f>S3+S4+S5+S6+S7+S8</f>
        <v>59199501</v>
      </c>
      <c r="T9" s="144"/>
      <c r="U9" s="207">
        <f t="shared" si="4"/>
        <v>60385734</v>
      </c>
      <c r="V9" s="144">
        <f t="shared" si="7"/>
        <v>60385734</v>
      </c>
      <c r="W9" s="144">
        <f t="shared" si="7"/>
        <v>0</v>
      </c>
      <c r="X9" s="144">
        <f t="shared" si="7"/>
        <v>0</v>
      </c>
      <c r="Y9" s="144">
        <f t="shared" si="7"/>
        <v>0</v>
      </c>
      <c r="Z9" s="144">
        <f t="shared" si="7"/>
        <v>60385734</v>
      </c>
    </row>
    <row r="10" spans="1:26" ht="18" x14ac:dyDescent="0.25">
      <c r="A10" s="1"/>
      <c r="B10" s="83" t="s">
        <v>324</v>
      </c>
      <c r="C10" s="205">
        <f>SUM(Önkormányzat!C97)</f>
        <v>0</v>
      </c>
      <c r="D10" s="204">
        <f>SUM(Önkormányzat!D97)</f>
        <v>0</v>
      </c>
      <c r="E10" s="204">
        <f>SUM(Önkormányzat!E97)</f>
        <v>0</v>
      </c>
      <c r="F10" s="207">
        <f>SUM(Önkormányzat!F97)</f>
        <v>0</v>
      </c>
      <c r="G10" s="470">
        <f>SUM(Önkormányzat!F97)</f>
        <v>0</v>
      </c>
      <c r="H10" s="33"/>
      <c r="I10" s="33"/>
      <c r="J10" s="33"/>
      <c r="K10" s="24">
        <f>SUM(G10:J10)</f>
        <v>0</v>
      </c>
      <c r="L10" s="207">
        <f t="shared" si="6"/>
        <v>0</v>
      </c>
      <c r="M10" s="470">
        <f>SUM(Önkormányzat!M97)</f>
        <v>0</v>
      </c>
      <c r="N10" s="33"/>
      <c r="O10" s="33"/>
      <c r="P10" s="33"/>
      <c r="Q10" s="24">
        <f>SUM(M10:P10)</f>
        <v>0</v>
      </c>
      <c r="R10" s="860">
        <f t="shared" si="3"/>
        <v>0</v>
      </c>
      <c r="S10" s="862"/>
      <c r="T10" s="862"/>
      <c r="U10" s="207">
        <f t="shared" si="4"/>
        <v>0</v>
      </c>
      <c r="V10" s="470">
        <f>SUM(Önkormányzat!S97)</f>
        <v>0</v>
      </c>
      <c r="W10" s="33"/>
      <c r="X10" s="33"/>
      <c r="Y10" s="33"/>
      <c r="Z10" s="24">
        <f>SUM(V10:Y10)</f>
        <v>0</v>
      </c>
    </row>
    <row r="11" spans="1:26" ht="18" x14ac:dyDescent="0.25">
      <c r="A11" s="1"/>
      <c r="B11" s="83"/>
      <c r="C11" s="205">
        <f>SUM(Önkormányzat!C98)</f>
        <v>0</v>
      </c>
      <c r="D11" s="204">
        <f>SUM(Önkormányzat!D98)</f>
        <v>0</v>
      </c>
      <c r="E11" s="204"/>
      <c r="F11" s="207">
        <f>SUM(Önkormányzat!F98)</f>
        <v>0</v>
      </c>
      <c r="G11" s="470">
        <f>SUM(Önkormányzat!F98)</f>
        <v>0</v>
      </c>
      <c r="H11" s="33"/>
      <c r="I11" s="33"/>
      <c r="J11" s="33"/>
      <c r="K11" s="24">
        <f>SUM(G11:J11)</f>
        <v>0</v>
      </c>
      <c r="L11" s="207">
        <f t="shared" si="6"/>
        <v>0</v>
      </c>
      <c r="M11" s="470">
        <f>SUM(Önkormányzat!M98)</f>
        <v>0</v>
      </c>
      <c r="N11" s="33"/>
      <c r="O11" s="33"/>
      <c r="P11" s="33"/>
      <c r="Q11" s="24">
        <f>SUM(M11:P11)</f>
        <v>0</v>
      </c>
      <c r="R11" s="860">
        <f t="shared" si="3"/>
        <v>0</v>
      </c>
      <c r="S11" s="862"/>
      <c r="T11" s="862"/>
      <c r="U11" s="207">
        <f t="shared" si="4"/>
        <v>0</v>
      </c>
      <c r="V11" s="470">
        <f>SUM(Önkormányzat!S98)</f>
        <v>0</v>
      </c>
      <c r="W11" s="33"/>
      <c r="X11" s="33"/>
      <c r="Y11" s="33"/>
      <c r="Z11" s="24">
        <f>SUM(V11:Y11)</f>
        <v>0</v>
      </c>
    </row>
    <row r="12" spans="1:26" ht="18" x14ac:dyDescent="0.25">
      <c r="A12" s="1"/>
      <c r="B12" s="83" t="s">
        <v>326</v>
      </c>
      <c r="C12" s="205">
        <f>SUM(Önkormányzat!C99)</f>
        <v>0</v>
      </c>
      <c r="D12" s="204">
        <f>SUM(Önkormányzat!D99)</f>
        <v>0</v>
      </c>
      <c r="E12" s="204">
        <f>SUM(Önkormányzat!E99)</f>
        <v>0</v>
      </c>
      <c r="F12" s="207">
        <f>SUM(Önkormányzat!F99)</f>
        <v>117600</v>
      </c>
      <c r="G12" s="470">
        <f>SUM(Önkormányzat!F99)</f>
        <v>117600</v>
      </c>
      <c r="H12" s="33"/>
      <c r="I12" s="33"/>
      <c r="J12" s="33"/>
      <c r="K12" s="24">
        <f>SUM(G12:J12)</f>
        <v>117600</v>
      </c>
      <c r="L12" s="207">
        <f t="shared" si="6"/>
        <v>0</v>
      </c>
      <c r="M12" s="470">
        <f>SUM(Önkormányzat!M99)</f>
        <v>0</v>
      </c>
      <c r="N12" s="33"/>
      <c r="O12" s="33"/>
      <c r="P12" s="33"/>
      <c r="Q12" s="24">
        <f>SUM(M12:P12)</f>
        <v>0</v>
      </c>
      <c r="R12" s="860">
        <f t="shared" si="3"/>
        <v>0</v>
      </c>
      <c r="S12" s="862"/>
      <c r="T12" s="862"/>
      <c r="U12" s="207">
        <f t="shared" si="4"/>
        <v>0</v>
      </c>
      <c r="V12" s="470">
        <f>SUM(Önkormányzat!S99)</f>
        <v>0</v>
      </c>
      <c r="W12" s="33"/>
      <c r="X12" s="33"/>
      <c r="Y12" s="33"/>
      <c r="Z12" s="24">
        <f>SUM(V12:Y12)</f>
        <v>0</v>
      </c>
    </row>
    <row r="13" spans="1:26" ht="18" x14ac:dyDescent="0.25">
      <c r="A13" s="1"/>
      <c r="B13" s="83" t="s">
        <v>325</v>
      </c>
      <c r="C13" s="205">
        <f>SUM(Önkormányzat!C100)</f>
        <v>0</v>
      </c>
      <c r="D13" s="204">
        <f>SUM(Önkormányzat!D100)</f>
        <v>0</v>
      </c>
      <c r="E13" s="204">
        <f>SUM(Önkormányzat!E100)</f>
        <v>0</v>
      </c>
      <c r="F13" s="207">
        <f>SUM(Önkormányzat!F100)</f>
        <v>19000000</v>
      </c>
      <c r="G13" s="470">
        <f>SUM(Önkormányzat!F100)</f>
        <v>19000000</v>
      </c>
      <c r="H13" s="33"/>
      <c r="I13" s="33"/>
      <c r="J13" s="33"/>
      <c r="K13" s="24">
        <f>SUM(G13:J13)</f>
        <v>19000000</v>
      </c>
      <c r="L13" s="207">
        <f t="shared" si="6"/>
        <v>0</v>
      </c>
      <c r="M13" s="470">
        <f>SUM(Önkormányzat!M100)</f>
        <v>0</v>
      </c>
      <c r="N13" s="33"/>
      <c r="O13" s="33"/>
      <c r="P13" s="33"/>
      <c r="Q13" s="24">
        <f>SUM(M13:P13)</f>
        <v>0</v>
      </c>
      <c r="R13" s="860">
        <f t="shared" si="3"/>
        <v>0</v>
      </c>
      <c r="S13" s="862"/>
      <c r="T13" s="862"/>
      <c r="U13" s="207">
        <f t="shared" si="4"/>
        <v>0</v>
      </c>
      <c r="V13" s="470">
        <f>SUM(Önkormányzat!S100)</f>
        <v>0</v>
      </c>
      <c r="W13" s="33"/>
      <c r="X13" s="33"/>
      <c r="Y13" s="33"/>
      <c r="Z13" s="24">
        <f>SUM(V13:Y13)</f>
        <v>0</v>
      </c>
    </row>
    <row r="14" spans="1:26" ht="18" x14ac:dyDescent="0.25">
      <c r="A14" s="151" t="s">
        <v>330</v>
      </c>
      <c r="B14" s="153" t="s">
        <v>323</v>
      </c>
      <c r="C14" s="147">
        <f t="shared" ref="C14:K14" si="8">SUM(C10:C13)</f>
        <v>0</v>
      </c>
      <c r="D14" s="144">
        <f t="shared" si="8"/>
        <v>0</v>
      </c>
      <c r="E14" s="144">
        <f t="shared" si="8"/>
        <v>0</v>
      </c>
      <c r="F14" s="179">
        <f t="shared" si="8"/>
        <v>19117600</v>
      </c>
      <c r="G14" s="144">
        <f t="shared" si="8"/>
        <v>19117600</v>
      </c>
      <c r="H14" s="144">
        <f t="shared" si="8"/>
        <v>0</v>
      </c>
      <c r="I14" s="144">
        <f t="shared" si="8"/>
        <v>0</v>
      </c>
      <c r="J14" s="144">
        <f t="shared" si="8"/>
        <v>0</v>
      </c>
      <c r="K14" s="144">
        <f t="shared" si="8"/>
        <v>19117600</v>
      </c>
      <c r="L14" s="207">
        <f t="shared" si="6"/>
        <v>19117600</v>
      </c>
      <c r="M14" s="144">
        <f>Önkormányzat!G101</f>
        <v>19117600</v>
      </c>
      <c r="N14" s="144">
        <f t="shared" ref="N14:Z14" si="9">SUM(N10:N13)</f>
        <v>0</v>
      </c>
      <c r="O14" s="144">
        <f t="shared" si="9"/>
        <v>0</v>
      </c>
      <c r="P14" s="144">
        <f t="shared" si="9"/>
        <v>0</v>
      </c>
      <c r="Q14" s="144">
        <f t="shared" si="9"/>
        <v>0</v>
      </c>
      <c r="R14" s="860">
        <f t="shared" si="3"/>
        <v>24478014</v>
      </c>
      <c r="S14" s="144">
        <f>Önkormányzat!H101</f>
        <v>24478014</v>
      </c>
      <c r="T14" s="144"/>
      <c r="U14" s="207">
        <f t="shared" si="4"/>
        <v>24798298</v>
      </c>
      <c r="V14" s="144">
        <f>Önkormányzat!I101</f>
        <v>24798298</v>
      </c>
      <c r="W14" s="144">
        <f t="shared" si="9"/>
        <v>0</v>
      </c>
      <c r="X14" s="144">
        <f t="shared" si="9"/>
        <v>0</v>
      </c>
      <c r="Y14" s="144">
        <f t="shared" si="9"/>
        <v>0</v>
      </c>
      <c r="Z14" s="144">
        <f t="shared" si="9"/>
        <v>0</v>
      </c>
    </row>
    <row r="15" spans="1:26" ht="18" x14ac:dyDescent="0.25">
      <c r="A15" s="157" t="s">
        <v>321</v>
      </c>
      <c r="B15" s="155" t="s">
        <v>327</v>
      </c>
      <c r="C15" s="144">
        <f t="shared" ref="C15:K15" si="10">SUM(C14,C9)</f>
        <v>0</v>
      </c>
      <c r="D15" s="144">
        <f t="shared" si="10"/>
        <v>0</v>
      </c>
      <c r="E15" s="144">
        <f t="shared" si="10"/>
        <v>0</v>
      </c>
      <c r="F15" s="81">
        <f t="shared" si="10"/>
        <v>73978668</v>
      </c>
      <c r="G15" s="144">
        <f t="shared" si="10"/>
        <v>73978668</v>
      </c>
      <c r="H15" s="144">
        <f t="shared" si="10"/>
        <v>0</v>
      </c>
      <c r="I15" s="144">
        <f t="shared" si="10"/>
        <v>0</v>
      </c>
      <c r="J15" s="144">
        <f t="shared" si="10"/>
        <v>0</v>
      </c>
      <c r="K15" s="144">
        <f t="shared" si="10"/>
        <v>73978668</v>
      </c>
      <c r="L15" s="207">
        <f t="shared" si="6"/>
        <v>74817540</v>
      </c>
      <c r="M15" s="144">
        <f t="shared" ref="M15:Z15" si="11">SUM(M14,M9)</f>
        <v>74817540</v>
      </c>
      <c r="N15" s="144">
        <f t="shared" si="11"/>
        <v>0</v>
      </c>
      <c r="O15" s="144">
        <f t="shared" si="11"/>
        <v>0</v>
      </c>
      <c r="P15" s="144">
        <f t="shared" si="11"/>
        <v>0</v>
      </c>
      <c r="Q15" s="144">
        <f t="shared" si="11"/>
        <v>55699940</v>
      </c>
      <c r="R15" s="860">
        <f t="shared" si="3"/>
        <v>83677515</v>
      </c>
      <c r="S15" s="144">
        <f>S9+S14</f>
        <v>83677515</v>
      </c>
      <c r="T15" s="144"/>
      <c r="U15" s="207">
        <f t="shared" si="4"/>
        <v>85184032</v>
      </c>
      <c r="V15" s="144">
        <f t="shared" si="11"/>
        <v>85184032</v>
      </c>
      <c r="W15" s="144">
        <f t="shared" si="11"/>
        <v>0</v>
      </c>
      <c r="X15" s="144">
        <f t="shared" si="11"/>
        <v>0</v>
      </c>
      <c r="Y15" s="144">
        <f t="shared" si="11"/>
        <v>0</v>
      </c>
      <c r="Z15" s="144">
        <f t="shared" si="11"/>
        <v>60385734</v>
      </c>
    </row>
    <row r="16" spans="1:26" ht="18" x14ac:dyDescent="0.25">
      <c r="A16" s="151" t="s">
        <v>334</v>
      </c>
      <c r="B16" s="153" t="s">
        <v>328</v>
      </c>
      <c r="C16" s="206">
        <f>SUM(Önkormányzat!C103)</f>
        <v>0</v>
      </c>
      <c r="D16" s="206">
        <f>SUM(Önkormányzat!D103)</f>
        <v>0</v>
      </c>
      <c r="E16" s="206">
        <f>SUM(Önkormányzat!E103)</f>
        <v>0</v>
      </c>
      <c r="F16" s="208">
        <f>SUM(Önkormányzat!F103)</f>
        <v>4104815</v>
      </c>
      <c r="G16" s="206">
        <f>Önkormányzat!Y108</f>
        <v>4104815</v>
      </c>
      <c r="H16" s="181"/>
      <c r="I16" s="181"/>
      <c r="J16" s="181"/>
      <c r="K16" s="181"/>
      <c r="L16" s="207">
        <f t="shared" si="6"/>
        <v>4104815</v>
      </c>
      <c r="M16" s="206">
        <f>Önkormányzat!G108</f>
        <v>4104815</v>
      </c>
      <c r="N16" s="181"/>
      <c r="O16" s="181"/>
      <c r="P16" s="181"/>
      <c r="Q16" s="181"/>
      <c r="R16" s="860">
        <f t="shared" si="3"/>
        <v>7593025</v>
      </c>
      <c r="S16" s="181">
        <v>7593025</v>
      </c>
      <c r="T16" s="181"/>
      <c r="U16" s="207">
        <f t="shared" si="4"/>
        <v>4345815</v>
      </c>
      <c r="V16" s="838">
        <f>Önkormányzat!I103</f>
        <v>4345815</v>
      </c>
      <c r="W16" s="181"/>
      <c r="X16" s="181"/>
      <c r="Y16" s="181"/>
      <c r="Z16" s="181"/>
    </row>
    <row r="17" spans="1:26" ht="18" x14ac:dyDescent="0.25">
      <c r="A17" s="1"/>
      <c r="B17" s="83" t="s">
        <v>499</v>
      </c>
      <c r="C17" s="205">
        <f>SUM(Önkormányzat!C104)</f>
        <v>0</v>
      </c>
      <c r="D17" s="204">
        <f>SUM(Önkormányzat!D104)</f>
        <v>0</v>
      </c>
      <c r="E17" s="204">
        <f>SUM(Önkormányzat!E104)</f>
        <v>0</v>
      </c>
      <c r="F17" s="207">
        <f>SUM(Önkormányzat!F104)</f>
        <v>0</v>
      </c>
      <c r="G17" s="470">
        <f>SUM(Önkormányzat!F104)</f>
        <v>0</v>
      </c>
      <c r="H17" s="33"/>
      <c r="I17" s="33"/>
      <c r="J17" s="33"/>
      <c r="K17" s="24">
        <f>SUM(G17:J17)</f>
        <v>0</v>
      </c>
      <c r="L17" s="207">
        <f t="shared" si="6"/>
        <v>0</v>
      </c>
      <c r="M17" s="470">
        <f>SUM(Önkormányzat!M104)</f>
        <v>0</v>
      </c>
      <c r="N17" s="33"/>
      <c r="O17" s="33"/>
      <c r="P17" s="33"/>
      <c r="Q17" s="24">
        <f>SUM(M17:P17)</f>
        <v>0</v>
      </c>
      <c r="R17" s="860">
        <f t="shared" si="3"/>
        <v>0</v>
      </c>
      <c r="S17" s="862"/>
      <c r="T17" s="862"/>
      <c r="U17" s="207">
        <f t="shared" si="4"/>
        <v>0</v>
      </c>
      <c r="V17" s="470">
        <f>SUM(Önkormányzat!S104)</f>
        <v>0</v>
      </c>
      <c r="W17" s="33"/>
      <c r="X17" s="33"/>
      <c r="Y17" s="33"/>
      <c r="Z17" s="24">
        <f>SUM(V17:Y17)</f>
        <v>0</v>
      </c>
    </row>
    <row r="18" spans="1:26" ht="18" x14ac:dyDescent="0.25">
      <c r="A18" s="1"/>
      <c r="B18" s="83" t="s">
        <v>500</v>
      </c>
      <c r="C18" s="205">
        <f>SUM(Önkormányzat!C105)</f>
        <v>0</v>
      </c>
      <c r="D18" s="204">
        <f>SUM(Önkormányzat!D105)</f>
        <v>0</v>
      </c>
      <c r="E18" s="204">
        <f>SUM(Önkormányzat!E105)</f>
        <v>0</v>
      </c>
      <c r="F18" s="207">
        <f>SUM(Önkormányzat!F105)</f>
        <v>0</v>
      </c>
      <c r="G18" s="205">
        <f>SUM(Önkormányzat!F105)</f>
        <v>0</v>
      </c>
      <c r="H18" s="33"/>
      <c r="I18" s="33"/>
      <c r="J18" s="33"/>
      <c r="K18" s="24">
        <f>SUM(G18:J18)</f>
        <v>0</v>
      </c>
      <c r="L18" s="207">
        <f t="shared" si="6"/>
        <v>0</v>
      </c>
      <c r="M18" s="205">
        <f>SUM(Önkormányzat!M105)</f>
        <v>0</v>
      </c>
      <c r="N18" s="33"/>
      <c r="O18" s="33"/>
      <c r="P18" s="33"/>
      <c r="Q18" s="24">
        <f>SUM(M18:P18)</f>
        <v>0</v>
      </c>
      <c r="R18" s="860">
        <f t="shared" si="3"/>
        <v>0</v>
      </c>
      <c r="S18" s="862"/>
      <c r="T18" s="862"/>
      <c r="U18" s="207">
        <f t="shared" si="4"/>
        <v>0</v>
      </c>
      <c r="V18" s="205">
        <f>SUM(Önkormányzat!S105)</f>
        <v>0</v>
      </c>
      <c r="W18" s="33"/>
      <c r="X18" s="33"/>
      <c r="Y18" s="33"/>
      <c r="Z18" s="24">
        <f>SUM(V18:Y18)</f>
        <v>0</v>
      </c>
    </row>
    <row r="19" spans="1:26" ht="18" x14ac:dyDescent="0.25">
      <c r="A19" s="1"/>
      <c r="B19" s="83"/>
      <c r="C19" s="205">
        <f>SUM(Önkormányzat!C106)</f>
        <v>0</v>
      </c>
      <c r="D19" s="204">
        <f>SUM(Önkormányzat!D106)</f>
        <v>0</v>
      </c>
      <c r="E19" s="204">
        <f>SUM(Önkormányzat!E106)</f>
        <v>0</v>
      </c>
      <c r="F19" s="207">
        <f>SUM(Önkormányzat!F106)</f>
        <v>0</v>
      </c>
      <c r="G19" s="205">
        <f>SUM(Önkormányzat!F106)</f>
        <v>0</v>
      </c>
      <c r="H19" s="33"/>
      <c r="I19" s="33"/>
      <c r="J19" s="33"/>
      <c r="K19" s="24">
        <f>SUM(G19:J19)</f>
        <v>0</v>
      </c>
      <c r="L19" s="207">
        <f t="shared" si="6"/>
        <v>0</v>
      </c>
      <c r="M19" s="205">
        <f>SUM(Önkormányzat!M106)</f>
        <v>0</v>
      </c>
      <c r="N19" s="33"/>
      <c r="O19" s="33"/>
      <c r="P19" s="33"/>
      <c r="Q19" s="24">
        <f>SUM(M19:P19)</f>
        <v>0</v>
      </c>
      <c r="R19" s="860">
        <f t="shared" si="3"/>
        <v>0</v>
      </c>
      <c r="S19" s="862"/>
      <c r="T19" s="862"/>
      <c r="U19" s="207">
        <f t="shared" si="4"/>
        <v>0</v>
      </c>
      <c r="V19" s="205">
        <f>SUM(Önkormányzat!S106)</f>
        <v>0</v>
      </c>
      <c r="W19" s="33"/>
      <c r="X19" s="33"/>
      <c r="Y19" s="33"/>
      <c r="Z19" s="24">
        <f>SUM(V19:Y19)</f>
        <v>0</v>
      </c>
    </row>
    <row r="20" spans="1:26" ht="18" x14ac:dyDescent="0.25">
      <c r="A20" s="151" t="s">
        <v>332</v>
      </c>
      <c r="B20" s="153" t="s">
        <v>331</v>
      </c>
      <c r="C20" s="147">
        <f t="shared" ref="C20:K20" si="12">SUM(C17:C19)</f>
        <v>0</v>
      </c>
      <c r="D20" s="144">
        <f t="shared" si="12"/>
        <v>0</v>
      </c>
      <c r="E20" s="144">
        <f t="shared" si="12"/>
        <v>0</v>
      </c>
      <c r="F20" s="179">
        <f t="shared" si="12"/>
        <v>0</v>
      </c>
      <c r="G20" s="144">
        <f t="shared" si="12"/>
        <v>0</v>
      </c>
      <c r="H20" s="144">
        <f t="shared" si="12"/>
        <v>0</v>
      </c>
      <c r="I20" s="144">
        <f t="shared" si="12"/>
        <v>0</v>
      </c>
      <c r="J20" s="144">
        <f t="shared" si="12"/>
        <v>0</v>
      </c>
      <c r="K20" s="144">
        <f t="shared" si="12"/>
        <v>0</v>
      </c>
      <c r="L20" s="207">
        <f t="shared" si="6"/>
        <v>0</v>
      </c>
      <c r="M20" s="144">
        <f t="shared" ref="M20:Z20" si="13">SUM(M17:M19)</f>
        <v>0</v>
      </c>
      <c r="N20" s="144">
        <f t="shared" si="13"/>
        <v>0</v>
      </c>
      <c r="O20" s="144">
        <f t="shared" si="13"/>
        <v>0</v>
      </c>
      <c r="P20" s="144">
        <f t="shared" si="13"/>
        <v>0</v>
      </c>
      <c r="Q20" s="144">
        <f t="shared" si="13"/>
        <v>0</v>
      </c>
      <c r="R20" s="860">
        <f t="shared" si="3"/>
        <v>0</v>
      </c>
      <c r="S20" s="144"/>
      <c r="T20" s="144"/>
      <c r="U20" s="207">
        <f t="shared" si="4"/>
        <v>5814746</v>
      </c>
      <c r="V20" s="839">
        <f>Önkormányzat!I107</f>
        <v>5814746</v>
      </c>
      <c r="W20" s="144">
        <f t="shared" si="13"/>
        <v>0</v>
      </c>
      <c r="X20" s="144">
        <f t="shared" si="13"/>
        <v>0</v>
      </c>
      <c r="Y20" s="144">
        <f t="shared" si="13"/>
        <v>0</v>
      </c>
      <c r="Z20" s="144">
        <f t="shared" si="13"/>
        <v>0</v>
      </c>
    </row>
    <row r="21" spans="1:26" ht="18" x14ac:dyDescent="0.25">
      <c r="A21" s="157" t="s">
        <v>333</v>
      </c>
      <c r="B21" s="155" t="s">
        <v>335</v>
      </c>
      <c r="C21" s="144">
        <f t="shared" ref="C21:K21" si="14">SUM(C16,C20)</f>
        <v>0</v>
      </c>
      <c r="D21" s="144">
        <f t="shared" si="14"/>
        <v>0</v>
      </c>
      <c r="E21" s="144">
        <f t="shared" si="14"/>
        <v>0</v>
      </c>
      <c r="F21" s="81">
        <f t="shared" si="14"/>
        <v>4104815</v>
      </c>
      <c r="G21" s="144">
        <f t="shared" si="14"/>
        <v>4104815</v>
      </c>
      <c r="H21" s="144">
        <f t="shared" si="14"/>
        <v>0</v>
      </c>
      <c r="I21" s="144">
        <f t="shared" si="14"/>
        <v>0</v>
      </c>
      <c r="J21" s="144">
        <f t="shared" si="14"/>
        <v>0</v>
      </c>
      <c r="K21" s="144">
        <f t="shared" si="14"/>
        <v>0</v>
      </c>
      <c r="L21" s="207">
        <f t="shared" si="6"/>
        <v>4104815</v>
      </c>
      <c r="M21" s="144">
        <f t="shared" ref="M21:Z21" si="15">SUM(M16,M20)</f>
        <v>4104815</v>
      </c>
      <c r="N21" s="144">
        <f t="shared" si="15"/>
        <v>0</v>
      </c>
      <c r="O21" s="144">
        <f t="shared" si="15"/>
        <v>0</v>
      </c>
      <c r="P21" s="144">
        <f t="shared" si="15"/>
        <v>0</v>
      </c>
      <c r="Q21" s="144">
        <f t="shared" si="15"/>
        <v>0</v>
      </c>
      <c r="R21" s="860">
        <f t="shared" si="3"/>
        <v>7593025</v>
      </c>
      <c r="S21" s="144">
        <f>Önkormányzat!H108</f>
        <v>7593025</v>
      </c>
      <c r="T21" s="144"/>
      <c r="U21" s="207">
        <f t="shared" si="4"/>
        <v>10160561</v>
      </c>
      <c r="V21" s="144">
        <f t="shared" si="15"/>
        <v>10160561</v>
      </c>
      <c r="W21" s="144">
        <f t="shared" si="15"/>
        <v>0</v>
      </c>
      <c r="X21" s="144">
        <f t="shared" si="15"/>
        <v>0</v>
      </c>
      <c r="Y21" s="144">
        <f t="shared" si="15"/>
        <v>0</v>
      </c>
      <c r="Z21" s="144">
        <f t="shared" si="15"/>
        <v>0</v>
      </c>
    </row>
    <row r="22" spans="1:26" ht="18" x14ac:dyDescent="0.25">
      <c r="A22" s="1" t="s">
        <v>336</v>
      </c>
      <c r="B22" s="92" t="s">
        <v>337</v>
      </c>
      <c r="C22" s="205">
        <f>SUM(Önkormányzat!C109)</f>
        <v>0</v>
      </c>
      <c r="D22" s="204">
        <f>SUM(Önkormányzat!D109)</f>
        <v>0</v>
      </c>
      <c r="E22" s="204">
        <f>SUM(Önkormányzat!E109)</f>
        <v>0</v>
      </c>
      <c r="F22" s="207">
        <f>SUM(Önkormányzat!F109)</f>
        <v>2000000</v>
      </c>
      <c r="G22" s="470">
        <f>SUM(Önkormányzat!F109)</f>
        <v>2000000</v>
      </c>
      <c r="H22" s="33"/>
      <c r="I22" s="33"/>
      <c r="J22" s="33"/>
      <c r="K22" s="24">
        <f t="shared" ref="K22:K29" si="16">SUM(G22:J22)</f>
        <v>2000000</v>
      </c>
      <c r="L22" s="207">
        <f t="shared" si="6"/>
        <v>2000000</v>
      </c>
      <c r="M22" s="470">
        <f>Önkormányzat!G109</f>
        <v>2000000</v>
      </c>
      <c r="N22" s="33"/>
      <c r="O22" s="33"/>
      <c r="P22" s="33"/>
      <c r="Q22" s="24">
        <f t="shared" ref="Q22:Q29" si="17">SUM(M22:P22)</f>
        <v>2000000</v>
      </c>
      <c r="R22" s="860">
        <f t="shared" si="3"/>
        <v>2000000</v>
      </c>
      <c r="S22" s="862">
        <f>Önkormányzat!H109</f>
        <v>2000000</v>
      </c>
      <c r="T22" s="862"/>
      <c r="U22" s="207">
        <f t="shared" si="4"/>
        <v>3039923</v>
      </c>
      <c r="V22" s="470">
        <f>Önkormányzat!I109</f>
        <v>3039923</v>
      </c>
      <c r="W22" s="33"/>
      <c r="X22" s="33"/>
      <c r="Y22" s="33"/>
      <c r="Z22" s="24">
        <f t="shared" ref="Z22:Z29" si="18">SUM(V22:Y22)</f>
        <v>3039923</v>
      </c>
    </row>
    <row r="23" spans="1:26" ht="18" x14ac:dyDescent="0.25">
      <c r="A23" s="1" t="s">
        <v>338</v>
      </c>
      <c r="B23" s="92" t="s">
        <v>339</v>
      </c>
      <c r="C23" s="205">
        <f>SUM(Önkormányzat!C110)</f>
        <v>0</v>
      </c>
      <c r="D23" s="204">
        <f>SUM(Önkormányzat!D110)</f>
        <v>0</v>
      </c>
      <c r="E23" s="204">
        <f>SUM(Önkormányzat!E110)</f>
        <v>0</v>
      </c>
      <c r="F23" s="207">
        <f>SUM(Önkormányzat!F110)</f>
        <v>7000000</v>
      </c>
      <c r="G23" s="470">
        <f>SUM(Önkormányzat!F110)</f>
        <v>7000000</v>
      </c>
      <c r="H23" s="33"/>
      <c r="I23" s="33"/>
      <c r="J23" s="33"/>
      <c r="K23" s="24">
        <f t="shared" si="16"/>
        <v>7000000</v>
      </c>
      <c r="L23" s="207">
        <f t="shared" si="6"/>
        <v>7000000</v>
      </c>
      <c r="M23" s="470">
        <f>Önkormányzat!G110</f>
        <v>7000000</v>
      </c>
      <c r="N23" s="33"/>
      <c r="O23" s="33"/>
      <c r="P23" s="33"/>
      <c r="Q23" s="24">
        <f t="shared" si="17"/>
        <v>7000000</v>
      </c>
      <c r="R23" s="860">
        <f t="shared" si="3"/>
        <v>7000000</v>
      </c>
      <c r="S23" s="862">
        <f>Önkormányzat!H110</f>
        <v>7000000</v>
      </c>
      <c r="T23" s="862"/>
      <c r="U23" s="207">
        <f t="shared" si="4"/>
        <v>6102152</v>
      </c>
      <c r="V23" s="470">
        <f>Önkormányzat!I110</f>
        <v>6102152</v>
      </c>
      <c r="W23" s="33"/>
      <c r="X23" s="33"/>
      <c r="Y23" s="33"/>
      <c r="Z23" s="24">
        <f t="shared" si="18"/>
        <v>6102152</v>
      </c>
    </row>
    <row r="24" spans="1:26" ht="18" x14ac:dyDescent="0.25">
      <c r="A24" s="1" t="s">
        <v>340</v>
      </c>
      <c r="B24" s="83" t="s">
        <v>341</v>
      </c>
      <c r="C24" s="205">
        <f>SUM(Önkormányzat!C111)</f>
        <v>0</v>
      </c>
      <c r="D24" s="204">
        <f>SUM(Önkormányzat!D111)</f>
        <v>0</v>
      </c>
      <c r="E24" s="204">
        <f>SUM(Önkormányzat!E111)</f>
        <v>0</v>
      </c>
      <c r="F24" s="207">
        <f>SUM(Önkormányzat!F111)</f>
        <v>140000000</v>
      </c>
      <c r="G24" s="470">
        <f>SUM(Önkormányzat!F111)</f>
        <v>140000000</v>
      </c>
      <c r="H24" s="33"/>
      <c r="I24" s="33"/>
      <c r="J24" s="33"/>
      <c r="K24" s="24">
        <f t="shared" si="16"/>
        <v>140000000</v>
      </c>
      <c r="L24" s="207">
        <f t="shared" si="6"/>
        <v>140000000</v>
      </c>
      <c r="M24" s="470">
        <f>Önkormányzat!G111</f>
        <v>140000000</v>
      </c>
      <c r="N24" s="33"/>
      <c r="O24" s="33"/>
      <c r="P24" s="33"/>
      <c r="Q24" s="24">
        <f t="shared" si="17"/>
        <v>140000000</v>
      </c>
      <c r="R24" s="860">
        <f t="shared" si="3"/>
        <v>140000000</v>
      </c>
      <c r="S24" s="862">
        <f>Önkormányzat!H111</f>
        <v>140000000</v>
      </c>
      <c r="T24" s="862"/>
      <c r="U24" s="207">
        <f t="shared" si="4"/>
        <v>161770406</v>
      </c>
      <c r="V24" s="470">
        <f>Önkormányzat!I111</f>
        <v>161770406</v>
      </c>
      <c r="W24" s="33"/>
      <c r="X24" s="33"/>
      <c r="Y24" s="33"/>
      <c r="Z24" s="24">
        <f t="shared" si="18"/>
        <v>161770406</v>
      </c>
    </row>
    <row r="25" spans="1:26" ht="18" x14ac:dyDescent="0.25">
      <c r="A25" s="1" t="s">
        <v>640</v>
      </c>
      <c r="B25" s="554" t="s">
        <v>594</v>
      </c>
      <c r="C25" s="205"/>
      <c r="D25" s="204"/>
      <c r="E25" s="204"/>
      <c r="F25" s="207">
        <f>SUM(Önkormányzat!F112)</f>
        <v>4200000</v>
      </c>
      <c r="G25" s="470">
        <f>Önkormányzat!L112</f>
        <v>4200000</v>
      </c>
      <c r="H25" s="33"/>
      <c r="I25" s="33"/>
      <c r="J25" s="33"/>
      <c r="K25" s="24">
        <f t="shared" si="16"/>
        <v>4200000</v>
      </c>
      <c r="L25" s="207">
        <f t="shared" si="6"/>
        <v>4200000</v>
      </c>
      <c r="M25" s="470">
        <f>Önkormányzat!G112</f>
        <v>4200000</v>
      </c>
      <c r="N25" s="33"/>
      <c r="O25" s="33"/>
      <c r="P25" s="33"/>
      <c r="Q25" s="24">
        <f t="shared" si="17"/>
        <v>4200000</v>
      </c>
      <c r="R25" s="860">
        <f t="shared" si="3"/>
        <v>4200000</v>
      </c>
      <c r="S25" s="862">
        <f>Önkormányzat!H112</f>
        <v>4200000</v>
      </c>
      <c r="T25" s="862"/>
      <c r="U25" s="207">
        <f t="shared" si="4"/>
        <v>4012597</v>
      </c>
      <c r="V25" s="470">
        <f>Önkormányzat!I112</f>
        <v>4012597</v>
      </c>
      <c r="W25" s="33"/>
      <c r="X25" s="33"/>
      <c r="Y25" s="33"/>
      <c r="Z25" s="24">
        <f t="shared" si="18"/>
        <v>4012597</v>
      </c>
    </row>
    <row r="26" spans="1:26" ht="18" x14ac:dyDescent="0.25">
      <c r="A26" s="1" t="s">
        <v>640</v>
      </c>
      <c r="B26" s="554" t="s">
        <v>593</v>
      </c>
      <c r="C26" s="205"/>
      <c r="D26" s="204"/>
      <c r="E26" s="204"/>
      <c r="F26" s="207">
        <f>SUM(Önkormányzat!F113)</f>
        <v>1500000</v>
      </c>
      <c r="G26" s="470">
        <f>Önkormányzat!L113</f>
        <v>1500000</v>
      </c>
      <c r="H26" s="33"/>
      <c r="I26" s="33"/>
      <c r="J26" s="33"/>
      <c r="K26" s="24">
        <f t="shared" si="16"/>
        <v>1500000</v>
      </c>
      <c r="L26" s="207">
        <f t="shared" si="6"/>
        <v>1500000</v>
      </c>
      <c r="M26" s="470">
        <f>Önkormányzat!G113</f>
        <v>1500000</v>
      </c>
      <c r="N26" s="33"/>
      <c r="O26" s="33"/>
      <c r="P26" s="33"/>
      <c r="Q26" s="24">
        <f t="shared" si="17"/>
        <v>1500000</v>
      </c>
      <c r="R26" s="860">
        <f t="shared" si="3"/>
        <v>1500000</v>
      </c>
      <c r="S26" s="862">
        <f>Önkormányzat!H113</f>
        <v>1500000</v>
      </c>
      <c r="T26" s="862"/>
      <c r="U26" s="207">
        <f t="shared" si="4"/>
        <v>2048900</v>
      </c>
      <c r="V26" s="470">
        <f>Önkormányzat!I113</f>
        <v>2048900</v>
      </c>
      <c r="W26" s="33"/>
      <c r="X26" s="33"/>
      <c r="Y26" s="33"/>
      <c r="Z26" s="24">
        <f t="shared" si="18"/>
        <v>2048900</v>
      </c>
    </row>
    <row r="27" spans="1:26" ht="18" x14ac:dyDescent="0.25">
      <c r="A27" s="1" t="s">
        <v>342</v>
      </c>
      <c r="B27" s="90" t="s">
        <v>344</v>
      </c>
      <c r="C27" s="205">
        <f>SUM(Önkormányzat!C114)</f>
        <v>0</v>
      </c>
      <c r="D27" s="204">
        <f>SUM(Önkormányzat!D114)</f>
        <v>0</v>
      </c>
      <c r="E27" s="204">
        <f>SUM(Önkormányzat!E114)</f>
        <v>0</v>
      </c>
      <c r="F27" s="207">
        <f>SUM(Önkormányzat!F114)</f>
        <v>6000000</v>
      </c>
      <c r="G27" s="470">
        <f>SUM(Önkormányzat!F114)</f>
        <v>6000000</v>
      </c>
      <c r="H27" s="33"/>
      <c r="I27" s="33"/>
      <c r="J27" s="33"/>
      <c r="K27" s="24">
        <f t="shared" si="16"/>
        <v>6000000</v>
      </c>
      <c r="L27" s="207">
        <f t="shared" si="6"/>
        <v>6000000</v>
      </c>
      <c r="M27" s="470">
        <f>Önkormányzat!G114</f>
        <v>6000000</v>
      </c>
      <c r="N27" s="33"/>
      <c r="O27" s="33"/>
      <c r="P27" s="33"/>
      <c r="Q27" s="24">
        <f t="shared" si="17"/>
        <v>6000000</v>
      </c>
      <c r="R27" s="860">
        <f t="shared" si="3"/>
        <v>6000000</v>
      </c>
      <c r="S27" s="862">
        <f>Önkormányzat!H114</f>
        <v>6000000</v>
      </c>
      <c r="T27" s="862"/>
      <c r="U27" s="207">
        <f t="shared" si="4"/>
        <v>6268568</v>
      </c>
      <c r="V27" s="470">
        <f>Önkormányzat!I114</f>
        <v>6268568</v>
      </c>
      <c r="W27" s="33"/>
      <c r="X27" s="33"/>
      <c r="Y27" s="33"/>
      <c r="Z27" s="24">
        <f t="shared" si="18"/>
        <v>6268568</v>
      </c>
    </row>
    <row r="28" spans="1:26" ht="18" x14ac:dyDescent="0.25">
      <c r="A28" s="1" t="s">
        <v>343</v>
      </c>
      <c r="B28" s="83" t="s">
        <v>345</v>
      </c>
      <c r="C28" s="205">
        <f>SUM(Önkormányzat!C115)</f>
        <v>0</v>
      </c>
      <c r="D28" s="204">
        <f>SUM(Önkormányzat!D115)</f>
        <v>0</v>
      </c>
      <c r="E28" s="204">
        <f>SUM(Önkormányzat!E115)</f>
        <v>0</v>
      </c>
      <c r="F28" s="207">
        <f>SUM(Önkormányzat!F115)</f>
        <v>200000</v>
      </c>
      <c r="G28" s="470">
        <f>SUM(Önkormányzat!F115)</f>
        <v>200000</v>
      </c>
      <c r="H28" s="33"/>
      <c r="I28" s="33"/>
      <c r="J28" s="33"/>
      <c r="K28" s="24">
        <f t="shared" si="16"/>
        <v>200000</v>
      </c>
      <c r="L28" s="207">
        <f t="shared" si="6"/>
        <v>200000</v>
      </c>
      <c r="M28" s="470">
        <f>Önkormányzat!G115</f>
        <v>200000</v>
      </c>
      <c r="N28" s="33"/>
      <c r="O28" s="33"/>
      <c r="P28" s="33"/>
      <c r="Q28" s="24">
        <f t="shared" si="17"/>
        <v>200000</v>
      </c>
      <c r="R28" s="860">
        <f t="shared" si="3"/>
        <v>200000</v>
      </c>
      <c r="S28" s="862">
        <f>Önkormányzat!H115</f>
        <v>200000</v>
      </c>
      <c r="T28" s="862"/>
      <c r="U28" s="207">
        <f t="shared" si="4"/>
        <v>0</v>
      </c>
      <c r="V28" s="470">
        <f>Önkormányzat!I115</f>
        <v>0</v>
      </c>
      <c r="W28" s="33"/>
      <c r="X28" s="33"/>
      <c r="Y28" s="33"/>
      <c r="Z28" s="24">
        <f t="shared" si="18"/>
        <v>0</v>
      </c>
    </row>
    <row r="29" spans="1:26" ht="18" x14ac:dyDescent="0.25">
      <c r="A29" s="1"/>
      <c r="B29" s="91" t="s">
        <v>346</v>
      </c>
      <c r="C29" s="205">
        <f>SUM(Önkormányzat!C116)</f>
        <v>0</v>
      </c>
      <c r="D29" s="204">
        <f>SUM(Önkormányzat!D116)</f>
        <v>0</v>
      </c>
      <c r="E29" s="204">
        <f>SUM(Önkormányzat!E116)</f>
        <v>0</v>
      </c>
      <c r="F29" s="207">
        <f>SUM(Önkormányzat!F116)</f>
        <v>15000</v>
      </c>
      <c r="G29" s="470">
        <f>SUM(Önkormányzat!F116)</f>
        <v>15000</v>
      </c>
      <c r="H29" s="33"/>
      <c r="I29" s="33"/>
      <c r="J29" s="33"/>
      <c r="K29" s="24">
        <f t="shared" si="16"/>
        <v>15000</v>
      </c>
      <c r="L29" s="207">
        <f t="shared" si="6"/>
        <v>15000</v>
      </c>
      <c r="M29" s="470">
        <f>Önkormányzat!G116</f>
        <v>15000</v>
      </c>
      <c r="N29" s="33"/>
      <c r="O29" s="33"/>
      <c r="P29" s="33"/>
      <c r="Q29" s="24">
        <f t="shared" si="17"/>
        <v>15000</v>
      </c>
      <c r="R29" s="860">
        <f t="shared" si="3"/>
        <v>15000</v>
      </c>
      <c r="S29" s="862">
        <f>Önkormányzat!H116</f>
        <v>15000</v>
      </c>
      <c r="T29" s="862"/>
      <c r="U29" s="207">
        <f t="shared" si="4"/>
        <v>82068</v>
      </c>
      <c r="V29" s="470">
        <f>Önkormányzat!I116</f>
        <v>82068</v>
      </c>
      <c r="W29" s="33"/>
      <c r="X29" s="33"/>
      <c r="Y29" s="33"/>
      <c r="Z29" s="24">
        <f t="shared" si="18"/>
        <v>82068</v>
      </c>
    </row>
    <row r="30" spans="1:26" ht="18" x14ac:dyDescent="0.25">
      <c r="A30" s="157" t="s">
        <v>347</v>
      </c>
      <c r="B30" s="155" t="s">
        <v>348</v>
      </c>
      <c r="C30" s="147">
        <f t="shared" ref="C30:K30" si="19">SUM(C22:C29)</f>
        <v>0</v>
      </c>
      <c r="D30" s="144">
        <f t="shared" si="19"/>
        <v>0</v>
      </c>
      <c r="E30" s="144">
        <f t="shared" si="19"/>
        <v>0</v>
      </c>
      <c r="F30" s="179">
        <f t="shared" si="19"/>
        <v>160915000</v>
      </c>
      <c r="G30" s="144">
        <f t="shared" si="19"/>
        <v>160915000</v>
      </c>
      <c r="H30" s="144">
        <f t="shared" si="19"/>
        <v>0</v>
      </c>
      <c r="I30" s="144">
        <f t="shared" si="19"/>
        <v>0</v>
      </c>
      <c r="J30" s="144">
        <f t="shared" si="19"/>
        <v>0</v>
      </c>
      <c r="K30" s="144">
        <f t="shared" si="19"/>
        <v>160915000</v>
      </c>
      <c r="L30" s="207">
        <f t="shared" si="6"/>
        <v>160915000</v>
      </c>
      <c r="M30" s="144">
        <f t="shared" ref="M30:Z30" si="20">SUM(M22:M29)</f>
        <v>160915000</v>
      </c>
      <c r="N30" s="144">
        <f t="shared" si="20"/>
        <v>0</v>
      </c>
      <c r="O30" s="144">
        <f t="shared" si="20"/>
        <v>0</v>
      </c>
      <c r="P30" s="144">
        <f t="shared" si="20"/>
        <v>0</v>
      </c>
      <c r="Q30" s="144">
        <f t="shared" si="20"/>
        <v>160915000</v>
      </c>
      <c r="R30" s="860">
        <f t="shared" si="3"/>
        <v>160915000</v>
      </c>
      <c r="S30" s="144">
        <f>S22+S23+S24+S25+S26+S27+S28+S29</f>
        <v>160915000</v>
      </c>
      <c r="T30" s="144">
        <f>T22+T23+T24+T25+T26+T27+T28+T29</f>
        <v>0</v>
      </c>
      <c r="U30" s="207">
        <f t="shared" si="4"/>
        <v>183324614</v>
      </c>
      <c r="V30" s="144">
        <f t="shared" si="20"/>
        <v>183324614</v>
      </c>
      <c r="W30" s="144">
        <f t="shared" si="20"/>
        <v>0</v>
      </c>
      <c r="X30" s="144">
        <f t="shared" si="20"/>
        <v>0</v>
      </c>
      <c r="Y30" s="144">
        <f t="shared" si="20"/>
        <v>0</v>
      </c>
      <c r="Z30" s="144">
        <f t="shared" si="20"/>
        <v>183324614</v>
      </c>
    </row>
    <row r="31" spans="1:26" ht="18" x14ac:dyDescent="0.25">
      <c r="A31" s="1" t="s">
        <v>351</v>
      </c>
      <c r="B31" s="91" t="s">
        <v>357</v>
      </c>
      <c r="C31" s="476" t="e">
        <f>SUM(Önkormányzat!C118,#REF!,#REF!)</f>
        <v>#REF!</v>
      </c>
      <c r="D31" s="477" t="e">
        <f>SUM(Önkormányzat!D118,#REF!,#REF!)</f>
        <v>#REF!</v>
      </c>
      <c r="E31" s="476" t="e">
        <f>SUM(Önkormányzat!E118,#REF!,#REF!)</f>
        <v>#REF!</v>
      </c>
      <c r="F31" s="207">
        <f>SUM(Önkormányzat!F118)</f>
        <v>0</v>
      </c>
      <c r="G31" s="470">
        <f>SUM(Önkormányzat!F118)</f>
        <v>0</v>
      </c>
      <c r="H31" s="205"/>
      <c r="I31" s="470"/>
      <c r="J31" s="160"/>
      <c r="K31" s="24">
        <f t="shared" ref="K31:K39" si="21">SUM(G31:J31)</f>
        <v>0</v>
      </c>
      <c r="L31" s="207">
        <f t="shared" si="6"/>
        <v>0</v>
      </c>
      <c r="M31" s="470">
        <f>SUM(Önkormányzat!M118)</f>
        <v>0</v>
      </c>
      <c r="N31" s="205"/>
      <c r="O31" s="470"/>
      <c r="P31" s="160"/>
      <c r="Q31" s="24">
        <f>SUM(M31:P31)</f>
        <v>0</v>
      </c>
      <c r="R31" s="860">
        <f t="shared" si="3"/>
        <v>435520</v>
      </c>
      <c r="S31" s="862">
        <f>Önkormányzat!H118</f>
        <v>435520</v>
      </c>
      <c r="T31" s="862"/>
      <c r="U31" s="207">
        <f t="shared" si="4"/>
        <v>471520</v>
      </c>
      <c r="V31" s="470">
        <f>Önkormányzat!I118</f>
        <v>471520</v>
      </c>
      <c r="W31" s="205"/>
      <c r="X31" s="470"/>
      <c r="Y31" s="160"/>
      <c r="Z31" s="24">
        <f t="shared" ref="Z31" si="22">SUM(V31:Y31)</f>
        <v>471520</v>
      </c>
    </row>
    <row r="32" spans="1:26" ht="18" x14ac:dyDescent="0.25">
      <c r="A32" s="1" t="s">
        <v>352</v>
      </c>
      <c r="B32" s="91" t="s">
        <v>414</v>
      </c>
      <c r="C32" s="476" t="e">
        <f>SUM(Önkormányzat!C119,#REF!,#REF!)</f>
        <v>#REF!</v>
      </c>
      <c r="D32" s="477" t="e">
        <f>SUM(Önkormányzat!D119,#REF!,#REF!)</f>
        <v>#REF!</v>
      </c>
      <c r="E32" s="476" t="e">
        <f>SUM(Önkormányzat!E119,#REF!,#REF!)</f>
        <v>#REF!</v>
      </c>
      <c r="F32" s="207">
        <f>SUM(Önkormányzat!F119)</f>
        <v>4808880</v>
      </c>
      <c r="G32" s="470">
        <f>SUM(Önkormányzat!F119)</f>
        <v>4808880</v>
      </c>
      <c r="H32" s="205" t="e">
        <f>SUM(#REF!)</f>
        <v>#REF!</v>
      </c>
      <c r="I32" s="470"/>
      <c r="J32" s="33"/>
      <c r="K32" s="24">
        <f>SUM(G32)</f>
        <v>4808880</v>
      </c>
      <c r="L32" s="207">
        <f t="shared" si="6"/>
        <v>4808880</v>
      </c>
      <c r="M32" s="470">
        <f>Önkormányzat!G119</f>
        <v>4808880</v>
      </c>
      <c r="N32" s="205" t="e">
        <f>SUM(#REF!)</f>
        <v>#REF!</v>
      </c>
      <c r="O32" s="470"/>
      <c r="P32" s="33"/>
      <c r="Q32" s="24">
        <f>SUM(M32)</f>
        <v>4808880</v>
      </c>
      <c r="R32" s="860">
        <f t="shared" si="3"/>
        <v>4808880</v>
      </c>
      <c r="S32" s="862">
        <f>Önkormányzat!H119</f>
        <v>4808880</v>
      </c>
      <c r="T32" s="862"/>
      <c r="U32" s="207">
        <f t="shared" si="4"/>
        <v>4985993</v>
      </c>
      <c r="V32" s="470">
        <f>Önkormányzat!I119</f>
        <v>4985993</v>
      </c>
      <c r="W32" s="205" t="e">
        <f>SUM(#REF!)</f>
        <v>#REF!</v>
      </c>
      <c r="X32" s="470"/>
      <c r="Y32" s="33"/>
      <c r="Z32" s="24">
        <f>SUM(V32)</f>
        <v>4985993</v>
      </c>
    </row>
    <row r="33" spans="1:26" ht="18" x14ac:dyDescent="0.25">
      <c r="A33" s="1" t="s">
        <v>353</v>
      </c>
      <c r="B33" s="91" t="s">
        <v>209</v>
      </c>
      <c r="C33" s="476" t="e">
        <f>SUM(Önkormányzat!C120,#REF!,#REF!)</f>
        <v>#REF!</v>
      </c>
      <c r="D33" s="477" t="e">
        <f>SUM(Önkormányzat!D120,#REF!,#REF!)</f>
        <v>#REF!</v>
      </c>
      <c r="E33" s="476" t="e">
        <f>SUM(Önkormányzat!E120,#REF!,#REF!)</f>
        <v>#REF!</v>
      </c>
      <c r="F33" s="207">
        <f>SUM(Önkormányzat!F120)</f>
        <v>3530000</v>
      </c>
      <c r="G33" s="470">
        <f>SUM(Önkormányzat!F120)</f>
        <v>3530000</v>
      </c>
      <c r="H33" s="205"/>
      <c r="I33" s="470"/>
      <c r="J33" s="33"/>
      <c r="K33" s="24">
        <f t="shared" si="21"/>
        <v>3530000</v>
      </c>
      <c r="L33" s="207">
        <f t="shared" si="6"/>
        <v>3530000</v>
      </c>
      <c r="M33" s="470">
        <f>Önkormányzat!G120</f>
        <v>3530000</v>
      </c>
      <c r="N33" s="205"/>
      <c r="O33" s="470"/>
      <c r="P33" s="33"/>
      <c r="Q33" s="24">
        <f>SUM(M33:P33)</f>
        <v>3530000</v>
      </c>
      <c r="R33" s="860">
        <f t="shared" si="3"/>
        <v>3530000</v>
      </c>
      <c r="S33" s="862">
        <f>Önkormányzat!H120</f>
        <v>3530000</v>
      </c>
      <c r="T33" s="862"/>
      <c r="U33" s="207">
        <f t="shared" si="4"/>
        <v>3269293</v>
      </c>
      <c r="V33" s="470">
        <f>Önkormányzat!I120</f>
        <v>3269293</v>
      </c>
      <c r="W33" s="205"/>
      <c r="X33" s="470"/>
      <c r="Y33" s="33"/>
      <c r="Z33" s="24">
        <f t="shared" ref="Z33" si="23">SUM(V33:Y33)</f>
        <v>3269293</v>
      </c>
    </row>
    <row r="34" spans="1:26" ht="18" x14ac:dyDescent="0.25">
      <c r="A34" s="1" t="s">
        <v>354</v>
      </c>
      <c r="B34" s="91" t="s">
        <v>358</v>
      </c>
      <c r="C34" s="476" t="e">
        <f>SUM(Önkormányzat!C121,#REF!,#REF!)</f>
        <v>#REF!</v>
      </c>
      <c r="D34" s="477" t="e">
        <f>SUM(Önkormányzat!D121,#REF!,#REF!)</f>
        <v>#REF!</v>
      </c>
      <c r="E34" s="476" t="e">
        <f>SUM(Önkormányzat!E121,#REF!,#REF!)</f>
        <v>#REF!</v>
      </c>
      <c r="F34" s="207">
        <f>SUM(Önkormányzat!F121)</f>
        <v>0</v>
      </c>
      <c r="G34" s="470">
        <f>SUM(Önkormányzat!F121)</f>
        <v>0</v>
      </c>
      <c r="H34" s="205"/>
      <c r="I34" s="470"/>
      <c r="J34" s="33" t="e">
        <f>SUM(#REF!)</f>
        <v>#REF!</v>
      </c>
      <c r="K34" s="24">
        <f>SUM(G34)</f>
        <v>0</v>
      </c>
      <c r="L34" s="207">
        <f t="shared" si="6"/>
        <v>0</v>
      </c>
      <c r="M34" s="470">
        <f>Önkormányzat!G121</f>
        <v>0</v>
      </c>
      <c r="N34" s="205"/>
      <c r="O34" s="470"/>
      <c r="P34" s="33" t="e">
        <f>SUM(#REF!)</f>
        <v>#REF!</v>
      </c>
      <c r="Q34" s="24">
        <f>SUM(M34)</f>
        <v>0</v>
      </c>
      <c r="R34" s="860">
        <f t="shared" si="3"/>
        <v>0</v>
      </c>
      <c r="S34" s="862">
        <f>Önkormányzat!H121</f>
        <v>0</v>
      </c>
      <c r="T34" s="862"/>
      <c r="U34" s="207">
        <f t="shared" si="4"/>
        <v>0</v>
      </c>
      <c r="V34" s="470">
        <f>SUM(Önkormányzat!S121)</f>
        <v>0</v>
      </c>
      <c r="W34" s="205"/>
      <c r="X34" s="470"/>
      <c r="Y34" s="33" t="e">
        <f>SUM(#REF!)</f>
        <v>#REF!</v>
      </c>
      <c r="Z34" s="24">
        <f>SUM(V34)</f>
        <v>0</v>
      </c>
    </row>
    <row r="35" spans="1:26" ht="18" x14ac:dyDescent="0.25">
      <c r="A35" s="1" t="s">
        <v>355</v>
      </c>
      <c r="B35" s="91" t="s">
        <v>359</v>
      </c>
      <c r="C35" s="476" t="e">
        <f>SUM(Önkormányzat!C122,#REF!,Óvoda!C105:C110,#REF!)</f>
        <v>#REF!</v>
      </c>
      <c r="D35" s="477" t="e">
        <f>SUM(Önkormányzat!D122,#REF!,Óvoda!D105:D110,#REF!)</f>
        <v>#REF!</v>
      </c>
      <c r="E35" s="476" t="e">
        <f>SUM(Önkormányzat!E122,#REF!,Óvoda!E105:E110,#REF!)</f>
        <v>#REF!</v>
      </c>
      <c r="F35" s="207">
        <f>SUM(Önkormányzat!F122,Óvoda!F109)</f>
        <v>5215334</v>
      </c>
      <c r="G35" s="470">
        <f>SUM(Önkormányzat!F122)</f>
        <v>3719147</v>
      </c>
      <c r="H35" s="205"/>
      <c r="I35" s="470">
        <f>SUM(Óvoda!F109)</f>
        <v>1496187</v>
      </c>
      <c r="J35" s="33"/>
      <c r="K35" s="24">
        <f t="shared" si="21"/>
        <v>5215334</v>
      </c>
      <c r="L35" s="207">
        <f t="shared" si="6"/>
        <v>5215334</v>
      </c>
      <c r="M35" s="470">
        <f>Önkormányzat!G122</f>
        <v>3719147</v>
      </c>
      <c r="N35" s="205"/>
      <c r="O35" s="470">
        <f>Óvoda!G109</f>
        <v>1496187</v>
      </c>
      <c r="P35" s="33"/>
      <c r="Q35" s="24">
        <f>SUM(M35:P35)</f>
        <v>5215334</v>
      </c>
      <c r="R35" s="860">
        <f t="shared" si="3"/>
        <v>5215334</v>
      </c>
      <c r="S35" s="862">
        <f>Önkormányzat!H122</f>
        <v>3719147</v>
      </c>
      <c r="T35" s="862">
        <f>Óvoda!H109</f>
        <v>1496187</v>
      </c>
      <c r="U35" s="207">
        <f t="shared" si="4"/>
        <v>4763824</v>
      </c>
      <c r="V35" s="470">
        <f>Önkormányzat!I122</f>
        <v>3369984</v>
      </c>
      <c r="W35" s="205"/>
      <c r="X35" s="470">
        <f>Óvoda!I109</f>
        <v>1393840</v>
      </c>
      <c r="Y35" s="33"/>
      <c r="Z35" s="24">
        <f t="shared" ref="Z35:Z37" si="24">SUM(V35:Y35)</f>
        <v>4763824</v>
      </c>
    </row>
    <row r="36" spans="1:26" ht="18" x14ac:dyDescent="0.25">
      <c r="A36" s="1" t="s">
        <v>356</v>
      </c>
      <c r="B36" s="91" t="s">
        <v>411</v>
      </c>
      <c r="C36" s="476" t="e">
        <f>SUM(Önkormányzat!C123,#REF!,Óvoda!C111,#REF!)</f>
        <v>#REF!</v>
      </c>
      <c r="D36" s="477" t="e">
        <f>SUM(Önkormányzat!D123,#REF!,Óvoda!D111,#REF!)</f>
        <v>#REF!</v>
      </c>
      <c r="E36" s="476" t="e">
        <f>SUM(Önkormányzat!E123,#REF!,Óvoda!E111,#REF!)</f>
        <v>#REF!</v>
      </c>
      <c r="F36" s="207">
        <f>SUM(Önkormányzat!F123,,Óvoda!F111)</f>
        <v>1972270</v>
      </c>
      <c r="G36" s="470">
        <f>SUM(Önkormányzat!F123)</f>
        <v>1972270</v>
      </c>
      <c r="H36" s="205"/>
      <c r="I36" s="470">
        <f>SUM(Óvoda!F111)</f>
        <v>0</v>
      </c>
      <c r="J36" s="33"/>
      <c r="K36" s="24">
        <f t="shared" si="21"/>
        <v>1972270</v>
      </c>
      <c r="L36" s="207">
        <f t="shared" si="6"/>
        <v>1972270</v>
      </c>
      <c r="M36" s="470">
        <f>Önkormányzat!G123</f>
        <v>1972270</v>
      </c>
      <c r="N36" s="205"/>
      <c r="O36" s="470">
        <f>SUM(Óvoda!M111)</f>
        <v>0</v>
      </c>
      <c r="P36" s="33"/>
      <c r="Q36" s="24">
        <f>SUM(M36:P36)</f>
        <v>1972270</v>
      </c>
      <c r="R36" s="860">
        <f t="shared" si="3"/>
        <v>1972270</v>
      </c>
      <c r="S36" s="862">
        <f>Önkormányzat!H123</f>
        <v>1972270</v>
      </c>
      <c r="T36" s="862"/>
      <c r="U36" s="207">
        <f t="shared" si="4"/>
        <v>1895182</v>
      </c>
      <c r="V36" s="470">
        <f>Önkormányzat!I123</f>
        <v>1895182</v>
      </c>
      <c r="W36" s="205"/>
      <c r="X36" s="470">
        <f>SUM(Óvoda!S111)</f>
        <v>0</v>
      </c>
      <c r="Y36" s="33"/>
      <c r="Z36" s="24">
        <f t="shared" si="24"/>
        <v>1895182</v>
      </c>
    </row>
    <row r="37" spans="1:26" ht="18" x14ac:dyDescent="0.25">
      <c r="A37" s="1" t="s">
        <v>360</v>
      </c>
      <c r="B37" s="91" t="s">
        <v>361</v>
      </c>
      <c r="C37" s="476" t="e">
        <f>SUM(Önkormányzat!C124,#REF!,#REF!)</f>
        <v>#REF!</v>
      </c>
      <c r="D37" s="477" t="e">
        <f>SUM(Önkormányzat!D124,#REF!,#REF!)</f>
        <v>#REF!</v>
      </c>
      <c r="E37" s="476" t="e">
        <f>SUM(Önkormányzat!E124,#REF!,#REF!)</f>
        <v>#REF!</v>
      </c>
      <c r="F37" s="207">
        <f>SUM(Önkormányzat!F124)</f>
        <v>0</v>
      </c>
      <c r="G37" s="470">
        <f>SUM(Önkormányzat!F124)</f>
        <v>0</v>
      </c>
      <c r="H37" s="205"/>
      <c r="I37" s="470"/>
      <c r="J37" s="33"/>
      <c r="K37" s="24">
        <f t="shared" si="21"/>
        <v>0</v>
      </c>
      <c r="L37" s="207">
        <f t="shared" si="6"/>
        <v>0</v>
      </c>
      <c r="M37" s="470">
        <f>Önkormányzat!G124</f>
        <v>0</v>
      </c>
      <c r="N37" s="205"/>
      <c r="O37" s="470"/>
      <c r="P37" s="33"/>
      <c r="Q37" s="24">
        <f>SUM(M37:P37)</f>
        <v>0</v>
      </c>
      <c r="R37" s="860">
        <f t="shared" si="3"/>
        <v>887000</v>
      </c>
      <c r="S37" s="862">
        <f>Önkormányzat!H124</f>
        <v>887000</v>
      </c>
      <c r="T37" s="862"/>
      <c r="U37" s="207">
        <f t="shared" si="4"/>
        <v>1378000</v>
      </c>
      <c r="V37" s="470">
        <f>Önkormányzat!I124</f>
        <v>1378000</v>
      </c>
      <c r="W37" s="205"/>
      <c r="X37" s="470"/>
      <c r="Y37" s="33"/>
      <c r="Z37" s="24">
        <f t="shared" si="24"/>
        <v>1378000</v>
      </c>
    </row>
    <row r="38" spans="1:26" ht="18" x14ac:dyDescent="0.25">
      <c r="A38" s="1" t="s">
        <v>362</v>
      </c>
      <c r="B38" s="91" t="s">
        <v>363</v>
      </c>
      <c r="C38" s="476" t="e">
        <f>SUM(Önkormányzat!C125,#REF!,#REF!)</f>
        <v>#REF!</v>
      </c>
      <c r="D38" s="477" t="e">
        <f>SUM(Önkormányzat!D125,#REF!,#REF!)</f>
        <v>#REF!</v>
      </c>
      <c r="E38" s="476" t="e">
        <f>SUM(Önkormányzat!E125,#REF!,#REF!)</f>
        <v>#REF!</v>
      </c>
      <c r="F38" s="207">
        <f>SUM(Önkormányzat!F125)</f>
        <v>0</v>
      </c>
      <c r="G38" s="470">
        <f>SUM(Önkormányzat!F125)</f>
        <v>0</v>
      </c>
      <c r="H38" s="205" t="e">
        <f>SUM(#REF!)</f>
        <v>#REF!</v>
      </c>
      <c r="I38" s="470"/>
      <c r="J38" s="33"/>
      <c r="K38" s="24">
        <f>SUM(F38)</f>
        <v>0</v>
      </c>
      <c r="L38" s="207">
        <f t="shared" si="6"/>
        <v>0</v>
      </c>
      <c r="M38" s="470">
        <f>Önkormányzat!G125</f>
        <v>0</v>
      </c>
      <c r="N38" s="205" t="e">
        <f>SUM(#REF!)</f>
        <v>#REF!</v>
      </c>
      <c r="O38" s="470"/>
      <c r="P38" s="33"/>
      <c r="Q38" s="24">
        <f>SUM(L38)</f>
        <v>0</v>
      </c>
      <c r="R38" s="860">
        <f t="shared" si="3"/>
        <v>0</v>
      </c>
      <c r="S38" s="862">
        <f>Önkormányzat!H125</f>
        <v>0</v>
      </c>
      <c r="T38" s="862"/>
      <c r="U38" s="207">
        <f t="shared" si="4"/>
        <v>892589</v>
      </c>
      <c r="V38" s="470">
        <f>Önkormányzat!I125</f>
        <v>892589</v>
      </c>
      <c r="W38" s="205" t="e">
        <f>SUM(#REF!)</f>
        <v>#REF!</v>
      </c>
      <c r="X38" s="470"/>
      <c r="Y38" s="33"/>
      <c r="Z38" s="24">
        <f>SUM(U38)</f>
        <v>892589</v>
      </c>
    </row>
    <row r="39" spans="1:26" ht="18" x14ac:dyDescent="0.25">
      <c r="A39" s="1" t="s">
        <v>364</v>
      </c>
      <c r="B39" s="91" t="s">
        <v>365</v>
      </c>
      <c r="C39" s="476" t="e">
        <f>SUM(Önkormányzat!C126,#REF!,#REF!)</f>
        <v>#REF!</v>
      </c>
      <c r="D39" s="477" t="e">
        <f>SUM(Önkormányzat!D126,#REF!,#REF!)</f>
        <v>#REF!</v>
      </c>
      <c r="E39" s="476" t="e">
        <f>SUM(Önkormányzat!E126,#REF!,#REF!)</f>
        <v>#REF!</v>
      </c>
      <c r="F39" s="207">
        <f>SUM(Önkormányzat!F126)</f>
        <v>11000</v>
      </c>
      <c r="G39" s="470">
        <f>SUM(Önkormányzat!F126)</f>
        <v>11000</v>
      </c>
      <c r="H39" s="205"/>
      <c r="I39" s="470"/>
      <c r="J39" s="33"/>
      <c r="K39" s="24">
        <f t="shared" si="21"/>
        <v>11000</v>
      </c>
      <c r="L39" s="207">
        <f t="shared" si="6"/>
        <v>11000</v>
      </c>
      <c r="M39" s="470">
        <f>Önkormányzat!G126</f>
        <v>11000</v>
      </c>
      <c r="N39" s="205"/>
      <c r="O39" s="470"/>
      <c r="P39" s="33"/>
      <c r="Q39" s="24">
        <f>SUM(M39:P39)</f>
        <v>11000</v>
      </c>
      <c r="R39" s="860">
        <f t="shared" si="3"/>
        <v>97028</v>
      </c>
      <c r="S39" s="862">
        <f>Önkormányzat!H126</f>
        <v>20952</v>
      </c>
      <c r="T39" s="862">
        <f>Óvoda!H114</f>
        <v>76076</v>
      </c>
      <c r="U39" s="207">
        <f t="shared" si="4"/>
        <v>431620</v>
      </c>
      <c r="V39" s="470">
        <f>Önkormányzat!I126</f>
        <v>355347</v>
      </c>
      <c r="W39" s="205"/>
      <c r="X39" s="470">
        <f>Óvoda!I114</f>
        <v>76273</v>
      </c>
      <c r="Y39" s="33"/>
      <c r="Z39" s="24">
        <f t="shared" ref="Z39" si="25">SUM(V39:Y39)</f>
        <v>431620</v>
      </c>
    </row>
    <row r="40" spans="1:26" ht="18" x14ac:dyDescent="0.25">
      <c r="A40" s="157" t="s">
        <v>349</v>
      </c>
      <c r="B40" s="155" t="s">
        <v>350</v>
      </c>
      <c r="C40" s="147" t="e">
        <f t="shared" ref="C40:K40" si="26">SUM(C31:C39)</f>
        <v>#REF!</v>
      </c>
      <c r="D40" s="144" t="e">
        <f t="shared" si="26"/>
        <v>#REF!</v>
      </c>
      <c r="E40" s="144" t="e">
        <f t="shared" si="26"/>
        <v>#REF!</v>
      </c>
      <c r="F40" s="179">
        <f t="shared" si="26"/>
        <v>15537484</v>
      </c>
      <c r="G40" s="144">
        <f t="shared" si="26"/>
        <v>14041297</v>
      </c>
      <c r="H40" s="144" t="e">
        <f t="shared" si="26"/>
        <v>#REF!</v>
      </c>
      <c r="I40" s="144">
        <f t="shared" si="26"/>
        <v>1496187</v>
      </c>
      <c r="J40" s="144" t="e">
        <f t="shared" si="26"/>
        <v>#REF!</v>
      </c>
      <c r="K40" s="144">
        <f t="shared" si="26"/>
        <v>15537484</v>
      </c>
      <c r="L40" s="207">
        <f t="shared" si="6"/>
        <v>15537484</v>
      </c>
      <c r="M40" s="144">
        <f t="shared" ref="M40:Z40" si="27">SUM(M31:M39)</f>
        <v>14041297</v>
      </c>
      <c r="N40" s="144" t="e">
        <f t="shared" si="27"/>
        <v>#REF!</v>
      </c>
      <c r="O40" s="144">
        <f t="shared" si="27"/>
        <v>1496187</v>
      </c>
      <c r="P40" s="144" t="e">
        <f t="shared" si="27"/>
        <v>#REF!</v>
      </c>
      <c r="Q40" s="144">
        <f t="shared" si="27"/>
        <v>15537484</v>
      </c>
      <c r="R40" s="860">
        <f t="shared" si="3"/>
        <v>16946032</v>
      </c>
      <c r="S40" s="144">
        <f>S31+S32+S33+S34+S35+S36+S37+S38+S39</f>
        <v>15373769</v>
      </c>
      <c r="T40" s="144">
        <f>T31+T32+T33+T34+T35+T36+T37+T38+T39</f>
        <v>1572263</v>
      </c>
      <c r="U40" s="207">
        <f t="shared" si="4"/>
        <v>18088021</v>
      </c>
      <c r="V40" s="144">
        <f>SUM(V31:V39)</f>
        <v>16617908</v>
      </c>
      <c r="W40" s="144" t="e">
        <f t="shared" si="27"/>
        <v>#REF!</v>
      </c>
      <c r="X40" s="144">
        <f t="shared" si="27"/>
        <v>1470113</v>
      </c>
      <c r="Y40" s="144" t="e">
        <f t="shared" si="27"/>
        <v>#REF!</v>
      </c>
      <c r="Z40" s="144">
        <f t="shared" si="27"/>
        <v>18088021</v>
      </c>
    </row>
    <row r="41" spans="1:26" ht="18" x14ac:dyDescent="0.25">
      <c r="A41" s="1" t="s">
        <v>366</v>
      </c>
      <c r="B41" s="83" t="s">
        <v>368</v>
      </c>
      <c r="C41" s="205">
        <f>SUM(Önkormányzat!C128)</f>
        <v>0</v>
      </c>
      <c r="D41" s="204">
        <f>SUM(Önkormányzat!D128)</f>
        <v>0</v>
      </c>
      <c r="E41" s="204">
        <f>SUM(Önkormányzat!E128)</f>
        <v>0</v>
      </c>
      <c r="F41" s="207">
        <f>SUM(Önkormányzat!F128)</f>
        <v>0</v>
      </c>
      <c r="G41" s="470">
        <f>SUM(Önkormányzat!F128)</f>
        <v>0</v>
      </c>
      <c r="H41" s="160"/>
      <c r="I41" s="160"/>
      <c r="J41" s="160"/>
      <c r="K41" s="24">
        <f>SUM(G41:J41)</f>
        <v>0</v>
      </c>
      <c r="L41" s="207">
        <f t="shared" si="6"/>
        <v>0</v>
      </c>
      <c r="M41" s="470">
        <f>SUM(Önkormányzat!M128)</f>
        <v>0</v>
      </c>
      <c r="N41" s="160"/>
      <c r="O41" s="160"/>
      <c r="P41" s="160"/>
      <c r="Q41" s="24">
        <f>SUM(M41:P41)</f>
        <v>0</v>
      </c>
      <c r="R41" s="860">
        <f t="shared" si="3"/>
        <v>0</v>
      </c>
      <c r="S41" s="862"/>
      <c r="T41" s="862"/>
      <c r="U41" s="207">
        <f t="shared" si="4"/>
        <v>46000</v>
      </c>
      <c r="V41" s="470">
        <f>Önkormányzat!I128</f>
        <v>46000</v>
      </c>
      <c r="W41" s="160"/>
      <c r="X41" s="160"/>
      <c r="Y41" s="160"/>
      <c r="Z41" s="24">
        <f>SUM(V41:Y41)</f>
        <v>46000</v>
      </c>
    </row>
    <row r="42" spans="1:26" ht="18" x14ac:dyDescent="0.25">
      <c r="A42" s="1" t="s">
        <v>367</v>
      </c>
      <c r="B42" s="83" t="s">
        <v>369</v>
      </c>
      <c r="C42" s="205">
        <f>SUM(Önkormányzat!C129)</f>
        <v>0</v>
      </c>
      <c r="D42" s="204">
        <f>SUM(Önkormányzat!D129)</f>
        <v>0</v>
      </c>
      <c r="E42" s="204">
        <f>SUM(Önkormányzat!E129)</f>
        <v>0</v>
      </c>
      <c r="F42" s="207">
        <f>SUM(Önkormányzat!F129)</f>
        <v>0</v>
      </c>
      <c r="G42" s="470">
        <f>SUM(Önkormányzat!F129)</f>
        <v>0</v>
      </c>
      <c r="H42" s="33"/>
      <c r="I42" s="33"/>
      <c r="J42" s="33"/>
      <c r="K42" s="24">
        <f>SUM(G42:J42)</f>
        <v>0</v>
      </c>
      <c r="L42" s="207">
        <f t="shared" si="6"/>
        <v>0</v>
      </c>
      <c r="M42" s="470">
        <f>SUM(Önkormányzat!M129)</f>
        <v>0</v>
      </c>
      <c r="N42" s="33"/>
      <c r="O42" s="33"/>
      <c r="P42" s="33"/>
      <c r="Q42" s="24">
        <f>SUM(M42:P42)</f>
        <v>0</v>
      </c>
      <c r="R42" s="860">
        <f t="shared" si="3"/>
        <v>0</v>
      </c>
      <c r="S42" s="862"/>
      <c r="T42" s="862"/>
      <c r="U42" s="207">
        <f t="shared" si="4"/>
        <v>0</v>
      </c>
      <c r="V42" s="470">
        <f>SUM(Önkormányzat!S129)</f>
        <v>0</v>
      </c>
      <c r="W42" s="33"/>
      <c r="X42" s="33"/>
      <c r="Y42" s="33"/>
      <c r="Z42" s="24">
        <f>SUM(V42:Y42)</f>
        <v>0</v>
      </c>
    </row>
    <row r="43" spans="1:26" ht="18" x14ac:dyDescent="0.25">
      <c r="A43" s="157" t="s">
        <v>370</v>
      </c>
      <c r="B43" s="155" t="s">
        <v>371</v>
      </c>
      <c r="C43" s="147">
        <f t="shared" ref="C43:K43" si="28">SUM(C41:C42)</f>
        <v>0</v>
      </c>
      <c r="D43" s="144">
        <f t="shared" si="28"/>
        <v>0</v>
      </c>
      <c r="E43" s="144">
        <f t="shared" si="28"/>
        <v>0</v>
      </c>
      <c r="F43" s="179">
        <f t="shared" si="28"/>
        <v>0</v>
      </c>
      <c r="G43" s="144">
        <f t="shared" si="28"/>
        <v>0</v>
      </c>
      <c r="H43" s="144">
        <f t="shared" si="28"/>
        <v>0</v>
      </c>
      <c r="I43" s="144">
        <f t="shared" si="28"/>
        <v>0</v>
      </c>
      <c r="J43" s="144">
        <f t="shared" si="28"/>
        <v>0</v>
      </c>
      <c r="K43" s="144">
        <f t="shared" si="28"/>
        <v>0</v>
      </c>
      <c r="L43" s="207">
        <f t="shared" si="6"/>
        <v>0</v>
      </c>
      <c r="M43" s="144">
        <f t="shared" ref="M43:Z43" si="29">SUM(M41:M42)</f>
        <v>0</v>
      </c>
      <c r="N43" s="144">
        <f t="shared" si="29"/>
        <v>0</v>
      </c>
      <c r="O43" s="144">
        <f t="shared" si="29"/>
        <v>0</v>
      </c>
      <c r="P43" s="144">
        <f t="shared" si="29"/>
        <v>0</v>
      </c>
      <c r="Q43" s="144">
        <f t="shared" si="29"/>
        <v>0</v>
      </c>
      <c r="R43" s="860">
        <f t="shared" si="3"/>
        <v>0</v>
      </c>
      <c r="S43" s="144">
        <f>S41+S42</f>
        <v>0</v>
      </c>
      <c r="T43" s="144"/>
      <c r="U43" s="207">
        <f t="shared" si="4"/>
        <v>46000</v>
      </c>
      <c r="V43" s="144">
        <f t="shared" si="29"/>
        <v>46000</v>
      </c>
      <c r="W43" s="144">
        <f t="shared" si="29"/>
        <v>0</v>
      </c>
      <c r="X43" s="144">
        <f t="shared" si="29"/>
        <v>0</v>
      </c>
      <c r="Y43" s="144">
        <f t="shared" si="29"/>
        <v>0</v>
      </c>
      <c r="Z43" s="144">
        <f t="shared" si="29"/>
        <v>46000</v>
      </c>
    </row>
    <row r="44" spans="1:26" ht="18" x14ac:dyDescent="0.25">
      <c r="A44" s="1" t="s">
        <v>372</v>
      </c>
      <c r="B44" s="83" t="s">
        <v>373</v>
      </c>
      <c r="C44" s="205">
        <f>SUM(Önkormányzat!C131)</f>
        <v>0</v>
      </c>
      <c r="D44" s="204">
        <f>SUM(Önkormányzat!D131)</f>
        <v>0</v>
      </c>
      <c r="E44" s="204">
        <f>SUM(Önkormányzat!E131)</f>
        <v>0</v>
      </c>
      <c r="F44" s="207">
        <f>SUM(Önkormányzat!F131)</f>
        <v>0</v>
      </c>
      <c r="G44" s="470">
        <f>SUM(Önkormányzat!F131)</f>
        <v>0</v>
      </c>
      <c r="H44" s="33"/>
      <c r="I44" s="33"/>
      <c r="J44" s="33"/>
      <c r="K44" s="24">
        <f>SUM(G44:J44)</f>
        <v>0</v>
      </c>
      <c r="L44" s="207">
        <f t="shared" si="6"/>
        <v>0</v>
      </c>
      <c r="M44" s="470">
        <f>SUM(Önkormányzat!M131)</f>
        <v>0</v>
      </c>
      <c r="N44" s="33"/>
      <c r="O44" s="33"/>
      <c r="P44" s="33"/>
      <c r="Q44" s="24">
        <f>SUM(M44:P44)</f>
        <v>0</v>
      </c>
      <c r="R44" s="860">
        <f t="shared" si="3"/>
        <v>0</v>
      </c>
      <c r="S44" s="862"/>
      <c r="T44" s="862"/>
      <c r="U44" s="207">
        <f t="shared" si="4"/>
        <v>0</v>
      </c>
      <c r="V44" s="470">
        <f>SUM(Önkormányzat!S131)</f>
        <v>0</v>
      </c>
      <c r="W44" s="33"/>
      <c r="X44" s="33"/>
      <c r="Y44" s="33"/>
      <c r="Z44" s="24">
        <f>SUM(V44:Y44)</f>
        <v>0</v>
      </c>
    </row>
    <row r="45" spans="1:26" ht="18" x14ac:dyDescent="0.25">
      <c r="A45" s="1" t="s">
        <v>374</v>
      </c>
      <c r="B45" s="83" t="s">
        <v>375</v>
      </c>
      <c r="C45" s="205">
        <f>SUM(Önkormányzat!C132)</f>
        <v>0</v>
      </c>
      <c r="D45" s="204">
        <f>SUM(Önkormányzat!D132)</f>
        <v>0</v>
      </c>
      <c r="E45" s="204">
        <f>SUM(Önkormányzat!E132)</f>
        <v>0</v>
      </c>
      <c r="F45" s="207">
        <f>SUM(Önkormányzat!F132)</f>
        <v>0</v>
      </c>
      <c r="G45" s="470">
        <f>SUM(Önkormányzat!F132)</f>
        <v>0</v>
      </c>
      <c r="H45" s="33"/>
      <c r="I45" s="33"/>
      <c r="J45" s="33"/>
      <c r="K45" s="24">
        <f>SUM(G45:J45)</f>
        <v>0</v>
      </c>
      <c r="L45" s="207">
        <f t="shared" si="6"/>
        <v>0</v>
      </c>
      <c r="M45" s="470">
        <f>SUM(Önkormányzat!M132)</f>
        <v>0</v>
      </c>
      <c r="N45" s="33"/>
      <c r="O45" s="33"/>
      <c r="P45" s="33"/>
      <c r="Q45" s="24">
        <f>SUM(M45:P45)</f>
        <v>0</v>
      </c>
      <c r="R45" s="860">
        <f t="shared" si="3"/>
        <v>0</v>
      </c>
      <c r="S45" s="862"/>
      <c r="T45" s="862"/>
      <c r="U45" s="207">
        <f t="shared" si="4"/>
        <v>1000000</v>
      </c>
      <c r="V45" s="470">
        <f>Önkormányzat!I132</f>
        <v>1000000</v>
      </c>
      <c r="W45" s="33"/>
      <c r="X45" s="33"/>
      <c r="Y45" s="33"/>
      <c r="Z45" s="24">
        <f>SUM(V45:Y45)</f>
        <v>1000000</v>
      </c>
    </row>
    <row r="46" spans="1:26" ht="18" x14ac:dyDescent="0.25">
      <c r="A46" s="157" t="s">
        <v>376</v>
      </c>
      <c r="B46" s="155" t="s">
        <v>379</v>
      </c>
      <c r="C46" s="147">
        <f t="shared" ref="C46:K46" si="30">SUM(C44:C45)</f>
        <v>0</v>
      </c>
      <c r="D46" s="144">
        <f t="shared" si="30"/>
        <v>0</v>
      </c>
      <c r="E46" s="144">
        <f t="shared" si="30"/>
        <v>0</v>
      </c>
      <c r="F46" s="179">
        <f t="shared" si="30"/>
        <v>0</v>
      </c>
      <c r="G46" s="144">
        <f t="shared" si="30"/>
        <v>0</v>
      </c>
      <c r="H46" s="144">
        <f t="shared" si="30"/>
        <v>0</v>
      </c>
      <c r="I46" s="144">
        <f t="shared" si="30"/>
        <v>0</v>
      </c>
      <c r="J46" s="144">
        <f t="shared" si="30"/>
        <v>0</v>
      </c>
      <c r="K46" s="144">
        <f t="shared" si="30"/>
        <v>0</v>
      </c>
      <c r="L46" s="207">
        <f t="shared" si="6"/>
        <v>0</v>
      </c>
      <c r="M46" s="144">
        <f t="shared" ref="M46:Z46" si="31">SUM(M44:M45)</f>
        <v>0</v>
      </c>
      <c r="N46" s="144">
        <f t="shared" si="31"/>
        <v>0</v>
      </c>
      <c r="O46" s="144">
        <f t="shared" si="31"/>
        <v>0</v>
      </c>
      <c r="P46" s="144">
        <f t="shared" si="31"/>
        <v>0</v>
      </c>
      <c r="Q46" s="144">
        <f t="shared" si="31"/>
        <v>0</v>
      </c>
      <c r="R46" s="860">
        <f t="shared" si="3"/>
        <v>0</v>
      </c>
      <c r="S46" s="144">
        <f>S44+S45</f>
        <v>0</v>
      </c>
      <c r="T46" s="144"/>
      <c r="U46" s="207">
        <f t="shared" si="4"/>
        <v>1000000</v>
      </c>
      <c r="V46" s="144">
        <f t="shared" si="31"/>
        <v>1000000</v>
      </c>
      <c r="W46" s="144">
        <f t="shared" si="31"/>
        <v>0</v>
      </c>
      <c r="X46" s="144">
        <f t="shared" si="31"/>
        <v>0</v>
      </c>
      <c r="Y46" s="144">
        <f t="shared" si="31"/>
        <v>0</v>
      </c>
      <c r="Z46" s="144">
        <f t="shared" si="31"/>
        <v>1000000</v>
      </c>
    </row>
    <row r="47" spans="1:26" ht="18" x14ac:dyDescent="0.25">
      <c r="A47" s="1" t="s">
        <v>380</v>
      </c>
      <c r="B47" s="83" t="s">
        <v>381</v>
      </c>
      <c r="C47" s="205">
        <f>SUM(Önkormányzat!C134)</f>
        <v>0</v>
      </c>
      <c r="D47" s="204">
        <f>SUM(Önkormányzat!D134)</f>
        <v>0</v>
      </c>
      <c r="E47" s="204">
        <f>SUM(Önkormányzat!E134)</f>
        <v>0</v>
      </c>
      <c r="F47" s="207">
        <f>SUM(Önkormányzat!F134)</f>
        <v>382500</v>
      </c>
      <c r="G47" s="470">
        <f>SUM(Önkormányzat!F134)</f>
        <v>382500</v>
      </c>
      <c r="H47" s="33"/>
      <c r="I47" s="33"/>
      <c r="J47" s="33"/>
      <c r="K47" s="24">
        <f>SUM(G47:J47)</f>
        <v>382500</v>
      </c>
      <c r="L47" s="207">
        <f t="shared" si="6"/>
        <v>382500</v>
      </c>
      <c r="M47" s="470">
        <f>Önkormányzat!G134</f>
        <v>382500</v>
      </c>
      <c r="N47" s="33"/>
      <c r="O47" s="33"/>
      <c r="P47" s="33"/>
      <c r="Q47" s="24">
        <f>SUM(M47:P47)</f>
        <v>382500</v>
      </c>
      <c r="R47" s="860">
        <f t="shared" si="3"/>
        <v>382500</v>
      </c>
      <c r="S47" s="862">
        <f>Önkormányzat!H134</f>
        <v>382500</v>
      </c>
      <c r="T47" s="862"/>
      <c r="U47" s="207">
        <f t="shared" si="4"/>
        <v>382500</v>
      </c>
      <c r="V47" s="470">
        <f>Önkormányzat!I134</f>
        <v>382500</v>
      </c>
      <c r="W47" s="33"/>
      <c r="X47" s="33"/>
      <c r="Y47" s="33"/>
      <c r="Z47" s="24">
        <f>SUM(V47:Y47)</f>
        <v>382500</v>
      </c>
    </row>
    <row r="48" spans="1:26" ht="18" x14ac:dyDescent="0.25">
      <c r="A48" s="1" t="s">
        <v>382</v>
      </c>
      <c r="B48" s="83" t="s">
        <v>383</v>
      </c>
      <c r="C48" s="205">
        <f>SUM(Önkormányzat!C135)</f>
        <v>0</v>
      </c>
      <c r="D48" s="204">
        <f>SUM(Önkormányzat!D135)</f>
        <v>0</v>
      </c>
      <c r="E48" s="204">
        <f>SUM(Önkormányzat!E135)</f>
        <v>0</v>
      </c>
      <c r="F48" s="207">
        <f>SUM(Önkormányzat!F135)</f>
        <v>2886600</v>
      </c>
      <c r="G48" s="205">
        <f>SUM(Önkormányzat!F135)</f>
        <v>2886600</v>
      </c>
      <c r="H48" s="160"/>
      <c r="I48" s="160"/>
      <c r="J48" s="160"/>
      <c r="K48" s="24">
        <f>SUM(G48:J48)</f>
        <v>2886600</v>
      </c>
      <c r="L48" s="207">
        <f t="shared" si="6"/>
        <v>2886600</v>
      </c>
      <c r="M48" s="205">
        <f>SUM(Önkormányzat!M135)</f>
        <v>2886600</v>
      </c>
      <c r="N48" s="160"/>
      <c r="O48" s="160"/>
      <c r="P48" s="160"/>
      <c r="Q48" s="24">
        <f>SUM(M48:P48)</f>
        <v>2886600</v>
      </c>
      <c r="R48" s="860">
        <f t="shared" si="3"/>
        <v>2886600</v>
      </c>
      <c r="S48" s="862">
        <f>Önkormányzat!H135</f>
        <v>2886600</v>
      </c>
      <c r="T48" s="862"/>
      <c r="U48" s="207">
        <f t="shared" si="4"/>
        <v>0</v>
      </c>
      <c r="V48" s="205">
        <f>SUM(Önkormányzat!S135)</f>
        <v>0</v>
      </c>
      <c r="W48" s="160"/>
      <c r="X48" s="160"/>
      <c r="Y48" s="160"/>
      <c r="Z48" s="24">
        <f>SUM(V48:Y48)</f>
        <v>0</v>
      </c>
    </row>
    <row r="49" spans="1:26" ht="18" x14ac:dyDescent="0.25">
      <c r="A49" s="157" t="s">
        <v>377</v>
      </c>
      <c r="B49" s="155" t="s">
        <v>378</v>
      </c>
      <c r="C49" s="147">
        <f t="shared" ref="C49:J49" si="32">SUM(C47:C48)</f>
        <v>0</v>
      </c>
      <c r="D49" s="144">
        <f t="shared" si="32"/>
        <v>0</v>
      </c>
      <c r="E49" s="144">
        <f t="shared" si="32"/>
        <v>0</v>
      </c>
      <c r="F49" s="179">
        <f t="shared" si="32"/>
        <v>3269100</v>
      </c>
      <c r="G49" s="144">
        <f t="shared" si="32"/>
        <v>3269100</v>
      </c>
      <c r="H49" s="144">
        <f t="shared" si="32"/>
        <v>0</v>
      </c>
      <c r="I49" s="144">
        <f t="shared" si="32"/>
        <v>0</v>
      </c>
      <c r="J49" s="144">
        <f t="shared" si="32"/>
        <v>0</v>
      </c>
      <c r="K49" s="144">
        <f>SUM(K47:K48)</f>
        <v>3269100</v>
      </c>
      <c r="L49" s="207">
        <f t="shared" si="6"/>
        <v>3269100</v>
      </c>
      <c r="M49" s="144">
        <f t="shared" ref="M49:P49" si="33">SUM(M47:M48)</f>
        <v>3269100</v>
      </c>
      <c r="N49" s="144">
        <f t="shared" si="33"/>
        <v>0</v>
      </c>
      <c r="O49" s="144">
        <f t="shared" si="33"/>
        <v>0</v>
      </c>
      <c r="P49" s="144">
        <f t="shared" si="33"/>
        <v>0</v>
      </c>
      <c r="Q49" s="144">
        <f>SUM(Q47:Q48)</f>
        <v>3269100</v>
      </c>
      <c r="R49" s="860">
        <f t="shared" si="3"/>
        <v>3269100</v>
      </c>
      <c r="S49" s="144">
        <f>S47+S48</f>
        <v>3269100</v>
      </c>
      <c r="T49" s="144"/>
      <c r="U49" s="207">
        <f t="shared" si="4"/>
        <v>382500</v>
      </c>
      <c r="V49" s="144">
        <f t="shared" ref="V49:Y49" si="34">SUM(V47:V48)</f>
        <v>382500</v>
      </c>
      <c r="W49" s="144">
        <f t="shared" si="34"/>
        <v>0</v>
      </c>
      <c r="X49" s="144">
        <f t="shared" si="34"/>
        <v>0</v>
      </c>
      <c r="Y49" s="144">
        <f t="shared" si="34"/>
        <v>0</v>
      </c>
      <c r="Z49" s="144">
        <f>SUM(Z47:Z48)</f>
        <v>382500</v>
      </c>
    </row>
    <row r="50" spans="1:26" ht="18" x14ac:dyDescent="0.25">
      <c r="A50" s="184"/>
      <c r="B50" s="155" t="s">
        <v>80</v>
      </c>
      <c r="C50" s="144" t="e">
        <f t="shared" ref="C50:J50" si="35">SUM(C15,C21,C30,C40,C43,C46,C49)</f>
        <v>#REF!</v>
      </c>
      <c r="D50" s="144" t="e">
        <f t="shared" si="35"/>
        <v>#REF!</v>
      </c>
      <c r="E50" s="144" t="e">
        <f t="shared" si="35"/>
        <v>#REF!</v>
      </c>
      <c r="F50" s="81">
        <f t="shared" si="35"/>
        <v>257805067</v>
      </c>
      <c r="G50" s="144">
        <f t="shared" si="35"/>
        <v>256308880</v>
      </c>
      <c r="H50" s="144" t="e">
        <f t="shared" si="35"/>
        <v>#REF!</v>
      </c>
      <c r="I50" s="144">
        <f t="shared" si="35"/>
        <v>1496187</v>
      </c>
      <c r="J50" s="144" t="e">
        <f t="shared" si="35"/>
        <v>#REF!</v>
      </c>
      <c r="K50" s="144">
        <f>SUM(K15+K21+K30+K40+K43+K46+K49)</f>
        <v>253700252</v>
      </c>
      <c r="L50" s="207">
        <f t="shared" si="6"/>
        <v>258643939</v>
      </c>
      <c r="M50" s="144">
        <f t="shared" ref="M50:P50" si="36">SUM(M15,M21,M30,M40,M43,M46,M49)</f>
        <v>257147752</v>
      </c>
      <c r="N50" s="144" t="e">
        <f t="shared" si="36"/>
        <v>#REF!</v>
      </c>
      <c r="O50" s="144">
        <f t="shared" si="36"/>
        <v>1496187</v>
      </c>
      <c r="P50" s="144" t="e">
        <f t="shared" si="36"/>
        <v>#REF!</v>
      </c>
      <c r="Q50" s="144">
        <f>SUM(Q15+Q21+Q30+Q40+Q43+Q46+Q49)</f>
        <v>235421524</v>
      </c>
      <c r="R50" s="860">
        <f t="shared" si="3"/>
        <v>272400672</v>
      </c>
      <c r="S50" s="144">
        <f>S15+S21+S30+S40+S43+S46+S49</f>
        <v>270828409</v>
      </c>
      <c r="T50" s="144">
        <f>T15+T21+T30+T40+T43+T46+T49</f>
        <v>1572263</v>
      </c>
      <c r="U50" s="207">
        <f t="shared" si="4"/>
        <v>298185728</v>
      </c>
      <c r="V50" s="144">
        <f t="shared" ref="V50:Y50" si="37">SUM(V15,V21,V30,V40,V43,V46,V49)</f>
        <v>296715615</v>
      </c>
      <c r="W50" s="144" t="e">
        <f t="shared" si="37"/>
        <v>#REF!</v>
      </c>
      <c r="X50" s="144">
        <f t="shared" si="37"/>
        <v>1470113</v>
      </c>
      <c r="Y50" s="144" t="e">
        <f t="shared" si="37"/>
        <v>#REF!</v>
      </c>
      <c r="Z50" s="144">
        <f>SUM(Z15+Z21+Z30+Z40+Z43+Z46+Z49)</f>
        <v>263226869</v>
      </c>
    </row>
    <row r="51" spans="1:26" ht="18" x14ac:dyDescent="0.25">
      <c r="A51" s="5" t="s">
        <v>387</v>
      </c>
      <c r="B51" s="93" t="s">
        <v>386</v>
      </c>
      <c r="C51" s="205">
        <f>SUM(Önkormányzat!C138)</f>
        <v>0</v>
      </c>
      <c r="D51" s="204">
        <f>SUM(Önkormányzat!D138)</f>
        <v>0</v>
      </c>
      <c r="E51" s="204">
        <f>SUM(Önkormányzat!E138)</f>
        <v>0</v>
      </c>
      <c r="F51" s="207">
        <f>SUM(Önkormányzat!F138)</f>
        <v>0</v>
      </c>
      <c r="G51" s="205">
        <f>SUM(Önkormányzat!J138)</f>
        <v>0</v>
      </c>
      <c r="H51" s="33"/>
      <c r="I51" s="33"/>
      <c r="J51" s="33"/>
      <c r="K51" s="24">
        <f>SUM(G51:J51)</f>
        <v>0</v>
      </c>
      <c r="L51" s="207">
        <f t="shared" si="6"/>
        <v>0</v>
      </c>
      <c r="M51" s="205">
        <f>SUM(Önkormányzat!P138)</f>
        <v>0</v>
      </c>
      <c r="N51" s="33"/>
      <c r="O51" s="33"/>
      <c r="P51" s="33"/>
      <c r="Q51" s="24">
        <f>SUM(M51:P51)</f>
        <v>0</v>
      </c>
      <c r="R51" s="860">
        <f t="shared" si="3"/>
        <v>0</v>
      </c>
      <c r="S51" s="862"/>
      <c r="T51" s="862"/>
      <c r="U51" s="207">
        <f t="shared" si="4"/>
        <v>30000000</v>
      </c>
      <c r="V51" s="205">
        <f>Önkormányzat!I138</f>
        <v>30000000</v>
      </c>
      <c r="W51" s="33"/>
      <c r="X51" s="33"/>
      <c r="Y51" s="33"/>
      <c r="Z51" s="24">
        <f>SUM(V51:Y51)</f>
        <v>30000000</v>
      </c>
    </row>
    <row r="52" spans="1:26" ht="18" x14ac:dyDescent="0.25">
      <c r="A52" s="5" t="s">
        <v>388</v>
      </c>
      <c r="B52" s="93" t="s">
        <v>389</v>
      </c>
      <c r="C52" s="205" t="e">
        <f>SUM(Önkormányzat!C139,#REF!,Óvoda!C127,#REF!)</f>
        <v>#REF!</v>
      </c>
      <c r="D52" s="205" t="e">
        <f>SUM(Önkormányzat!D139,#REF!,Óvoda!D127,#REF!)</f>
        <v>#REF!</v>
      </c>
      <c r="E52" s="205" t="e">
        <f>SUM(Önkormányzat!E139,#REF!,Óvoda!E127,#REF!)</f>
        <v>#REF!</v>
      </c>
      <c r="F52" s="207">
        <f>SUM(Önkormányzat!F139,,Óvoda!F127)</f>
        <v>167515977</v>
      </c>
      <c r="G52" s="470">
        <f>SUM(Önkormányzat!F139)</f>
        <v>167515977</v>
      </c>
      <c r="H52" s="461" t="e">
        <f>SUM(#REF!)</f>
        <v>#REF!</v>
      </c>
      <c r="I52" s="461">
        <f>SUM(Óvoda!F127)</f>
        <v>0</v>
      </c>
      <c r="J52" s="461" t="e">
        <f>SUM(#REF!)</f>
        <v>#REF!</v>
      </c>
      <c r="K52" s="24">
        <f>SUM(F52)</f>
        <v>167515977</v>
      </c>
      <c r="L52" s="207">
        <f t="shared" si="6"/>
        <v>167515977</v>
      </c>
      <c r="M52" s="470">
        <f>Önkormányzat!G139</f>
        <v>167515977</v>
      </c>
      <c r="N52" s="461" t="e">
        <f>SUM(#REF!)</f>
        <v>#REF!</v>
      </c>
      <c r="O52" s="461">
        <f>SUM(Óvoda!M127)</f>
        <v>0</v>
      </c>
      <c r="P52" s="461" t="e">
        <f>SUM(#REF!)</f>
        <v>#REF!</v>
      </c>
      <c r="Q52" s="24">
        <f>SUM(L52)</f>
        <v>167515977</v>
      </c>
      <c r="R52" s="860">
        <f t="shared" si="3"/>
        <v>167515977</v>
      </c>
      <c r="S52" s="862">
        <f>Önkormányzat!H139</f>
        <v>167515977</v>
      </c>
      <c r="T52" s="862"/>
      <c r="U52" s="207">
        <f t="shared" si="4"/>
        <v>192454093</v>
      </c>
      <c r="V52" s="470">
        <f>Önkormányzat!I139</f>
        <v>192454093</v>
      </c>
      <c r="W52" s="461" t="e">
        <f>SUM(#REF!)</f>
        <v>#REF!</v>
      </c>
      <c r="X52" s="461">
        <f>SUM(Óvoda!S127)</f>
        <v>0</v>
      </c>
      <c r="Y52" s="461" t="e">
        <f>SUM(#REF!)</f>
        <v>#REF!</v>
      </c>
      <c r="Z52" s="24">
        <f>SUM(U52)</f>
        <v>192454093</v>
      </c>
    </row>
    <row r="53" spans="1:26" ht="18" x14ac:dyDescent="0.25">
      <c r="A53" s="5" t="s">
        <v>390</v>
      </c>
      <c r="B53" s="93" t="s">
        <v>79</v>
      </c>
      <c r="C53" s="205" t="e">
        <f>SUM(#REF!,Óvoda!C128,#REF!)</f>
        <v>#REF!</v>
      </c>
      <c r="D53" s="205" t="e">
        <f>SUM(#REF!,Óvoda!D128,#REF!)</f>
        <v>#REF!</v>
      </c>
      <c r="E53" s="205" t="e">
        <f>SUM(#REF!,Óvoda!E128,#REF!)</f>
        <v>#REF!</v>
      </c>
      <c r="F53" s="207">
        <f>G53+I53</f>
        <v>62937550</v>
      </c>
      <c r="G53" s="205"/>
      <c r="H53" s="33" t="e">
        <f>SUM(#REF!)</f>
        <v>#REF!</v>
      </c>
      <c r="I53" s="33">
        <f>SUM(Óvoda!F128)</f>
        <v>62937550</v>
      </c>
      <c r="J53" s="33" t="e">
        <f>SUM(#REF!)</f>
        <v>#REF!</v>
      </c>
      <c r="K53" s="24">
        <f>SUM(F53)</f>
        <v>62937550</v>
      </c>
      <c r="L53" s="207">
        <f t="shared" si="6"/>
        <v>62940179</v>
      </c>
      <c r="M53" s="205"/>
      <c r="N53" s="33" t="e">
        <f>SUM(#REF!)</f>
        <v>#REF!</v>
      </c>
      <c r="O53" s="33">
        <f>Óvoda!G128</f>
        <v>62940179</v>
      </c>
      <c r="P53" s="33" t="e">
        <f>SUM(#REF!)</f>
        <v>#REF!</v>
      </c>
      <c r="Q53" s="24">
        <f>SUM(L53)</f>
        <v>62940179</v>
      </c>
      <c r="R53" s="860">
        <f t="shared" si="3"/>
        <v>62950691</v>
      </c>
      <c r="S53" s="862"/>
      <c r="T53" s="862">
        <f>Óvoda!H128</f>
        <v>62950691</v>
      </c>
      <c r="U53" s="207">
        <f t="shared" si="4"/>
        <v>58880598</v>
      </c>
      <c r="V53" s="205"/>
      <c r="W53" s="33" t="e">
        <f>SUM(#REF!)</f>
        <v>#REF!</v>
      </c>
      <c r="X53" s="33">
        <f>Óvoda!I128</f>
        <v>58880598</v>
      </c>
      <c r="Y53" s="33" t="e">
        <f>SUM(#REF!)</f>
        <v>#REF!</v>
      </c>
      <c r="Z53" s="24">
        <f>SUM(U53)</f>
        <v>58880598</v>
      </c>
    </row>
    <row r="54" spans="1:26" ht="18" x14ac:dyDescent="0.25">
      <c r="A54" s="5" t="s">
        <v>391</v>
      </c>
      <c r="B54" s="93" t="s">
        <v>392</v>
      </c>
      <c r="C54" s="205">
        <f>SUM(Önkormányzat!C141)</f>
        <v>0</v>
      </c>
      <c r="D54" s="204">
        <f>SUM(Önkormányzat!D141)</f>
        <v>0</v>
      </c>
      <c r="E54" s="204">
        <f>SUM(Önkormányzat!E141)</f>
        <v>0</v>
      </c>
      <c r="F54" s="207">
        <f>SUM(Önkormányzat!F141)</f>
        <v>0</v>
      </c>
      <c r="G54" s="205">
        <f>SUM(Önkormányzat!J141)</f>
        <v>0</v>
      </c>
      <c r="H54" s="33"/>
      <c r="I54" s="33"/>
      <c r="J54" s="33"/>
      <c r="K54" s="24">
        <f>SUM(G54:J54)</f>
        <v>0</v>
      </c>
      <c r="L54" s="207">
        <f t="shared" si="6"/>
        <v>0</v>
      </c>
      <c r="M54" s="205">
        <f>SUM(Önkormányzat!P141)</f>
        <v>0</v>
      </c>
      <c r="N54" s="33"/>
      <c r="O54" s="33"/>
      <c r="P54" s="33"/>
      <c r="Q54" s="24">
        <f>SUM(M54:P54)</f>
        <v>0</v>
      </c>
      <c r="R54" s="860">
        <f t="shared" si="3"/>
        <v>0</v>
      </c>
      <c r="S54" s="862"/>
      <c r="T54" s="862"/>
      <c r="U54" s="207">
        <f t="shared" si="4"/>
        <v>0</v>
      </c>
      <c r="V54" s="205">
        <f>SUM(Önkormányzat!V141)</f>
        <v>0</v>
      </c>
      <c r="W54" s="33"/>
      <c r="X54" s="33"/>
      <c r="Y54" s="33"/>
      <c r="Z54" s="24">
        <f>SUM(V54:Y54)</f>
        <v>0</v>
      </c>
    </row>
    <row r="55" spans="1:26" ht="18" x14ac:dyDescent="0.25">
      <c r="A55" s="185"/>
      <c r="B55" s="155" t="s">
        <v>385</v>
      </c>
      <c r="C55" s="144" t="e">
        <f t="shared" ref="C55:J55" si="38">SUM(C50:C54)</f>
        <v>#REF!</v>
      </c>
      <c r="D55" s="456" t="e">
        <f t="shared" si="38"/>
        <v>#REF!</v>
      </c>
      <c r="E55" s="144" t="e">
        <f t="shared" si="38"/>
        <v>#REF!</v>
      </c>
      <c r="F55" s="81">
        <f t="shared" si="38"/>
        <v>488258594</v>
      </c>
      <c r="G55" s="144">
        <f t="shared" si="38"/>
        <v>423824857</v>
      </c>
      <c r="H55" s="144" t="e">
        <f t="shared" si="38"/>
        <v>#REF!</v>
      </c>
      <c r="I55" s="144">
        <f t="shared" si="38"/>
        <v>64433737</v>
      </c>
      <c r="J55" s="144" t="e">
        <f t="shared" si="38"/>
        <v>#REF!</v>
      </c>
      <c r="K55" s="144">
        <f>G55+I55</f>
        <v>488258594</v>
      </c>
      <c r="L55" s="207">
        <f t="shared" si="6"/>
        <v>489100095</v>
      </c>
      <c r="M55" s="144">
        <f t="shared" ref="M55:P55" si="39">SUM(M50:M54)</f>
        <v>424663729</v>
      </c>
      <c r="N55" s="144" t="e">
        <f t="shared" si="39"/>
        <v>#REF!</v>
      </c>
      <c r="O55" s="144">
        <f t="shared" si="39"/>
        <v>64436366</v>
      </c>
      <c r="P55" s="144" t="e">
        <f t="shared" si="39"/>
        <v>#REF!</v>
      </c>
      <c r="Q55" s="144">
        <f>M55+O55</f>
        <v>489100095</v>
      </c>
      <c r="R55" s="860">
        <f>S55+T55</f>
        <v>502867340</v>
      </c>
      <c r="S55" s="144">
        <f>S52+S51+S53+S54+S50</f>
        <v>438344386</v>
      </c>
      <c r="T55" s="144">
        <f>T52+T51+T53+T54+T50</f>
        <v>64522954</v>
      </c>
      <c r="U55" s="207">
        <f t="shared" si="4"/>
        <v>579520419</v>
      </c>
      <c r="V55" s="144">
        <f>SUM(V50:V54)</f>
        <v>519169708</v>
      </c>
      <c r="W55" s="144" t="e">
        <f t="shared" ref="W55:Y55" si="40">SUM(W50:W54)</f>
        <v>#REF!</v>
      </c>
      <c r="X55" s="144">
        <f t="shared" si="40"/>
        <v>60350711</v>
      </c>
      <c r="Y55" s="144" t="e">
        <f t="shared" si="40"/>
        <v>#REF!</v>
      </c>
      <c r="Z55" s="144">
        <f>V55+X55</f>
        <v>579520419</v>
      </c>
    </row>
    <row r="56" spans="1:26" x14ac:dyDescent="0.2">
      <c r="K56" s="99"/>
    </row>
    <row r="57" spans="1:26" x14ac:dyDescent="0.2">
      <c r="D57" s="95"/>
    </row>
  </sheetData>
  <mergeCells count="9">
    <mergeCell ref="M1:Q1"/>
    <mergeCell ref="U1:U2"/>
    <mergeCell ref="V1:Z1"/>
    <mergeCell ref="G1:K1"/>
    <mergeCell ref="A1:A2"/>
    <mergeCell ref="B1:B2"/>
    <mergeCell ref="F1:F2"/>
    <mergeCell ref="C1:E1"/>
    <mergeCell ref="L1:L2"/>
  </mergeCells>
  <phoneticPr fontId="2" type="noConversion"/>
  <pageMargins left="0.70866141732283472" right="0.70866141732283472" top="0.74803149606299213" bottom="0.74803149606299213" header="0.31496062992125984" footer="0.31496062992125984"/>
  <pageSetup paperSize="8" scale="55" orientation="landscape" r:id="rId1"/>
  <headerFooter>
    <oddHeader xml:space="preserve">&amp;LLevél Községi Önkormányzat&amp;CBevételi összesen
2018&amp;R3. melléklet
Adatok Ft. -ban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3"/>
  <dimension ref="A3:AB30"/>
  <sheetViews>
    <sheetView view="pageLayout" topLeftCell="P2" zoomScaleNormal="100" workbookViewId="0">
      <selection activeCell="X25" sqref="U25:X27"/>
    </sheetView>
  </sheetViews>
  <sheetFormatPr defaultRowHeight="12.75" x14ac:dyDescent="0.2"/>
  <cols>
    <col min="1" max="1" width="5.85546875" customWidth="1"/>
    <col min="2" max="2" width="44.140625" customWidth="1"/>
    <col min="3" max="3" width="13" hidden="1" customWidth="1"/>
    <col min="4" max="4" width="12.42578125" hidden="1" customWidth="1"/>
    <col min="5" max="5" width="12.85546875" hidden="1" customWidth="1"/>
    <col min="6" max="6" width="22" customWidth="1"/>
    <col min="7" max="8" width="12.140625" hidden="1" customWidth="1"/>
    <col min="9" max="9" width="11.5703125" hidden="1" customWidth="1"/>
    <col min="10" max="10" width="134.28515625" hidden="1" customWidth="1"/>
    <col min="11" max="13" width="11" hidden="1" customWidth="1"/>
    <col min="14" max="16" width="22" customWidth="1"/>
    <col min="17" max="20" width="19.42578125" customWidth="1"/>
    <col min="21" max="24" width="21.85546875" customWidth="1"/>
    <col min="28" max="28" width="14.7109375" bestFit="1" customWidth="1"/>
  </cols>
  <sheetData>
    <row r="3" spans="1:24" ht="18" customHeight="1" x14ac:dyDescent="0.25">
      <c r="A3" s="903" t="s">
        <v>288</v>
      </c>
      <c r="B3" s="912" t="s">
        <v>1</v>
      </c>
      <c r="C3" s="915" t="s">
        <v>63</v>
      </c>
      <c r="D3" s="919"/>
      <c r="E3" s="919"/>
      <c r="F3" s="919"/>
      <c r="G3" s="916"/>
      <c r="H3" s="916"/>
      <c r="I3" s="916"/>
      <c r="J3" s="916"/>
      <c r="K3" s="916"/>
      <c r="L3" s="916"/>
      <c r="M3" s="916"/>
      <c r="N3" s="916"/>
      <c r="O3" s="916"/>
      <c r="P3" s="917"/>
      <c r="Q3" s="915" t="s">
        <v>55</v>
      </c>
      <c r="R3" s="916"/>
      <c r="S3" s="916"/>
      <c r="T3" s="917"/>
      <c r="U3" s="915" t="s">
        <v>753</v>
      </c>
      <c r="V3" s="916"/>
      <c r="W3" s="916"/>
      <c r="X3" s="917"/>
    </row>
    <row r="4" spans="1:24" ht="15" x14ac:dyDescent="0.2">
      <c r="A4" s="904"/>
      <c r="B4" s="913"/>
      <c r="C4" s="918" t="s">
        <v>53</v>
      </c>
      <c r="D4" s="918"/>
      <c r="E4" s="918"/>
      <c r="F4" s="800" t="s">
        <v>730</v>
      </c>
      <c r="G4" s="918" t="s">
        <v>53</v>
      </c>
      <c r="H4" s="918"/>
      <c r="I4" s="918"/>
      <c r="J4" s="800" t="s">
        <v>394</v>
      </c>
      <c r="K4" s="918" t="s">
        <v>53</v>
      </c>
      <c r="L4" s="918"/>
      <c r="M4" s="918"/>
      <c r="N4" s="800" t="s">
        <v>726</v>
      </c>
      <c r="O4" s="845" t="s">
        <v>726</v>
      </c>
      <c r="P4" s="800" t="s">
        <v>726</v>
      </c>
      <c r="Q4" s="800" t="s">
        <v>730</v>
      </c>
      <c r="R4" s="800" t="s">
        <v>726</v>
      </c>
      <c r="S4" s="845" t="s">
        <v>726</v>
      </c>
      <c r="T4" s="800" t="s">
        <v>726</v>
      </c>
      <c r="U4" s="800" t="s">
        <v>730</v>
      </c>
      <c r="V4" s="800" t="s">
        <v>726</v>
      </c>
      <c r="W4" s="845" t="s">
        <v>726</v>
      </c>
      <c r="X4" s="800" t="s">
        <v>726</v>
      </c>
    </row>
    <row r="5" spans="1:24" ht="15" customHeight="1" x14ac:dyDescent="0.2">
      <c r="A5" s="905"/>
      <c r="B5" s="914"/>
      <c r="C5" s="94" t="s">
        <v>59</v>
      </c>
      <c r="D5" s="94" t="s">
        <v>393</v>
      </c>
      <c r="E5" s="94" t="s">
        <v>73</v>
      </c>
      <c r="F5" s="801" t="s">
        <v>74</v>
      </c>
      <c r="G5" s="94" t="s">
        <v>59</v>
      </c>
      <c r="H5" s="94" t="s">
        <v>395</v>
      </c>
      <c r="I5" s="94" t="s">
        <v>73</v>
      </c>
      <c r="J5" s="801" t="s">
        <v>74</v>
      </c>
      <c r="K5" s="94" t="s">
        <v>59</v>
      </c>
      <c r="L5" s="94" t="s">
        <v>395</v>
      </c>
      <c r="M5" s="94" t="s">
        <v>73</v>
      </c>
      <c r="N5" s="825" t="s">
        <v>742</v>
      </c>
      <c r="O5" s="825" t="s">
        <v>764</v>
      </c>
      <c r="P5" s="825" t="s">
        <v>736</v>
      </c>
      <c r="Q5" s="801" t="s">
        <v>74</v>
      </c>
      <c r="R5" s="825" t="s">
        <v>742</v>
      </c>
      <c r="S5" s="825" t="s">
        <v>764</v>
      </c>
      <c r="T5" s="825" t="s">
        <v>736</v>
      </c>
      <c r="U5" s="801" t="s">
        <v>74</v>
      </c>
      <c r="V5" s="801" t="s">
        <v>742</v>
      </c>
      <c r="W5" s="846" t="s">
        <v>764</v>
      </c>
      <c r="X5" s="801" t="s">
        <v>736</v>
      </c>
    </row>
    <row r="6" spans="1:24" ht="18" x14ac:dyDescent="0.25">
      <c r="A6" s="5" t="s">
        <v>170</v>
      </c>
      <c r="B6" s="83" t="s">
        <v>2</v>
      </c>
      <c r="C6" s="195">
        <f>SUM(Önkormányzat!C23)</f>
        <v>0</v>
      </c>
      <c r="D6" s="70">
        <f>SUM(Önkormányzat!D23)</f>
        <v>0</v>
      </c>
      <c r="E6" s="135">
        <f>SUM(Önkormányzat!E23)</f>
        <v>0</v>
      </c>
      <c r="F6" s="28">
        <f>SUM(Önkormányzat!F23)</f>
        <v>36364378</v>
      </c>
      <c r="G6" s="195" t="e">
        <f>SUM(#REF!)</f>
        <v>#REF!</v>
      </c>
      <c r="H6" s="135" t="e">
        <f>SUM(#REF!)</f>
        <v>#REF!</v>
      </c>
      <c r="I6" s="135" t="e">
        <f>SUM(#REF!)</f>
        <v>#REF!</v>
      </c>
      <c r="J6" s="28" t="e">
        <f>SUM(#REF!)</f>
        <v>#REF!</v>
      </c>
      <c r="K6" s="195">
        <f>SUM(Óvoda!C23)</f>
        <v>0</v>
      </c>
      <c r="L6" s="135">
        <f>SUM(Óvoda!D23)</f>
        <v>0</v>
      </c>
      <c r="M6" s="135">
        <f>SUM(Óvoda!E23)</f>
        <v>0</v>
      </c>
      <c r="N6" s="834">
        <f>Önkormányzat!G23</f>
        <v>36630879</v>
      </c>
      <c r="O6" s="834">
        <f>Önkormányzat!H23</f>
        <v>45203032</v>
      </c>
      <c r="P6" s="834">
        <f>Önkormányzat!I23</f>
        <v>44363986</v>
      </c>
      <c r="Q6" s="28">
        <f>SUM(Óvoda!F23)</f>
        <v>40635357</v>
      </c>
      <c r="R6" s="28">
        <f>Óvoda!G23</f>
        <v>40637557</v>
      </c>
      <c r="S6" s="28">
        <f>Óvoda!H23</f>
        <v>40722433</v>
      </c>
      <c r="T6" s="28">
        <f>Óvoda!I23</f>
        <v>40170180</v>
      </c>
      <c r="U6" s="28">
        <f>SUM(F6,,Q6)</f>
        <v>76999735</v>
      </c>
      <c r="V6" s="28">
        <f>N6+R6</f>
        <v>77268436</v>
      </c>
      <c r="W6" s="28">
        <f>O6+S6</f>
        <v>85925465</v>
      </c>
      <c r="X6" s="28">
        <f>P6+T6</f>
        <v>84534166</v>
      </c>
    </row>
    <row r="7" spans="1:24" ht="18" x14ac:dyDescent="0.25">
      <c r="A7" s="5" t="s">
        <v>175</v>
      </c>
      <c r="B7" s="83" t="s">
        <v>58</v>
      </c>
      <c r="C7" s="195">
        <f>SUM(Önkormányzat!C28)</f>
        <v>0</v>
      </c>
      <c r="D7" s="70">
        <f>SUM(Önkormányzat!D28)</f>
        <v>0</v>
      </c>
      <c r="E7" s="135">
        <f>SUM(Önkormányzat!E28)</f>
        <v>0</v>
      </c>
      <c r="F7" s="28">
        <f>SUM(Önkormányzat!F28)</f>
        <v>7514928</v>
      </c>
      <c r="G7" s="195" t="e">
        <f>SUM(#REF!)</f>
        <v>#REF!</v>
      </c>
      <c r="H7" s="135" t="e">
        <f>SUM(#REF!)</f>
        <v>#REF!</v>
      </c>
      <c r="I7" s="135" t="e">
        <f>SUM(#REF!)</f>
        <v>#REF!</v>
      </c>
      <c r="J7" s="28" t="e">
        <f>SUM(#REF!)</f>
        <v>#REF!</v>
      </c>
      <c r="K7" s="195">
        <f>SUM(Óvoda!C28)</f>
        <v>0</v>
      </c>
      <c r="L7" s="135">
        <f>SUM(Óvoda!D28)</f>
        <v>0</v>
      </c>
      <c r="M7" s="135">
        <f>SUM(Óvoda!E28)</f>
        <v>0</v>
      </c>
      <c r="N7" s="834">
        <f>Önkormányzat!G28</f>
        <v>7568110</v>
      </c>
      <c r="O7" s="834">
        <f>Önkormányzat!H28</f>
        <v>8906657</v>
      </c>
      <c r="P7" s="834">
        <f>Önkormányzat!I28</f>
        <v>8667772</v>
      </c>
      <c r="Q7" s="28">
        <f>SUM(Óvoda!F28)</f>
        <v>8219103</v>
      </c>
      <c r="R7" s="28">
        <f>Óvoda!G28</f>
        <v>8219532</v>
      </c>
      <c r="S7" s="28">
        <f>Óvoda!H28</f>
        <v>8221244</v>
      </c>
      <c r="T7" s="28">
        <f>Óvoda!I28</f>
        <v>8052927</v>
      </c>
      <c r="U7" s="28">
        <f>SUM(F7,,Q7)</f>
        <v>15734031</v>
      </c>
      <c r="V7" s="28">
        <f t="shared" ref="V7:W13" si="0">N7+R7</f>
        <v>15787642</v>
      </c>
      <c r="W7" s="28">
        <f t="shared" si="0"/>
        <v>17127901</v>
      </c>
      <c r="X7" s="28">
        <f t="shared" ref="X7:X13" si="1">P7+T7</f>
        <v>16720699</v>
      </c>
    </row>
    <row r="8" spans="1:24" ht="18" x14ac:dyDescent="0.25">
      <c r="A8" s="5" t="s">
        <v>235</v>
      </c>
      <c r="B8" s="83" t="s">
        <v>3</v>
      </c>
      <c r="C8" s="195">
        <f>SUM(Önkormányzat!C62)</f>
        <v>0</v>
      </c>
      <c r="D8" s="70">
        <f>SUM(Önkormányzat!D62)</f>
        <v>0</v>
      </c>
      <c r="E8" s="135">
        <f>SUM(Önkormányzat!E62)</f>
        <v>0</v>
      </c>
      <c r="F8" s="28">
        <f>SUM(Önkormányzat!F62)</f>
        <v>68832372</v>
      </c>
      <c r="G8" s="28">
        <f>SUM(Önkormányzat!G62)</f>
        <v>69460372</v>
      </c>
      <c r="H8" s="28">
        <f>SUM(Önkormányzat!I62)</f>
        <v>62250718</v>
      </c>
      <c r="I8" s="28">
        <f>SUM(Önkormányzat!J62)</f>
        <v>0</v>
      </c>
      <c r="J8" s="28">
        <f>SUM(Önkormányzat!K62)</f>
        <v>0</v>
      </c>
      <c r="K8" s="28">
        <f>SUM(Önkormányzat!L62)</f>
        <v>0</v>
      </c>
      <c r="L8" s="28">
        <f>SUM(Önkormányzat!M62)</f>
        <v>1651000</v>
      </c>
      <c r="M8" s="28">
        <f>SUM(Önkormányzat!N62)</f>
        <v>4064000</v>
      </c>
      <c r="N8" s="675">
        <f>Önkormányzat!G62</f>
        <v>69460372</v>
      </c>
      <c r="O8" s="675">
        <f>Önkormányzat!H62</f>
        <v>74907690</v>
      </c>
      <c r="P8" s="675">
        <f>Önkormányzat!I62</f>
        <v>62250718</v>
      </c>
      <c r="Q8" s="28">
        <f>SUM(Óvoda!F63)</f>
        <v>15304278</v>
      </c>
      <c r="R8" s="28">
        <f>Óvoda!G63</f>
        <v>15304278</v>
      </c>
      <c r="S8" s="28">
        <f>Óvoda!H63</f>
        <v>15304278</v>
      </c>
      <c r="T8" s="28">
        <f>Óvoda!I63</f>
        <v>11801715</v>
      </c>
      <c r="U8" s="28">
        <f>SUM(F8,,Q8)</f>
        <v>84136650</v>
      </c>
      <c r="V8" s="28">
        <f t="shared" si="0"/>
        <v>84764650</v>
      </c>
      <c r="W8" s="28">
        <f t="shared" si="0"/>
        <v>90211968</v>
      </c>
      <c r="X8" s="28">
        <f t="shared" si="1"/>
        <v>74052433</v>
      </c>
    </row>
    <row r="9" spans="1:24" ht="18" x14ac:dyDescent="0.25">
      <c r="A9" s="5" t="s">
        <v>267</v>
      </c>
      <c r="B9" s="83" t="s">
        <v>396</v>
      </c>
      <c r="C9" s="195" t="e">
        <f>SUM(Önkormányzat!C63)</f>
        <v>#REF!</v>
      </c>
      <c r="D9" s="70" t="e">
        <f>SUM(Önkormányzat!D63)</f>
        <v>#REF!</v>
      </c>
      <c r="E9" s="135" t="e">
        <f>SUM(Önkormányzat!E63)</f>
        <v>#REF!</v>
      </c>
      <c r="F9" s="28">
        <f>SUM(Önkormányzat!F63)</f>
        <v>4736800</v>
      </c>
      <c r="G9" s="195" t="e">
        <f>SUM(#REF!)</f>
        <v>#REF!</v>
      </c>
      <c r="H9" s="135" t="e">
        <f>SUM(#REF!)</f>
        <v>#REF!</v>
      </c>
      <c r="I9" s="135" t="e">
        <f>SUM(#REF!)</f>
        <v>#REF!</v>
      </c>
      <c r="J9" s="28" t="e">
        <f>SUM(#REF!)</f>
        <v>#REF!</v>
      </c>
      <c r="K9" s="195">
        <f>SUM(Óvoda!C64)</f>
        <v>0</v>
      </c>
      <c r="L9" s="135">
        <f>SUM(Óvoda!D64)</f>
        <v>0</v>
      </c>
      <c r="M9" s="135">
        <f>SUM(Óvoda!E64)</f>
        <v>0</v>
      </c>
      <c r="N9" s="834">
        <f>Önkormányzat!G63</f>
        <v>4736800</v>
      </c>
      <c r="O9" s="834">
        <f>Önkormányzat!H63</f>
        <v>7236521</v>
      </c>
      <c r="P9" s="834">
        <f>Önkormányzat!I63</f>
        <v>5277520</v>
      </c>
      <c r="Q9" s="28">
        <f>SUM(Óvoda!F64)</f>
        <v>0</v>
      </c>
      <c r="R9" s="28"/>
      <c r="S9" s="28"/>
      <c r="T9" s="28"/>
      <c r="U9" s="28">
        <f>SUM(F9,,Q9)</f>
        <v>4736800</v>
      </c>
      <c r="V9" s="28">
        <f t="shared" si="0"/>
        <v>4736800</v>
      </c>
      <c r="W9" s="28">
        <f t="shared" si="0"/>
        <v>7236521</v>
      </c>
      <c r="X9" s="28">
        <f t="shared" si="1"/>
        <v>5277520</v>
      </c>
    </row>
    <row r="10" spans="1:24" ht="18" x14ac:dyDescent="0.25">
      <c r="A10" s="602" t="s">
        <v>606</v>
      </c>
      <c r="B10" s="603" t="s">
        <v>269</v>
      </c>
      <c r="C10" s="242"/>
      <c r="D10" s="242"/>
      <c r="E10" s="242"/>
      <c r="F10" s="675">
        <f>SUM(Önkormányzat!F64)</f>
        <v>10555551</v>
      </c>
      <c r="G10" s="195"/>
      <c r="H10" s="135"/>
      <c r="I10" s="135"/>
      <c r="J10" s="28"/>
      <c r="K10" s="195"/>
      <c r="L10" s="135"/>
      <c r="M10" s="135"/>
      <c r="N10" s="834">
        <f>Önkormányzat!G64</f>
        <v>10555551</v>
      </c>
      <c r="O10" s="834">
        <f>Önkormányzat!H64</f>
        <v>10555551</v>
      </c>
      <c r="P10" s="834">
        <f>Önkormányzat!I64</f>
        <v>10555551</v>
      </c>
      <c r="Q10" s="28"/>
      <c r="R10" s="28"/>
      <c r="S10" s="28"/>
      <c r="T10" s="28"/>
      <c r="U10" s="28">
        <f>SUM(F10)</f>
        <v>10555551</v>
      </c>
      <c r="V10" s="28">
        <f t="shared" si="0"/>
        <v>10555551</v>
      </c>
      <c r="W10" s="28">
        <f t="shared" si="0"/>
        <v>10555551</v>
      </c>
      <c r="X10" s="28">
        <f t="shared" si="1"/>
        <v>10555551</v>
      </c>
    </row>
    <row r="11" spans="1:24" ht="18" x14ac:dyDescent="0.25">
      <c r="A11" s="178" t="s">
        <v>270</v>
      </c>
      <c r="B11" s="142" t="s">
        <v>306</v>
      </c>
      <c r="C11" s="195">
        <f>SUM(Önkormányzat!C65)</f>
        <v>0</v>
      </c>
      <c r="D11" s="70">
        <f>SUM(Önkormányzat!D65)</f>
        <v>0</v>
      </c>
      <c r="E11" s="135">
        <f>SUM(Önkormányzat!E65)</f>
        <v>0</v>
      </c>
      <c r="F11" s="28">
        <f>SUM(Önkormányzat!F65)</f>
        <v>15567267</v>
      </c>
      <c r="G11" s="195" t="e">
        <f>SUM(#REF!)</f>
        <v>#REF!</v>
      </c>
      <c r="H11" s="135" t="e">
        <f>SUM(#REF!)</f>
        <v>#REF!</v>
      </c>
      <c r="I11" s="135" t="e">
        <f>SUM(#REF!)</f>
        <v>#REF!</v>
      </c>
      <c r="J11" s="28" t="e">
        <f>SUM(#REF!)</f>
        <v>#REF!</v>
      </c>
      <c r="K11" s="195">
        <f>SUM(Óvoda!C65)</f>
        <v>0</v>
      </c>
      <c r="L11" s="135">
        <f>SUM(Óvoda!D65)</f>
        <v>0</v>
      </c>
      <c r="M11" s="135">
        <f>SUM(Óvoda!E65)</f>
        <v>0</v>
      </c>
      <c r="N11" s="834">
        <f>Önkormányzat!G65</f>
        <v>15577267</v>
      </c>
      <c r="O11" s="834">
        <f>Önkormányzat!H65</f>
        <v>17440719</v>
      </c>
      <c r="P11" s="834">
        <f>Önkormányzat!I65</f>
        <v>16424921</v>
      </c>
      <c r="Q11" s="28">
        <f>SUM(Óvoda!F65)</f>
        <v>0</v>
      </c>
      <c r="R11" s="28"/>
      <c r="S11" s="28"/>
      <c r="T11" s="28"/>
      <c r="U11" s="28">
        <f>SUM(F11,,Q11)</f>
        <v>15567267</v>
      </c>
      <c r="V11" s="28">
        <f t="shared" si="0"/>
        <v>15577267</v>
      </c>
      <c r="W11" s="28">
        <f t="shared" si="0"/>
        <v>17440719</v>
      </c>
      <c r="X11" s="28">
        <f t="shared" si="1"/>
        <v>16424921</v>
      </c>
    </row>
    <row r="12" spans="1:24" ht="18" x14ac:dyDescent="0.25">
      <c r="A12" s="178" t="s">
        <v>268</v>
      </c>
      <c r="B12" s="142" t="s">
        <v>738</v>
      </c>
      <c r="C12" s="195">
        <f>SUM(Önkormányzat!C66)</f>
        <v>0</v>
      </c>
      <c r="D12" s="70">
        <f>SUM(Önkormányzat!D66)</f>
        <v>0</v>
      </c>
      <c r="E12" s="135">
        <f>SUM(Önkormányzat!E66)</f>
        <v>0</v>
      </c>
      <c r="F12" s="28">
        <f>SUM(Önkormányzat!F66)</f>
        <v>0</v>
      </c>
      <c r="G12" s="195" t="e">
        <f>SUM(#REF!)</f>
        <v>#REF!</v>
      </c>
      <c r="H12" s="135" t="e">
        <f>SUM(#REF!)</f>
        <v>#REF!</v>
      </c>
      <c r="I12" s="135" t="e">
        <f>SUM(#REF!)</f>
        <v>#REF!</v>
      </c>
      <c r="J12" s="28" t="e">
        <f>SUM(#REF!)</f>
        <v>#REF!</v>
      </c>
      <c r="K12" s="195">
        <f>SUM(Óvoda!C66)</f>
        <v>0</v>
      </c>
      <c r="L12" s="135">
        <f>SUM(Óvoda!D66)</f>
        <v>0</v>
      </c>
      <c r="M12" s="135">
        <f>SUM(Óvoda!E66)</f>
        <v>0</v>
      </c>
      <c r="N12" s="834">
        <f>Önkormányzat!G66</f>
        <v>75072</v>
      </c>
      <c r="O12" s="834">
        <f>Önkormányzat!H66</f>
        <v>75072</v>
      </c>
      <c r="P12" s="834">
        <f>Önkormányzat!I66</f>
        <v>75072</v>
      </c>
      <c r="Q12" s="28">
        <f>SUM(Óvoda!F66)</f>
        <v>0</v>
      </c>
      <c r="R12" s="28"/>
      <c r="S12" s="28"/>
      <c r="T12" s="28"/>
      <c r="U12" s="28">
        <f>SUM(F12,,Q12)</f>
        <v>0</v>
      </c>
      <c r="V12" s="28">
        <f t="shared" si="0"/>
        <v>75072</v>
      </c>
      <c r="W12" s="28">
        <f t="shared" si="0"/>
        <v>75072</v>
      </c>
      <c r="X12" s="28">
        <f t="shared" si="1"/>
        <v>75072</v>
      </c>
    </row>
    <row r="13" spans="1:24" ht="18" x14ac:dyDescent="0.25">
      <c r="A13" s="178" t="s">
        <v>274</v>
      </c>
      <c r="B13" s="142" t="s">
        <v>308</v>
      </c>
      <c r="C13" s="195">
        <f>SUM(Önkormányzat!C67)</f>
        <v>0</v>
      </c>
      <c r="D13" s="70">
        <f>SUM(Önkormányzat!D67)</f>
        <v>0</v>
      </c>
      <c r="E13" s="135">
        <f>SUM(Önkormányzat!E67)</f>
        <v>0</v>
      </c>
      <c r="F13" s="28">
        <f>SUM(Önkormányzat!F67)</f>
        <v>13569268</v>
      </c>
      <c r="G13" s="195" t="e">
        <f>SUM(#REF!)</f>
        <v>#REF!</v>
      </c>
      <c r="H13" s="135" t="e">
        <f>SUM(#REF!)</f>
        <v>#REF!</v>
      </c>
      <c r="I13" s="135" t="e">
        <f>SUM(#REF!)</f>
        <v>#REF!</v>
      </c>
      <c r="J13" s="28" t="e">
        <f>SUM(#REF!)</f>
        <v>#REF!</v>
      </c>
      <c r="K13" s="195">
        <f>SUM(Óvoda!C67)</f>
        <v>0</v>
      </c>
      <c r="L13" s="135">
        <f>SUM(Óvoda!D67)</f>
        <v>0</v>
      </c>
      <c r="M13" s="135">
        <f>SUM(Óvoda!E67)</f>
        <v>0</v>
      </c>
      <c r="N13" s="834">
        <f>Önkormányzat!G67</f>
        <v>13664518</v>
      </c>
      <c r="O13" s="834">
        <f>Önkormányzat!H67</f>
        <v>17017445</v>
      </c>
      <c r="P13" s="834">
        <f>Önkormányzat!I67</f>
        <v>16062867</v>
      </c>
      <c r="Q13" s="28">
        <f>SUM(Óvoda!F67)</f>
        <v>0</v>
      </c>
      <c r="R13" s="28"/>
      <c r="S13" s="28"/>
      <c r="T13" s="28"/>
      <c r="U13" s="28">
        <f>SUM(F13,,Q13)</f>
        <v>13569268</v>
      </c>
      <c r="V13" s="28">
        <f t="shared" si="0"/>
        <v>13664518</v>
      </c>
      <c r="W13" s="28">
        <f t="shared" si="0"/>
        <v>17017445</v>
      </c>
      <c r="X13" s="28">
        <f t="shared" si="1"/>
        <v>16062867</v>
      </c>
    </row>
    <row r="14" spans="1:24" ht="18" x14ac:dyDescent="0.25">
      <c r="A14" s="910" t="s">
        <v>6</v>
      </c>
      <c r="B14" s="911"/>
      <c r="C14" s="196" t="e">
        <f t="shared" ref="C14:U14" si="2">SUM(C6:C13)</f>
        <v>#REF!</v>
      </c>
      <c r="D14" s="194" t="e">
        <f t="shared" si="2"/>
        <v>#REF!</v>
      </c>
      <c r="E14" s="194" t="e">
        <f t="shared" si="2"/>
        <v>#REF!</v>
      </c>
      <c r="F14" s="97">
        <f>SUM(F6:F13)</f>
        <v>157140564</v>
      </c>
      <c r="G14" s="97" t="e">
        <f t="shared" ref="G14:P14" si="3">SUM(G6:G13)</f>
        <v>#REF!</v>
      </c>
      <c r="H14" s="97" t="e">
        <f t="shared" si="3"/>
        <v>#REF!</v>
      </c>
      <c r="I14" s="97" t="e">
        <f t="shared" si="3"/>
        <v>#REF!</v>
      </c>
      <c r="J14" s="97" t="e">
        <f t="shared" si="3"/>
        <v>#REF!</v>
      </c>
      <c r="K14" s="97">
        <f t="shared" si="3"/>
        <v>0</v>
      </c>
      <c r="L14" s="97">
        <f t="shared" si="3"/>
        <v>1651000</v>
      </c>
      <c r="M14" s="97">
        <f t="shared" si="3"/>
        <v>4064000</v>
      </c>
      <c r="N14" s="97">
        <f t="shared" si="3"/>
        <v>158268569</v>
      </c>
      <c r="O14" s="97">
        <f t="shared" si="3"/>
        <v>181342687</v>
      </c>
      <c r="P14" s="97">
        <f t="shared" si="3"/>
        <v>163678407</v>
      </c>
      <c r="Q14" s="97">
        <f t="shared" si="2"/>
        <v>64158738</v>
      </c>
      <c r="R14" s="97">
        <f t="shared" si="2"/>
        <v>64161367</v>
      </c>
      <c r="S14" s="97">
        <f t="shared" si="2"/>
        <v>64247955</v>
      </c>
      <c r="T14" s="97">
        <f t="shared" si="2"/>
        <v>60024822</v>
      </c>
      <c r="U14" s="97">
        <f t="shared" si="2"/>
        <v>221299302</v>
      </c>
      <c r="V14" s="836">
        <f>SUM(V6:V13)</f>
        <v>222429936</v>
      </c>
      <c r="W14" s="836">
        <f>SUM(W6:W13)</f>
        <v>245590642</v>
      </c>
      <c r="X14" s="836">
        <f>SUM(X6:X13)</f>
        <v>223703229</v>
      </c>
    </row>
    <row r="15" spans="1:24" ht="18" x14ac:dyDescent="0.25">
      <c r="A15" s="5" t="s">
        <v>249</v>
      </c>
      <c r="B15" s="83" t="s">
        <v>5</v>
      </c>
      <c r="C15" s="195" t="e">
        <f>SUM(Önkormányzat!C70)</f>
        <v>#REF!</v>
      </c>
      <c r="D15" s="70" t="e">
        <f>SUM(Önkormányzat!D70)</f>
        <v>#REF!</v>
      </c>
      <c r="E15" s="135" t="e">
        <f>SUM(Önkormányzat!E70)</f>
        <v>#REF!</v>
      </c>
      <c r="F15" s="28">
        <f>SUM(Önkormányzat!F70)</f>
        <v>29415961</v>
      </c>
      <c r="G15" s="195" t="e">
        <f>SUM(#REF!)</f>
        <v>#REF!</v>
      </c>
      <c r="H15" s="135" t="e">
        <f>SUM(#REF!)</f>
        <v>#REF!</v>
      </c>
      <c r="I15" s="135" t="e">
        <f>SUM(#REF!)</f>
        <v>#REF!</v>
      </c>
      <c r="J15" s="198" t="e">
        <f>SUM(#REF!)</f>
        <v>#REF!</v>
      </c>
      <c r="K15" s="195">
        <f>SUM(Óvoda!C70)</f>
        <v>0</v>
      </c>
      <c r="L15" s="135">
        <f>SUM(Óvoda!D70)</f>
        <v>0</v>
      </c>
      <c r="M15" s="135">
        <f>SUM(Óvoda!E70)</f>
        <v>0</v>
      </c>
      <c r="N15" s="834">
        <f>Önkormányzat!G70</f>
        <v>42475162</v>
      </c>
      <c r="O15" s="834">
        <f>Önkormányzat!H70</f>
        <v>40353283</v>
      </c>
      <c r="P15" s="834">
        <f>Önkormányzat!I70</f>
        <v>14948674</v>
      </c>
      <c r="Q15" s="675">
        <f>SUM(Óvoda!F70)</f>
        <v>274999</v>
      </c>
      <c r="R15" s="675">
        <f>Óvoda!G70</f>
        <v>274999</v>
      </c>
      <c r="S15" s="675">
        <f>Óvoda!H70</f>
        <v>274999</v>
      </c>
      <c r="T15" s="675">
        <f>Óvoda!I70</f>
        <v>248339</v>
      </c>
      <c r="U15" s="28">
        <f>SUM(F15,,Q15)</f>
        <v>29690960</v>
      </c>
      <c r="V15" s="28">
        <f t="shared" ref="V15:X16" si="4">N15+R15</f>
        <v>42750161</v>
      </c>
      <c r="W15" s="28">
        <f t="shared" si="4"/>
        <v>40628282</v>
      </c>
      <c r="X15" s="28">
        <f t="shared" si="4"/>
        <v>15197013</v>
      </c>
    </row>
    <row r="16" spans="1:24" ht="18" x14ac:dyDescent="0.25">
      <c r="A16" s="5" t="s">
        <v>255</v>
      </c>
      <c r="B16" s="83" t="s">
        <v>65</v>
      </c>
      <c r="C16" s="195">
        <f>SUM(Önkormányzat!C71)</f>
        <v>0</v>
      </c>
      <c r="D16" s="70">
        <f>SUM(Önkormányzat!D71)</f>
        <v>0</v>
      </c>
      <c r="E16" s="135">
        <f>SUM(Önkormányzat!E71)</f>
        <v>0</v>
      </c>
      <c r="F16" s="28">
        <f>SUM(Önkormányzat!F71)</f>
        <v>72211298</v>
      </c>
      <c r="G16" s="195" t="e">
        <f>SUM(#REF!)</f>
        <v>#REF!</v>
      </c>
      <c r="H16" s="135" t="e">
        <f>SUM(#REF!)</f>
        <v>#REF!</v>
      </c>
      <c r="I16" s="135" t="e">
        <f>SUM(#REF!)</f>
        <v>#REF!</v>
      </c>
      <c r="J16" s="198" t="e">
        <f>SUM(#REF!)</f>
        <v>#REF!</v>
      </c>
      <c r="K16" s="195">
        <f>SUM(Óvoda!C71)</f>
        <v>0</v>
      </c>
      <c r="L16" s="135">
        <f>SUM(Óvoda!D71)</f>
        <v>0</v>
      </c>
      <c r="M16" s="135">
        <f>SUM(Óvoda!E71)</f>
        <v>0</v>
      </c>
      <c r="N16" s="834">
        <f>Önkormányzat!G71</f>
        <v>72465298</v>
      </c>
      <c r="O16" s="834">
        <f>Önkormányzat!H71</f>
        <v>80080023</v>
      </c>
      <c r="P16" s="834">
        <f>Önkormányzat!I71</f>
        <v>79750466</v>
      </c>
      <c r="Q16" s="198">
        <f>SUM(Óvoda!F71)</f>
        <v>0</v>
      </c>
      <c r="R16" s="198"/>
      <c r="S16" s="198"/>
      <c r="T16" s="198"/>
      <c r="U16" s="28">
        <f>SUM(F16,,Q16)</f>
        <v>72211298</v>
      </c>
      <c r="V16" s="28">
        <f t="shared" si="4"/>
        <v>72465298</v>
      </c>
      <c r="W16" s="28">
        <f t="shared" si="4"/>
        <v>80080023</v>
      </c>
      <c r="X16" s="28">
        <f t="shared" si="4"/>
        <v>79750466</v>
      </c>
    </row>
    <row r="17" spans="1:28" ht="18" x14ac:dyDescent="0.25">
      <c r="A17" s="5" t="s">
        <v>257</v>
      </c>
      <c r="B17" s="142" t="s">
        <v>313</v>
      </c>
      <c r="C17" s="195">
        <f>SUM(Önkormányzat!C72)</f>
        <v>0</v>
      </c>
      <c r="D17" s="70">
        <f>SUM(Önkormányzat!D72)</f>
        <v>0</v>
      </c>
      <c r="E17" s="135">
        <f>SUM(Önkormányzat!E72)</f>
        <v>0</v>
      </c>
      <c r="F17" s="28">
        <f>SUM(Önkormányzat!F72)</f>
        <v>0</v>
      </c>
      <c r="G17" s="195" t="e">
        <f>SUM(#REF!)</f>
        <v>#REF!</v>
      </c>
      <c r="H17" s="135" t="e">
        <f>SUM(#REF!)</f>
        <v>#REF!</v>
      </c>
      <c r="I17" s="135" t="e">
        <f>SUM(#REF!)</f>
        <v>#REF!</v>
      </c>
      <c r="J17" s="198" t="e">
        <f>SUM(#REF!)</f>
        <v>#REF!</v>
      </c>
      <c r="K17" s="195">
        <f>SUM(Óvoda!C72)</f>
        <v>0</v>
      </c>
      <c r="L17" s="135">
        <f>SUM(Óvoda!D72)</f>
        <v>0</v>
      </c>
      <c r="M17" s="135">
        <f>SUM(Óvoda!E72)</f>
        <v>0</v>
      </c>
      <c r="N17" s="834"/>
      <c r="O17" s="834"/>
      <c r="P17" s="834"/>
      <c r="Q17" s="198">
        <f>SUM(Óvoda!F72)</f>
        <v>0</v>
      </c>
      <c r="R17" s="198"/>
      <c r="S17" s="198"/>
      <c r="T17" s="198"/>
      <c r="U17" s="28">
        <f>SUM(F17,,Q17)</f>
        <v>0</v>
      </c>
      <c r="V17" s="28">
        <f t="shared" ref="V17:V25" si="5">N17+T17</f>
        <v>0</v>
      </c>
      <c r="W17" s="28"/>
      <c r="X17" s="28">
        <f t="shared" ref="X17:X19" si="6">P17+U17</f>
        <v>0</v>
      </c>
    </row>
    <row r="18" spans="1:28" ht="18" x14ac:dyDescent="0.25">
      <c r="A18" s="5" t="s">
        <v>258</v>
      </c>
      <c r="B18" s="142" t="s">
        <v>314</v>
      </c>
      <c r="C18" s="195">
        <f>SUM(Önkormányzat!C73)</f>
        <v>0</v>
      </c>
      <c r="D18" s="70">
        <f>SUM(Önkormányzat!D73)</f>
        <v>0</v>
      </c>
      <c r="E18" s="135">
        <f>SUM(Önkormányzat!E73)</f>
        <v>0</v>
      </c>
      <c r="F18" s="28">
        <f>SUM(Önkormányzat!F73)</f>
        <v>0</v>
      </c>
      <c r="G18" s="195" t="e">
        <f>SUM(#REF!)</f>
        <v>#REF!</v>
      </c>
      <c r="H18" s="135" t="e">
        <f>SUM(#REF!)</f>
        <v>#REF!</v>
      </c>
      <c r="I18" s="135" t="e">
        <f>SUM(#REF!)</f>
        <v>#REF!</v>
      </c>
      <c r="J18" s="198" t="e">
        <f>SUM(#REF!)</f>
        <v>#REF!</v>
      </c>
      <c r="K18" s="195">
        <f>SUM(Óvoda!C73)</f>
        <v>0</v>
      </c>
      <c r="L18" s="135">
        <f>SUM(Óvoda!D73)</f>
        <v>0</v>
      </c>
      <c r="M18" s="135">
        <f>SUM(Óvoda!E73)</f>
        <v>0</v>
      </c>
      <c r="N18" s="834"/>
      <c r="O18" s="834"/>
      <c r="P18" s="834"/>
      <c r="Q18" s="198">
        <f>SUM(Óvoda!F73)</f>
        <v>0</v>
      </c>
      <c r="R18" s="198"/>
      <c r="S18" s="198"/>
      <c r="T18" s="198"/>
      <c r="U18" s="28">
        <f>SUM(F18,,Q18)</f>
        <v>0</v>
      </c>
      <c r="V18" s="28">
        <f t="shared" si="5"/>
        <v>0</v>
      </c>
      <c r="W18" s="28"/>
      <c r="X18" s="28">
        <f t="shared" si="6"/>
        <v>0</v>
      </c>
    </row>
    <row r="19" spans="1:28" ht="18" x14ac:dyDescent="0.25">
      <c r="A19" s="5" t="s">
        <v>259</v>
      </c>
      <c r="B19" s="142" t="s">
        <v>315</v>
      </c>
      <c r="C19" s="160">
        <f>SUM(Önkormányzat!C74)</f>
        <v>0</v>
      </c>
      <c r="D19" s="461">
        <f>SUM(Önkormányzat!D74)</f>
        <v>0</v>
      </c>
      <c r="E19" s="461">
        <f>SUM(Önkormányzat!E74)</f>
        <v>0</v>
      </c>
      <c r="F19" s="28">
        <f>SUM(Önkormányzat!F74)</f>
        <v>0</v>
      </c>
      <c r="G19" s="195" t="e">
        <f>SUM(#REF!)</f>
        <v>#REF!</v>
      </c>
      <c r="H19" s="135" t="e">
        <f>SUM(#REF!)</f>
        <v>#REF!</v>
      </c>
      <c r="I19" s="135" t="e">
        <f>SUM(#REF!)</f>
        <v>#REF!</v>
      </c>
      <c r="J19" s="198" t="e">
        <f>SUM(#REF!)</f>
        <v>#REF!</v>
      </c>
      <c r="K19" s="195">
        <f>SUM(Óvoda!C74)</f>
        <v>0</v>
      </c>
      <c r="L19" s="135">
        <f>SUM(Óvoda!D74)</f>
        <v>0</v>
      </c>
      <c r="M19" s="135">
        <f>SUM(Óvoda!E74)</f>
        <v>0</v>
      </c>
      <c r="N19" s="834"/>
      <c r="O19" s="834"/>
      <c r="P19" s="834"/>
      <c r="Q19" s="198">
        <f>SUM(Óvoda!F74)</f>
        <v>0</v>
      </c>
      <c r="R19" s="198"/>
      <c r="S19" s="198"/>
      <c r="T19" s="198"/>
      <c r="U19" s="28">
        <f>SUM(F19,,Q19)</f>
        <v>0</v>
      </c>
      <c r="V19" s="28">
        <f t="shared" si="5"/>
        <v>0</v>
      </c>
      <c r="W19" s="28"/>
      <c r="X19" s="28">
        <f t="shared" si="6"/>
        <v>0</v>
      </c>
    </row>
    <row r="20" spans="1:28" ht="18" x14ac:dyDescent="0.25">
      <c r="A20" s="910" t="s">
        <v>7</v>
      </c>
      <c r="B20" s="911"/>
      <c r="C20" s="194" t="e">
        <f t="shared" ref="C20:U20" si="7">SUM(C15:C19)</f>
        <v>#REF!</v>
      </c>
      <c r="D20" s="194" t="e">
        <f t="shared" si="7"/>
        <v>#REF!</v>
      </c>
      <c r="E20" s="194" t="e">
        <f t="shared" si="7"/>
        <v>#REF!</v>
      </c>
      <c r="F20" s="97">
        <f t="shared" si="7"/>
        <v>101627259</v>
      </c>
      <c r="G20" s="97" t="e">
        <f t="shared" si="7"/>
        <v>#REF!</v>
      </c>
      <c r="H20" s="97" t="e">
        <f t="shared" si="7"/>
        <v>#REF!</v>
      </c>
      <c r="I20" s="97" t="e">
        <f t="shared" si="7"/>
        <v>#REF!</v>
      </c>
      <c r="J20" s="97" t="e">
        <f t="shared" si="7"/>
        <v>#REF!</v>
      </c>
      <c r="K20" s="97">
        <f t="shared" si="7"/>
        <v>0</v>
      </c>
      <c r="L20" s="97">
        <f t="shared" si="7"/>
        <v>0</v>
      </c>
      <c r="M20" s="97">
        <f t="shared" si="7"/>
        <v>0</v>
      </c>
      <c r="N20" s="97">
        <f t="shared" si="7"/>
        <v>114940460</v>
      </c>
      <c r="O20" s="97">
        <f t="shared" si="7"/>
        <v>120433306</v>
      </c>
      <c r="P20" s="97">
        <f t="shared" si="7"/>
        <v>94699140</v>
      </c>
      <c r="Q20" s="97">
        <f t="shared" si="7"/>
        <v>274999</v>
      </c>
      <c r="R20" s="97">
        <f t="shared" si="7"/>
        <v>274999</v>
      </c>
      <c r="S20" s="97">
        <f t="shared" si="7"/>
        <v>274999</v>
      </c>
      <c r="T20" s="97">
        <f t="shared" si="7"/>
        <v>248339</v>
      </c>
      <c r="U20" s="97">
        <f t="shared" si="7"/>
        <v>101902258</v>
      </c>
      <c r="V20" s="836">
        <f>V15+V16</f>
        <v>115215459</v>
      </c>
      <c r="W20" s="836">
        <f>W15+W16</f>
        <v>120708305</v>
      </c>
      <c r="X20" s="836">
        <f>X15+X16</f>
        <v>94947479</v>
      </c>
    </row>
    <row r="21" spans="1:28" ht="18" x14ac:dyDescent="0.25">
      <c r="A21" s="5" t="s">
        <v>276</v>
      </c>
      <c r="B21" s="83" t="s">
        <v>62</v>
      </c>
      <c r="C21" s="75">
        <f>SUM(Önkormányzat!C68)</f>
        <v>0</v>
      </c>
      <c r="D21" s="11">
        <f>SUM(Önkormányzat!D68)</f>
        <v>0</v>
      </c>
      <c r="E21" s="67">
        <f>SUM(Önkormányzat!E68)</f>
        <v>0</v>
      </c>
      <c r="F21" s="28">
        <f>SUM(Önkormányzat!F68)</f>
        <v>99231341</v>
      </c>
      <c r="G21" s="75" t="e">
        <f>SUM(#REF!)</f>
        <v>#REF!</v>
      </c>
      <c r="H21" s="67" t="e">
        <f>SUM(#REF!)</f>
        <v>#REF!</v>
      </c>
      <c r="I21" s="67" t="e">
        <f>SUM(#REF!)</f>
        <v>#REF!</v>
      </c>
      <c r="J21" s="198" t="e">
        <f>SUM(#REF!)</f>
        <v>#REF!</v>
      </c>
      <c r="K21" s="75">
        <f>SUM(Óvoda!C68)</f>
        <v>0</v>
      </c>
      <c r="L21" s="67">
        <f>SUM(Óvoda!D68)</f>
        <v>0</v>
      </c>
      <c r="M21" s="67">
        <f>SUM(Óvoda!E68)</f>
        <v>0</v>
      </c>
      <c r="N21" s="834">
        <f>Önkormányzat!G68</f>
        <v>85626378</v>
      </c>
      <c r="O21" s="834">
        <f>Önkormányzat!H68</f>
        <v>60729559</v>
      </c>
      <c r="P21" s="834">
        <f>Önkormányzat!I68</f>
        <v>0</v>
      </c>
      <c r="Q21" s="198">
        <f>SUM(Óvoda!F68)</f>
        <v>0</v>
      </c>
      <c r="R21" s="198"/>
      <c r="S21" s="198"/>
      <c r="T21" s="198"/>
      <c r="U21" s="28">
        <f>SUM(F21)</f>
        <v>99231341</v>
      </c>
      <c r="V21" s="837">
        <f t="shared" si="5"/>
        <v>85626378</v>
      </c>
      <c r="W21" s="837">
        <f>O21</f>
        <v>60729559</v>
      </c>
      <c r="X21" s="837"/>
    </row>
    <row r="22" spans="1:28" ht="18" x14ac:dyDescent="0.25">
      <c r="A22" s="908" t="s">
        <v>8</v>
      </c>
      <c r="B22" s="909"/>
      <c r="C22" s="76" t="e">
        <f>SUM(C14,C20,C21)</f>
        <v>#REF!</v>
      </c>
      <c r="D22" s="76" t="e">
        <f>SUM(D14,D20,D21)</f>
        <v>#REF!</v>
      </c>
      <c r="E22" s="76" t="e">
        <f>SUM(E14,E20,E21)</f>
        <v>#REF!</v>
      </c>
      <c r="F22" s="81">
        <f>SUM(F14,F21,F20)</f>
        <v>357999164</v>
      </c>
      <c r="G22" s="81" t="e">
        <f t="shared" ref="G22:P22" si="8">SUM(G14,G21,G20)</f>
        <v>#REF!</v>
      </c>
      <c r="H22" s="81" t="e">
        <f t="shared" si="8"/>
        <v>#REF!</v>
      </c>
      <c r="I22" s="81" t="e">
        <f t="shared" si="8"/>
        <v>#REF!</v>
      </c>
      <c r="J22" s="81" t="e">
        <f t="shared" si="8"/>
        <v>#REF!</v>
      </c>
      <c r="K22" s="81">
        <f t="shared" si="8"/>
        <v>0</v>
      </c>
      <c r="L22" s="81">
        <f t="shared" si="8"/>
        <v>1651000</v>
      </c>
      <c r="M22" s="81">
        <f t="shared" si="8"/>
        <v>4064000</v>
      </c>
      <c r="N22" s="81">
        <f t="shared" si="8"/>
        <v>358835407</v>
      </c>
      <c r="O22" s="81">
        <f t="shared" si="8"/>
        <v>362505552</v>
      </c>
      <c r="P22" s="81">
        <f t="shared" si="8"/>
        <v>258377547</v>
      </c>
      <c r="Q22" s="81">
        <f>SUM(Q14,Q21,Q20)</f>
        <v>64433737</v>
      </c>
      <c r="R22" s="81">
        <f t="shared" ref="R22:T22" si="9">SUM(R14,R21,R20)</f>
        <v>64436366</v>
      </c>
      <c r="S22" s="81">
        <f t="shared" si="9"/>
        <v>64522954</v>
      </c>
      <c r="T22" s="81">
        <f t="shared" si="9"/>
        <v>60273161</v>
      </c>
      <c r="U22" s="81">
        <f>SUM(,U14+U20+U21)</f>
        <v>422432901</v>
      </c>
      <c r="V22" s="836">
        <f>V14+V20+V21</f>
        <v>423271773</v>
      </c>
      <c r="W22" s="836">
        <f>W14+W20+W21</f>
        <v>427028506</v>
      </c>
      <c r="X22" s="836">
        <f>X14+X20</f>
        <v>318650708</v>
      </c>
      <c r="AB22" s="96"/>
    </row>
    <row r="23" spans="1:28" ht="18" x14ac:dyDescent="0.25">
      <c r="A23" s="5" t="s">
        <v>317</v>
      </c>
      <c r="B23" s="183" t="s">
        <v>671</v>
      </c>
      <c r="C23" s="11">
        <f>SUM(Önkormányzat!C77)</f>
        <v>0</v>
      </c>
      <c r="D23" s="12">
        <f>SUM(Önkormányzat!D77)</f>
        <v>0</v>
      </c>
      <c r="E23" s="12">
        <f>SUM(Önkormányzat!E77)</f>
        <v>0</v>
      </c>
      <c r="F23" s="198">
        <f>SUM(Önkormányzat!F77)</f>
        <v>1309508</v>
      </c>
      <c r="G23" s="75" t="e">
        <f>SUM(#REF!)</f>
        <v>#REF!</v>
      </c>
      <c r="H23" s="75" t="e">
        <f>SUM(#REF!)</f>
        <v>#REF!</v>
      </c>
      <c r="I23" s="75" t="e">
        <f>SUM(#REF!)</f>
        <v>#REF!</v>
      </c>
      <c r="J23" s="198" t="e">
        <f>SUM(#REF!)</f>
        <v>#REF!</v>
      </c>
      <c r="K23" s="75">
        <f>SUM(Óvoda!C77)</f>
        <v>0</v>
      </c>
      <c r="L23" s="75">
        <f>SUM(Óvoda!D77)</f>
        <v>0</v>
      </c>
      <c r="M23" s="75">
        <f>SUM(Óvoda!E77)</f>
        <v>0</v>
      </c>
      <c r="N23" s="834">
        <f>Önkormányzat!G77</f>
        <v>1309508</v>
      </c>
      <c r="O23" s="834">
        <f>Önkormányzat!H77</f>
        <v>1309508</v>
      </c>
      <c r="P23" s="834">
        <f>Önkormányzat!I77</f>
        <v>1307152</v>
      </c>
      <c r="Q23" s="28">
        <f>SUM(Óvoda!F77)</f>
        <v>0</v>
      </c>
      <c r="R23" s="28"/>
      <c r="S23" s="28"/>
      <c r="T23" s="28"/>
      <c r="U23" s="28">
        <f>SUM(F23)</f>
        <v>1309508</v>
      </c>
      <c r="V23" s="28">
        <f t="shared" si="5"/>
        <v>1309508</v>
      </c>
      <c r="W23" s="28">
        <f t="shared" ref="W23:X25" si="10">O23</f>
        <v>1309508</v>
      </c>
      <c r="X23" s="28">
        <f t="shared" si="10"/>
        <v>1307152</v>
      </c>
      <c r="AB23" s="96"/>
    </row>
    <row r="24" spans="1:28" ht="18" x14ac:dyDescent="0.25">
      <c r="A24" s="191" t="s">
        <v>305</v>
      </c>
      <c r="B24" s="192" t="s">
        <v>79</v>
      </c>
      <c r="C24" s="11" t="e">
        <f>SUM(Önkormányzat!C78)</f>
        <v>#REF!</v>
      </c>
      <c r="D24" s="12" t="e">
        <f>SUM(Önkormányzat!D78)</f>
        <v>#REF!</v>
      </c>
      <c r="E24" s="12" t="e">
        <f>SUM(Önkormányzat!E78)</f>
        <v>#REF!</v>
      </c>
      <c r="F24" s="198">
        <f>SUM(Önkormányzat!F78)</f>
        <v>62937550</v>
      </c>
      <c r="G24" s="75" t="e">
        <f>SUM(-#REF!)</f>
        <v>#REF!</v>
      </c>
      <c r="H24" s="75" t="e">
        <f>SUM(-#REF!)</f>
        <v>#REF!</v>
      </c>
      <c r="I24" s="75" t="e">
        <f>SUM(-#REF!)</f>
        <v>#REF!</v>
      </c>
      <c r="J24" s="197" t="e">
        <f>SUM(-#REF!)</f>
        <v>#REF!</v>
      </c>
      <c r="K24" s="75">
        <f>SUM(-Óvoda!C128)</f>
        <v>0</v>
      </c>
      <c r="L24" s="75">
        <f>SUM(-Óvoda!D128)</f>
        <v>0</v>
      </c>
      <c r="M24" s="75">
        <f>SUM(-Óvoda!E128)</f>
        <v>0</v>
      </c>
      <c r="N24" s="834">
        <f>Önkormányzat!G78</f>
        <v>62940179</v>
      </c>
      <c r="O24" s="834">
        <f>Önkormányzat!H78</f>
        <v>62950691</v>
      </c>
      <c r="P24" s="834">
        <f>Önkormányzat!I78</f>
        <v>58880598</v>
      </c>
      <c r="Q24" s="197"/>
      <c r="R24" s="197"/>
      <c r="S24" s="197"/>
      <c r="T24" s="197"/>
      <c r="U24" s="28">
        <f>SUM(F24,,Q24)</f>
        <v>62937550</v>
      </c>
      <c r="V24" s="28">
        <f t="shared" si="5"/>
        <v>62940179</v>
      </c>
      <c r="W24" s="28">
        <f t="shared" si="10"/>
        <v>62950691</v>
      </c>
      <c r="X24" s="28">
        <f t="shared" si="10"/>
        <v>58880598</v>
      </c>
    </row>
    <row r="25" spans="1:28" ht="18" x14ac:dyDescent="0.25">
      <c r="A25" s="5" t="s">
        <v>319</v>
      </c>
      <c r="B25" s="183" t="s">
        <v>672</v>
      </c>
      <c r="C25" s="11">
        <f>SUM(Önkormányzat!C79)</f>
        <v>0</v>
      </c>
      <c r="D25" s="12">
        <f>SUM(Önkormányzat!D79)</f>
        <v>0</v>
      </c>
      <c r="E25" s="12">
        <f>SUM(Önkormányzat!E79)</f>
        <v>0</v>
      </c>
      <c r="F25" s="198">
        <f>SUM(Önkormányzat!F79)</f>
        <v>1578635</v>
      </c>
      <c r="G25" s="75" t="e">
        <f>SUM(#REF!)</f>
        <v>#REF!</v>
      </c>
      <c r="H25" s="75" t="e">
        <f>SUM(#REF!)</f>
        <v>#REF!</v>
      </c>
      <c r="I25" s="75" t="e">
        <f>SUM(#REF!)</f>
        <v>#REF!</v>
      </c>
      <c r="J25" s="198" t="e">
        <f>SUM(#REF!)</f>
        <v>#REF!</v>
      </c>
      <c r="K25" s="75">
        <f>SUM(Óvoda!C79)</f>
        <v>0</v>
      </c>
      <c r="L25" s="75">
        <f>SUM(Óvoda!D79)</f>
        <v>0</v>
      </c>
      <c r="M25" s="75">
        <f>SUM(Óvoda!E79)</f>
        <v>0</v>
      </c>
      <c r="N25" s="834">
        <f>Önkormányzat!G79</f>
        <v>1578635</v>
      </c>
      <c r="O25" s="834">
        <f>Önkormányzat!H79</f>
        <v>1578635</v>
      </c>
      <c r="P25" s="834">
        <f>Önkormányzat!I79</f>
        <v>1578635</v>
      </c>
      <c r="Q25" s="28">
        <f>SUM(Óvoda!F79)</f>
        <v>0</v>
      </c>
      <c r="R25" s="28"/>
      <c r="S25" s="28"/>
      <c r="T25" s="28"/>
      <c r="U25" s="28">
        <f>SUM(F25,,Q25)</f>
        <v>1578635</v>
      </c>
      <c r="V25" s="28">
        <f t="shared" si="5"/>
        <v>1578635</v>
      </c>
      <c r="W25" s="28">
        <f t="shared" si="10"/>
        <v>1578635</v>
      </c>
      <c r="X25" s="28">
        <f t="shared" si="10"/>
        <v>1578635</v>
      </c>
    </row>
    <row r="26" spans="1:28" ht="18" x14ac:dyDescent="0.25">
      <c r="A26" s="858" t="s">
        <v>757</v>
      </c>
      <c r="B26" s="183" t="s">
        <v>318</v>
      </c>
      <c r="C26" s="11"/>
      <c r="D26" s="12"/>
      <c r="E26" s="12"/>
      <c r="F26" s="198"/>
      <c r="G26" s="75"/>
      <c r="H26" s="75"/>
      <c r="I26" s="75"/>
      <c r="J26" s="198"/>
      <c r="K26" s="75"/>
      <c r="L26" s="75"/>
      <c r="M26" s="75"/>
      <c r="N26" s="834"/>
      <c r="O26" s="834">
        <f>Önkormányzat!H80</f>
        <v>10000000</v>
      </c>
      <c r="P26" s="834">
        <f>Önkormányzat!I80</f>
        <v>10000000</v>
      </c>
      <c r="Q26" s="28"/>
      <c r="R26" s="28"/>
      <c r="S26" s="28"/>
      <c r="T26" s="28"/>
      <c r="U26" s="28"/>
      <c r="V26" s="28"/>
      <c r="W26" s="28">
        <f>O26+S26</f>
        <v>10000000</v>
      </c>
      <c r="X26" s="28">
        <f>P26+T26</f>
        <v>10000000</v>
      </c>
    </row>
    <row r="27" spans="1:28" ht="18" x14ac:dyDescent="0.25">
      <c r="A27" s="908" t="s">
        <v>398</v>
      </c>
      <c r="B27" s="909"/>
      <c r="C27" s="76" t="e">
        <f t="shared" ref="C27:U27" si="11">SUM(C22:C25)</f>
        <v>#REF!</v>
      </c>
      <c r="D27" s="80" t="e">
        <f t="shared" si="11"/>
        <v>#REF!</v>
      </c>
      <c r="E27" s="80" t="e">
        <f t="shared" si="11"/>
        <v>#REF!</v>
      </c>
      <c r="F27" s="81">
        <f t="shared" si="11"/>
        <v>423824857</v>
      </c>
      <c r="G27" s="81" t="e">
        <f t="shared" si="11"/>
        <v>#REF!</v>
      </c>
      <c r="H27" s="81" t="e">
        <f t="shared" si="11"/>
        <v>#REF!</v>
      </c>
      <c r="I27" s="81" t="e">
        <f t="shared" si="11"/>
        <v>#REF!</v>
      </c>
      <c r="J27" s="81" t="e">
        <f t="shared" si="11"/>
        <v>#REF!</v>
      </c>
      <c r="K27" s="81">
        <f t="shared" si="11"/>
        <v>0</v>
      </c>
      <c r="L27" s="81">
        <f t="shared" si="11"/>
        <v>1651000</v>
      </c>
      <c r="M27" s="81">
        <f t="shared" si="11"/>
        <v>4064000</v>
      </c>
      <c r="N27" s="81">
        <f t="shared" si="11"/>
        <v>424663729</v>
      </c>
      <c r="O27" s="81">
        <f>SUM(O22:O26)</f>
        <v>438344386</v>
      </c>
      <c r="P27" s="81">
        <f>SUM(P22:P26)</f>
        <v>330143932</v>
      </c>
      <c r="Q27" s="81">
        <f>SUM(Q22,Q24)</f>
        <v>64433737</v>
      </c>
      <c r="R27" s="81">
        <f t="shared" ref="R27:T27" si="12">SUM(R22,R24)</f>
        <v>64436366</v>
      </c>
      <c r="S27" s="81">
        <f t="shared" si="12"/>
        <v>64522954</v>
      </c>
      <c r="T27" s="81">
        <f t="shared" si="12"/>
        <v>60273161</v>
      </c>
      <c r="U27" s="81">
        <f t="shared" si="11"/>
        <v>488258594</v>
      </c>
      <c r="V27" s="836">
        <f>V22+V23+V24+V25</f>
        <v>489100095</v>
      </c>
      <c r="W27" s="836">
        <f>W22+W23+W24+W25+W26</f>
        <v>502867340</v>
      </c>
      <c r="X27" s="836">
        <f>X22+X23+X24+X25+X26</f>
        <v>390417093</v>
      </c>
    </row>
    <row r="28" spans="1:28" ht="18" x14ac:dyDescent="0.25">
      <c r="A28" s="193"/>
      <c r="N28" s="833"/>
      <c r="O28" s="833"/>
      <c r="P28" s="833"/>
    </row>
    <row r="29" spans="1:28" ht="18" x14ac:dyDescent="0.25">
      <c r="A29" s="193"/>
      <c r="N29" s="833"/>
      <c r="O29" s="833"/>
      <c r="P29" s="833"/>
    </row>
    <row r="30" spans="1:28" ht="18" x14ac:dyDescent="0.25">
      <c r="A30" s="906" t="s">
        <v>139</v>
      </c>
      <c r="B30" s="907"/>
      <c r="C30" s="24">
        <f>SUM(Önkormányzat!C144)</f>
        <v>0</v>
      </c>
      <c r="D30" s="24">
        <f>SUM(Önkormányzat!D144)</f>
        <v>0</v>
      </c>
      <c r="E30" s="24">
        <f>SUM(Önkormányzat!E144)</f>
        <v>0</v>
      </c>
      <c r="F30" s="86">
        <f>SUM(Önkormányzat!F144)</f>
        <v>9</v>
      </c>
      <c r="G30" s="24" t="e">
        <f>SUM(#REF!)</f>
        <v>#REF!</v>
      </c>
      <c r="H30" s="24" t="e">
        <f>SUM(#REF!)</f>
        <v>#REF!</v>
      </c>
      <c r="I30" s="24" t="e">
        <f>SUM(#REF!)</f>
        <v>#REF!</v>
      </c>
      <c r="J30" s="24" t="e">
        <f>SUM(#REF!)</f>
        <v>#REF!</v>
      </c>
      <c r="K30" s="24">
        <f>SUM(Óvoda!C132)</f>
        <v>0</v>
      </c>
      <c r="L30" s="24">
        <f>SUM(Óvoda!D132)</f>
        <v>0</v>
      </c>
      <c r="M30" s="24">
        <f>SUM(Óvoda!E132)</f>
        <v>0</v>
      </c>
      <c r="N30" s="24"/>
      <c r="O30" s="24"/>
      <c r="P30" s="24"/>
      <c r="Q30" s="392">
        <f>SUM(Óvoda!F132)</f>
        <v>11</v>
      </c>
      <c r="R30" s="392"/>
      <c r="S30" s="392"/>
      <c r="T30" s="392"/>
      <c r="U30" s="199">
        <f>SUM(F30,,Q30)</f>
        <v>20</v>
      </c>
      <c r="V30" s="835"/>
      <c r="W30" s="835"/>
      <c r="X30" s="835"/>
    </row>
  </sheetData>
  <mergeCells count="13">
    <mergeCell ref="U3:X3"/>
    <mergeCell ref="G4:I4"/>
    <mergeCell ref="C4:E4"/>
    <mergeCell ref="K4:M4"/>
    <mergeCell ref="C3:P3"/>
    <mergeCell ref="Q3:T3"/>
    <mergeCell ref="A3:A5"/>
    <mergeCell ref="A30:B30"/>
    <mergeCell ref="A27:B27"/>
    <mergeCell ref="A22:B22"/>
    <mergeCell ref="A14:B14"/>
    <mergeCell ref="A20:B20"/>
    <mergeCell ref="B3:B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&amp;L&amp;"Times,Félkövér"&amp;14Levél Községi Önkormányzat&amp;C&amp;"Times,Félkövér"&amp;14Kiadá összesen
 2018&amp;R&amp;"Times,Normál"&amp;12 4. melléklet
Adatok: 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>
    <tabColor rgb="FFFF0000"/>
  </sheetPr>
  <dimension ref="A1:M36"/>
  <sheetViews>
    <sheetView workbookViewId="0">
      <selection activeCell="B1" sqref="B1:B2"/>
    </sheetView>
  </sheetViews>
  <sheetFormatPr defaultRowHeight="12.75" x14ac:dyDescent="0.2"/>
  <cols>
    <col min="1" max="1" width="7.7109375" customWidth="1"/>
    <col min="2" max="2" width="55.28515625" customWidth="1"/>
    <col min="3" max="3" width="10.140625" hidden="1" customWidth="1"/>
    <col min="4" max="4" width="9.28515625" hidden="1" customWidth="1"/>
    <col min="5" max="5" width="18.7109375" hidden="1" customWidth="1"/>
    <col min="6" max="6" width="12.7109375" hidden="1" customWidth="1"/>
    <col min="7" max="7" width="9.28515625" hidden="1" customWidth="1"/>
    <col min="8" max="11" width="15.5703125" customWidth="1"/>
    <col min="12" max="12" width="15.85546875" customWidth="1"/>
  </cols>
  <sheetData>
    <row r="1" spans="1:13" ht="20.100000000000001" customHeight="1" x14ac:dyDescent="0.2">
      <c r="B1" s="920" t="s">
        <v>449</v>
      </c>
      <c r="C1" s="922" t="s">
        <v>53</v>
      </c>
      <c r="D1" s="923"/>
      <c r="E1" s="924"/>
      <c r="F1" s="922" t="s">
        <v>726</v>
      </c>
      <c r="G1" s="923"/>
      <c r="H1" s="924"/>
      <c r="I1" s="823" t="s">
        <v>726</v>
      </c>
      <c r="J1" s="823" t="s">
        <v>726</v>
      </c>
      <c r="K1" s="823" t="s">
        <v>892</v>
      </c>
      <c r="L1" s="925" t="s">
        <v>56</v>
      </c>
    </row>
    <row r="2" spans="1:13" ht="54" customHeight="1" x14ac:dyDescent="0.2">
      <c r="A2" s="311"/>
      <c r="B2" s="921"/>
      <c r="C2" s="336" t="s">
        <v>82</v>
      </c>
      <c r="D2" s="336" t="s">
        <v>83</v>
      </c>
      <c r="E2" s="336" t="s">
        <v>84</v>
      </c>
      <c r="F2" s="336" t="s">
        <v>82</v>
      </c>
      <c r="G2" s="336" t="s">
        <v>83</v>
      </c>
      <c r="H2" s="336" t="s">
        <v>84</v>
      </c>
      <c r="I2" s="824" t="s">
        <v>742</v>
      </c>
      <c r="J2" s="824" t="s">
        <v>785</v>
      </c>
      <c r="K2" s="824" t="s">
        <v>736</v>
      </c>
      <c r="L2" s="926"/>
    </row>
    <row r="3" spans="1:13" ht="20.100000000000001" customHeight="1" x14ac:dyDescent="0.2">
      <c r="A3" s="419" t="s">
        <v>455</v>
      </c>
      <c r="B3" s="420" t="s">
        <v>477</v>
      </c>
      <c r="C3" s="403"/>
      <c r="D3" s="393"/>
      <c r="E3" s="421"/>
      <c r="F3" s="422"/>
      <c r="G3" s="410"/>
      <c r="H3" s="421"/>
      <c r="I3" s="421"/>
      <c r="J3" s="421"/>
      <c r="K3" s="421"/>
      <c r="L3" s="416">
        <f t="shared" ref="L3:L12" si="0">SUM(H3-E3)</f>
        <v>0</v>
      </c>
    </row>
    <row r="4" spans="1:13" ht="20.100000000000001" customHeight="1" x14ac:dyDescent="0.2">
      <c r="A4" s="411"/>
      <c r="B4" s="418" t="s">
        <v>472</v>
      </c>
      <c r="C4" s="403"/>
      <c r="D4" s="393"/>
      <c r="E4" s="409"/>
      <c r="F4" s="403"/>
      <c r="G4" s="410"/>
      <c r="H4" s="409"/>
      <c r="I4" s="409"/>
      <c r="J4" s="409"/>
      <c r="K4" s="409"/>
      <c r="L4" s="416">
        <f t="shared" si="0"/>
        <v>0</v>
      </c>
    </row>
    <row r="5" spans="1:13" ht="20.100000000000001" customHeight="1" x14ac:dyDescent="0.2">
      <c r="A5" s="412" t="s">
        <v>470</v>
      </c>
      <c r="B5" s="87" t="s">
        <v>20</v>
      </c>
      <c r="C5" s="15"/>
      <c r="D5" s="16"/>
      <c r="E5" s="338"/>
      <c r="F5" s="337"/>
      <c r="G5" s="16"/>
      <c r="H5" s="338"/>
      <c r="I5" s="338"/>
      <c r="J5" s="338"/>
      <c r="K5" s="338"/>
      <c r="L5" s="416">
        <f t="shared" si="0"/>
        <v>0</v>
      </c>
    </row>
    <row r="6" spans="1:13" ht="20.100000000000001" customHeight="1" x14ac:dyDescent="0.2">
      <c r="A6" s="412" t="s">
        <v>471</v>
      </c>
      <c r="B6" s="87" t="s">
        <v>21</v>
      </c>
      <c r="C6" s="15"/>
      <c r="D6" s="16"/>
      <c r="E6" s="338"/>
      <c r="F6" s="337"/>
      <c r="G6" s="16"/>
      <c r="H6" s="338"/>
      <c r="I6" s="338"/>
      <c r="J6" s="338"/>
      <c r="K6" s="338"/>
      <c r="L6" s="416">
        <f t="shared" si="0"/>
        <v>0</v>
      </c>
    </row>
    <row r="7" spans="1:13" ht="20.100000000000001" customHeight="1" x14ac:dyDescent="0.2">
      <c r="A7" s="412" t="s">
        <v>18</v>
      </c>
      <c r="B7" s="87" t="s">
        <v>467</v>
      </c>
      <c r="C7" s="15"/>
      <c r="D7" s="16"/>
      <c r="E7" s="338"/>
      <c r="F7" s="337"/>
      <c r="G7" s="16"/>
      <c r="H7" s="338"/>
      <c r="I7" s="338"/>
      <c r="J7" s="338"/>
      <c r="K7" s="338"/>
      <c r="L7" s="416">
        <f t="shared" si="0"/>
        <v>0</v>
      </c>
    </row>
    <row r="8" spans="1:13" ht="20.100000000000001" customHeight="1" x14ac:dyDescent="0.2">
      <c r="A8" s="412" t="s">
        <v>19</v>
      </c>
      <c r="B8" s="87" t="s">
        <v>22</v>
      </c>
      <c r="C8" s="15"/>
      <c r="D8" s="16"/>
      <c r="E8" s="338"/>
      <c r="F8" s="337"/>
      <c r="G8" s="16"/>
      <c r="H8" s="338"/>
      <c r="I8" s="338"/>
      <c r="J8" s="338"/>
      <c r="K8" s="338"/>
      <c r="L8" s="416">
        <f t="shared" si="0"/>
        <v>0</v>
      </c>
    </row>
    <row r="9" spans="1:13" ht="20.100000000000001" customHeight="1" x14ac:dyDescent="0.2">
      <c r="A9" s="413" t="s">
        <v>476</v>
      </c>
      <c r="B9" s="88" t="s">
        <v>475</v>
      </c>
      <c r="C9" s="15"/>
      <c r="D9" s="16"/>
      <c r="E9" s="350">
        <f>SUM(E5:E8)</f>
        <v>0</v>
      </c>
      <c r="F9" s="337"/>
      <c r="G9" s="16"/>
      <c r="H9" s="350"/>
      <c r="I9" s="350"/>
      <c r="J9" s="350"/>
      <c r="K9" s="350"/>
      <c r="L9" s="416">
        <f t="shared" si="0"/>
        <v>0</v>
      </c>
      <c r="M9" s="394"/>
    </row>
    <row r="10" spans="1:13" ht="20.100000000000001" customHeight="1" x14ac:dyDescent="0.2">
      <c r="A10" s="412"/>
      <c r="B10" s="418" t="s">
        <v>472</v>
      </c>
      <c r="C10" s="15"/>
      <c r="D10" s="16"/>
      <c r="E10" s="409"/>
      <c r="F10" s="337"/>
      <c r="G10" s="16"/>
      <c r="H10" s="409"/>
      <c r="I10" s="409"/>
      <c r="J10" s="409"/>
      <c r="K10" s="409"/>
      <c r="L10" s="416">
        <f t="shared" si="0"/>
        <v>0</v>
      </c>
    </row>
    <row r="11" spans="1:13" ht="20.100000000000001" customHeight="1" x14ac:dyDescent="0.2">
      <c r="A11" s="412" t="s">
        <v>469</v>
      </c>
      <c r="B11" s="87" t="s">
        <v>468</v>
      </c>
      <c r="C11" s="15"/>
      <c r="D11" s="16"/>
      <c r="E11" s="338"/>
      <c r="F11" s="337"/>
      <c r="G11" s="16"/>
      <c r="H11" s="338"/>
      <c r="I11" s="338"/>
      <c r="J11" s="338"/>
      <c r="K11" s="338"/>
      <c r="L11" s="416">
        <f t="shared" si="0"/>
        <v>0</v>
      </c>
    </row>
    <row r="12" spans="1:13" ht="20.100000000000001" customHeight="1" x14ac:dyDescent="0.2">
      <c r="A12" s="412"/>
      <c r="B12" s="87" t="s">
        <v>472</v>
      </c>
      <c r="C12" s="15"/>
      <c r="D12" s="16"/>
      <c r="E12" s="338"/>
      <c r="F12" s="337"/>
      <c r="G12" s="16"/>
      <c r="H12" s="409"/>
      <c r="I12" s="409"/>
      <c r="J12" s="409"/>
      <c r="K12" s="409"/>
      <c r="L12" s="416">
        <f t="shared" si="0"/>
        <v>0</v>
      </c>
    </row>
    <row r="13" spans="1:13" ht="20.100000000000001" customHeight="1" x14ac:dyDescent="0.2">
      <c r="A13" s="404" t="s">
        <v>457</v>
      </c>
      <c r="B13" s="397" t="s">
        <v>456</v>
      </c>
      <c r="C13" s="344"/>
      <c r="D13" s="345"/>
      <c r="E13" s="346">
        <f>SUM(E9:E12)</f>
        <v>0</v>
      </c>
      <c r="F13" s="347">
        <f>SUM(F5:F12)</f>
        <v>0</v>
      </c>
      <c r="G13" s="345"/>
      <c r="H13" s="346">
        <f>H3</f>
        <v>0</v>
      </c>
      <c r="I13" s="346">
        <v>27206</v>
      </c>
      <c r="J13" s="346">
        <v>27206</v>
      </c>
      <c r="K13" s="346">
        <v>27206</v>
      </c>
      <c r="L13" s="346">
        <f>SUM(L9:L12)</f>
        <v>0</v>
      </c>
    </row>
    <row r="14" spans="1:13" ht="20.100000000000001" customHeight="1" x14ac:dyDescent="0.2">
      <c r="A14" s="71"/>
      <c r="B14" s="88" t="s">
        <v>85</v>
      </c>
      <c r="C14" s="17"/>
      <c r="D14" s="18"/>
      <c r="E14" s="349"/>
      <c r="F14" s="337"/>
      <c r="G14" s="18"/>
      <c r="H14" s="352"/>
      <c r="I14" s="352"/>
      <c r="J14" s="352"/>
      <c r="K14" s="352"/>
      <c r="L14" s="416">
        <f t="shared" ref="L14:L22" si="1">SUM(H14-E14)</f>
        <v>0</v>
      </c>
    </row>
    <row r="15" spans="1:13" ht="20.100000000000001" customHeight="1" x14ac:dyDescent="0.2">
      <c r="A15" s="71" t="s">
        <v>23</v>
      </c>
      <c r="B15" s="88" t="s">
        <v>29</v>
      </c>
      <c r="C15" s="14"/>
      <c r="D15" s="19"/>
      <c r="E15" s="400"/>
      <c r="F15" s="337"/>
      <c r="G15" s="339"/>
      <c r="H15" s="353"/>
      <c r="I15" s="353"/>
      <c r="J15" s="353"/>
      <c r="K15" s="353"/>
      <c r="L15" s="416">
        <f t="shared" si="1"/>
        <v>0</v>
      </c>
    </row>
    <row r="16" spans="1:13" ht="20.100000000000001" customHeight="1" x14ac:dyDescent="0.2">
      <c r="A16" s="71" t="s">
        <v>24</v>
      </c>
      <c r="B16" s="87" t="s">
        <v>27</v>
      </c>
      <c r="C16" s="15"/>
      <c r="D16" s="16"/>
      <c r="E16" s="401"/>
      <c r="F16" s="337"/>
      <c r="G16" s="340"/>
      <c r="H16" s="354"/>
      <c r="I16" s="354"/>
      <c r="J16" s="354"/>
      <c r="K16" s="354"/>
      <c r="L16" s="416">
        <f t="shared" si="1"/>
        <v>0</v>
      </c>
    </row>
    <row r="17" spans="1:12" ht="20.100000000000001" customHeight="1" x14ac:dyDescent="0.2">
      <c r="A17" s="71" t="s">
        <v>33</v>
      </c>
      <c r="B17" s="88" t="s">
        <v>31</v>
      </c>
      <c r="C17" s="15"/>
      <c r="D17" s="16"/>
      <c r="E17" s="401"/>
      <c r="F17" s="337"/>
      <c r="G17" s="341"/>
      <c r="H17" s="401"/>
      <c r="I17" s="401"/>
      <c r="J17" s="401"/>
      <c r="K17" s="401"/>
      <c r="L17" s="416">
        <f t="shared" si="1"/>
        <v>0</v>
      </c>
    </row>
    <row r="18" spans="1:12" ht="20.100000000000001" customHeight="1" x14ac:dyDescent="0.2">
      <c r="A18" s="71"/>
      <c r="B18" s="88" t="s">
        <v>669</v>
      </c>
      <c r="C18" s="15"/>
      <c r="D18" s="16"/>
      <c r="E18" s="401"/>
      <c r="F18" s="337"/>
      <c r="G18" s="341"/>
      <c r="H18" s="401"/>
      <c r="I18" s="401"/>
      <c r="J18" s="401"/>
      <c r="K18" s="401"/>
      <c r="L18" s="416"/>
    </row>
    <row r="19" spans="1:12" ht="20.100000000000001" customHeight="1" x14ac:dyDescent="0.2">
      <c r="A19" s="71" t="s">
        <v>25</v>
      </c>
      <c r="B19" s="88" t="s">
        <v>30</v>
      </c>
      <c r="C19" s="15"/>
      <c r="D19" s="21"/>
      <c r="E19" s="402"/>
      <c r="F19" s="337"/>
      <c r="G19" s="342"/>
      <c r="H19" s="402"/>
      <c r="I19" s="402"/>
      <c r="J19" s="402"/>
      <c r="K19" s="402"/>
      <c r="L19" s="416">
        <f t="shared" si="1"/>
        <v>0</v>
      </c>
    </row>
    <row r="20" spans="1:12" ht="20.100000000000001" customHeight="1" x14ac:dyDescent="0.2">
      <c r="A20" s="71" t="s">
        <v>26</v>
      </c>
      <c r="B20" s="89" t="s">
        <v>28</v>
      </c>
      <c r="C20" s="20"/>
      <c r="D20" s="16"/>
      <c r="E20" s="401"/>
      <c r="F20" s="337"/>
      <c r="G20" s="340"/>
      <c r="H20" s="401"/>
      <c r="I20" s="401"/>
      <c r="J20" s="401"/>
      <c r="K20" s="401"/>
      <c r="L20" s="416">
        <f t="shared" si="1"/>
        <v>0</v>
      </c>
    </row>
    <row r="21" spans="1:12" ht="20.100000000000001" customHeight="1" x14ac:dyDescent="0.2">
      <c r="A21" s="71" t="s">
        <v>34</v>
      </c>
      <c r="B21" s="88" t="s">
        <v>32</v>
      </c>
      <c r="C21" s="15"/>
      <c r="D21" s="21"/>
      <c r="E21" s="402"/>
      <c r="F21" s="337"/>
      <c r="G21" s="343"/>
      <c r="H21" s="402"/>
      <c r="I21" s="402"/>
      <c r="J21" s="402"/>
      <c r="K21" s="402"/>
      <c r="L21" s="416">
        <f t="shared" si="1"/>
        <v>0</v>
      </c>
    </row>
    <row r="22" spans="1:12" ht="38.25" customHeight="1" x14ac:dyDescent="0.2">
      <c r="A22" s="71"/>
      <c r="B22" s="88" t="s">
        <v>670</v>
      </c>
      <c r="C22" s="15"/>
      <c r="D22" s="21"/>
      <c r="E22" s="351"/>
      <c r="F22" s="337"/>
      <c r="G22" s="343"/>
      <c r="H22" s="355"/>
      <c r="I22" s="355"/>
      <c r="J22" s="355"/>
      <c r="K22" s="355"/>
      <c r="L22" s="416">
        <f t="shared" si="1"/>
        <v>0</v>
      </c>
    </row>
    <row r="23" spans="1:12" ht="20.100000000000001" customHeight="1" x14ac:dyDescent="0.2">
      <c r="A23" s="404" t="s">
        <v>459</v>
      </c>
      <c r="B23" s="397" t="s">
        <v>458</v>
      </c>
      <c r="C23" s="344"/>
      <c r="D23" s="395"/>
      <c r="E23" s="351">
        <f>SUM(E15:E21)</f>
        <v>0</v>
      </c>
      <c r="F23" s="396">
        <f>SUM(F15,F21)</f>
        <v>0</v>
      </c>
      <c r="G23" s="395"/>
      <c r="H23" s="351">
        <v>40800400</v>
      </c>
      <c r="I23" s="351">
        <v>41064400</v>
      </c>
      <c r="J23" s="351">
        <v>41440700</v>
      </c>
      <c r="K23" s="351">
        <v>41716967</v>
      </c>
      <c r="L23" s="351">
        <f>SUM(L15:L22)</f>
        <v>0</v>
      </c>
    </row>
    <row r="24" spans="1:12" ht="20.100000000000001" customHeight="1" x14ac:dyDescent="0.2">
      <c r="B24" s="415" t="s">
        <v>473</v>
      </c>
      <c r="C24" s="15"/>
      <c r="D24" s="16"/>
      <c r="E24" s="401"/>
      <c r="F24" s="337"/>
      <c r="G24" s="16"/>
      <c r="H24" s="401"/>
      <c r="I24" s="401"/>
      <c r="J24" s="401"/>
      <c r="K24" s="401"/>
      <c r="L24" s="416">
        <f>SUM(H24-E24)</f>
        <v>0</v>
      </c>
    </row>
    <row r="25" spans="1:12" ht="20.100000000000001" customHeight="1" x14ac:dyDescent="0.2">
      <c r="B25" s="407" t="s">
        <v>534</v>
      </c>
      <c r="C25" s="15"/>
      <c r="D25" s="16"/>
      <c r="E25" s="350"/>
      <c r="F25" s="337"/>
      <c r="G25" s="16"/>
      <c r="H25" s="350"/>
      <c r="I25" s="350"/>
      <c r="J25" s="350"/>
      <c r="K25" s="350"/>
      <c r="L25" s="416">
        <f>SUM(H25-E25)</f>
        <v>0</v>
      </c>
    </row>
    <row r="26" spans="1:12" ht="20.100000000000001" customHeight="1" x14ac:dyDescent="0.2">
      <c r="A26" s="405" t="s">
        <v>460</v>
      </c>
      <c r="B26" s="151" t="s">
        <v>461</v>
      </c>
      <c r="C26" s="356"/>
      <c r="D26" s="356"/>
      <c r="E26" s="356">
        <f>SUM(E24:E25)</f>
        <v>0</v>
      </c>
      <c r="F26" s="357"/>
      <c r="G26" s="356"/>
      <c r="H26" s="356">
        <v>11719318</v>
      </c>
      <c r="I26" s="356">
        <v>11719318</v>
      </c>
      <c r="J26" s="356">
        <v>10809352</v>
      </c>
      <c r="K26" s="356">
        <v>11719318</v>
      </c>
      <c r="L26" s="356">
        <f>SUM(L24:L25)</f>
        <v>0</v>
      </c>
    </row>
    <row r="27" spans="1:12" ht="20.100000000000001" customHeight="1" x14ac:dyDescent="0.2">
      <c r="B27" s="30" t="s">
        <v>462</v>
      </c>
      <c r="C27" s="23"/>
      <c r="D27" s="23"/>
      <c r="E27" s="225"/>
      <c r="F27" s="337"/>
      <c r="G27" s="23"/>
      <c r="H27" s="225"/>
      <c r="I27" s="225"/>
      <c r="J27" s="225"/>
      <c r="K27" s="225"/>
      <c r="L27" s="416">
        <f>SUM(H27-E27)</f>
        <v>0</v>
      </c>
    </row>
    <row r="28" spans="1:12" ht="20.100000000000001" customHeight="1" x14ac:dyDescent="0.2">
      <c r="B28" s="483" t="s">
        <v>502</v>
      </c>
      <c r="C28" s="23"/>
      <c r="D28" s="23"/>
      <c r="E28" s="144"/>
      <c r="F28" s="337"/>
      <c r="G28" s="23"/>
      <c r="H28" s="414"/>
      <c r="I28" s="414"/>
      <c r="J28" s="414"/>
      <c r="K28" s="414"/>
      <c r="L28" s="416">
        <f>SUM(H28-E28)</f>
        <v>0</v>
      </c>
    </row>
    <row r="29" spans="1:12" ht="20.100000000000001" customHeight="1" x14ac:dyDescent="0.2">
      <c r="A29" s="406" t="s">
        <v>463</v>
      </c>
      <c r="B29" s="397" t="s">
        <v>464</v>
      </c>
      <c r="C29" s="344"/>
      <c r="D29" s="345"/>
      <c r="E29" s="348">
        <f>SUM(E27:E28)</f>
        <v>0</v>
      </c>
      <c r="F29" s="398"/>
      <c r="G29" s="399"/>
      <c r="H29" s="348"/>
      <c r="I29" s="348"/>
      <c r="J29" s="348"/>
      <c r="K29" s="348"/>
      <c r="L29" s="348">
        <f>SUM(L27:L28)</f>
        <v>0</v>
      </c>
    </row>
    <row r="30" spans="1:12" ht="20.100000000000001" customHeight="1" x14ac:dyDescent="0.2">
      <c r="B30" s="30" t="s">
        <v>140</v>
      </c>
      <c r="C30" s="23"/>
      <c r="D30" s="23"/>
      <c r="E30" s="225"/>
      <c r="F30" s="7"/>
      <c r="G30" s="23"/>
      <c r="H30" s="147">
        <v>2341350</v>
      </c>
      <c r="I30" s="147">
        <v>2529858</v>
      </c>
      <c r="J30" s="147">
        <v>2717711</v>
      </c>
      <c r="K30" s="147">
        <v>2717711</v>
      </c>
      <c r="L30" s="416"/>
    </row>
    <row r="31" spans="1:12" ht="20.100000000000001" customHeight="1" x14ac:dyDescent="0.2">
      <c r="B31" s="543" t="s">
        <v>535</v>
      </c>
      <c r="C31" s="22"/>
      <c r="D31" s="23"/>
      <c r="E31" s="147"/>
      <c r="F31" s="7"/>
      <c r="G31" s="23"/>
      <c r="H31" s="147"/>
      <c r="I31" s="147"/>
      <c r="J31" s="147"/>
      <c r="K31" s="147"/>
      <c r="L31" s="416">
        <f>SUM(H31-E31)</f>
        <v>0</v>
      </c>
    </row>
    <row r="32" spans="1:12" ht="20.100000000000001" customHeight="1" x14ac:dyDescent="0.2">
      <c r="A32" s="408" t="s">
        <v>465</v>
      </c>
      <c r="B32" s="151" t="s">
        <v>466</v>
      </c>
      <c r="C32" s="359"/>
      <c r="D32" s="358"/>
      <c r="E32" s="144">
        <f>SUM(E30:E31)</f>
        <v>0</v>
      </c>
      <c r="F32" s="144"/>
      <c r="G32" s="358"/>
      <c r="H32" s="144">
        <f>SUM(H30:H31)</f>
        <v>2341350</v>
      </c>
      <c r="I32" s="144">
        <f t="shared" ref="I32:K32" si="2">SUM(I30:I31)</f>
        <v>2529858</v>
      </c>
      <c r="J32" s="144">
        <f t="shared" si="2"/>
        <v>2717711</v>
      </c>
      <c r="K32" s="144">
        <f t="shared" si="2"/>
        <v>2717711</v>
      </c>
      <c r="L32" s="144"/>
    </row>
    <row r="33" spans="1:12" ht="20.100000000000001" customHeight="1" x14ac:dyDescent="0.2">
      <c r="A33" s="408" t="s">
        <v>536</v>
      </c>
      <c r="B33" s="151" t="s">
        <v>474</v>
      </c>
      <c r="C33" s="359"/>
      <c r="D33" s="76"/>
      <c r="E33" s="144"/>
      <c r="F33" s="144"/>
      <c r="G33" s="76"/>
      <c r="H33" s="144"/>
      <c r="I33" s="144"/>
      <c r="J33" s="144"/>
      <c r="K33" s="144"/>
      <c r="L33" s="417">
        <f>SUM(H33-E33)</f>
        <v>0</v>
      </c>
    </row>
    <row r="34" spans="1:12" ht="20.100000000000001" customHeight="1" x14ac:dyDescent="0.2">
      <c r="A34" s="408"/>
      <c r="B34" s="151" t="s">
        <v>743</v>
      </c>
      <c r="C34" s="359"/>
      <c r="D34" s="76"/>
      <c r="E34" s="144"/>
      <c r="F34" s="144"/>
      <c r="G34" s="76"/>
      <c r="H34" s="144"/>
      <c r="I34" s="144">
        <v>359158</v>
      </c>
      <c r="J34" s="144">
        <v>3969586</v>
      </c>
      <c r="K34" s="144">
        <v>3969586</v>
      </c>
      <c r="L34" s="417"/>
    </row>
    <row r="35" spans="1:12" ht="20.100000000000001" customHeight="1" x14ac:dyDescent="0.2">
      <c r="A35" s="408"/>
      <c r="B35" s="151" t="s">
        <v>786</v>
      </c>
      <c r="C35" s="359"/>
      <c r="D35" s="76"/>
      <c r="E35" s="144"/>
      <c r="F35" s="144"/>
      <c r="G35" s="76"/>
      <c r="H35" s="144"/>
      <c r="I35" s="144"/>
      <c r="J35" s="144">
        <v>234946</v>
      </c>
      <c r="K35" s="144">
        <v>234946</v>
      </c>
      <c r="L35" s="417"/>
    </row>
    <row r="36" spans="1:12" ht="20.100000000000001" customHeight="1" x14ac:dyDescent="0.25">
      <c r="B36" s="29" t="s">
        <v>87</v>
      </c>
      <c r="C36" s="25"/>
      <c r="D36" s="25"/>
      <c r="E36" s="26">
        <f>SUM(E13,E23,E26,E29,E32,E33)</f>
        <v>0</v>
      </c>
      <c r="F36" s="72"/>
      <c r="G36" s="25"/>
      <c r="H36" s="435">
        <f>SUM(H13,H23,H26,H29,H32,H33)</f>
        <v>54861068</v>
      </c>
      <c r="I36" s="435">
        <f>SUM(I13,I23,I26,I29,I32,I33,I34)</f>
        <v>55699940</v>
      </c>
      <c r="J36" s="435">
        <f>SUM(J13,J23,J26,J29,J32,J33,J34:J35)</f>
        <v>59199501</v>
      </c>
      <c r="K36" s="435">
        <f>SUM(K13,K23,K26,K29,K32,K33,K34:K35)</f>
        <v>60385734</v>
      </c>
      <c r="L36" s="26">
        <f>SUM(L13,L23,L26,L29,L32,L33)</f>
        <v>0</v>
      </c>
    </row>
  </sheetData>
  <mergeCells count="4">
    <mergeCell ref="B1:B2"/>
    <mergeCell ref="C1:E1"/>
    <mergeCell ref="L1:L2"/>
    <mergeCell ref="F1:H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&amp;L&amp;"Times,Félkövér"&amp;14Levél Község
  Önkormányzata&amp;C&amp;"Times New Roman,Félkövér"&amp;14Állami támogatások  2018.
&amp;R&amp;"Times,Normál"&amp;12 5. melléklet
Adatok: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8">
    <tabColor rgb="FFFF0000"/>
  </sheetPr>
  <dimension ref="A1:K105"/>
  <sheetViews>
    <sheetView topLeftCell="F1" zoomScaleNormal="100" workbookViewId="0">
      <selection activeCell="J21" sqref="J21"/>
    </sheetView>
  </sheetViews>
  <sheetFormatPr defaultRowHeight="12.75" x14ac:dyDescent="0.2"/>
  <cols>
    <col min="1" max="1" width="6.7109375" customWidth="1"/>
    <col min="2" max="2" width="66.5703125" customWidth="1"/>
    <col min="3" max="3" width="15.5703125" hidden="1" customWidth="1"/>
    <col min="4" max="4" width="16.5703125" hidden="1" customWidth="1"/>
    <col min="5" max="5" width="15.85546875" hidden="1" customWidth="1"/>
    <col min="6" max="6" width="22.140625" style="570" customWidth="1"/>
    <col min="7" max="8" width="21.42578125" style="570" customWidth="1"/>
    <col min="9" max="9" width="20.140625" style="570" customWidth="1"/>
    <col min="10" max="10" width="13.7109375" customWidth="1"/>
    <col min="11" max="11" width="10" bestFit="1" customWidth="1"/>
  </cols>
  <sheetData>
    <row r="1" spans="1:11" ht="15" customHeight="1" x14ac:dyDescent="0.2">
      <c r="A1" s="930" t="s">
        <v>288</v>
      </c>
      <c r="B1" s="933" t="s">
        <v>263</v>
      </c>
      <c r="C1" s="936" t="s">
        <v>53</v>
      </c>
      <c r="D1" s="936"/>
      <c r="E1" s="936"/>
      <c r="F1" s="927" t="s">
        <v>727</v>
      </c>
      <c r="G1" s="803"/>
      <c r="H1" s="850"/>
      <c r="I1" s="803"/>
      <c r="J1" s="315" t="s">
        <v>52</v>
      </c>
    </row>
    <row r="2" spans="1:11" ht="13.5" customHeight="1" x14ac:dyDescent="0.2">
      <c r="A2" s="931"/>
      <c r="B2" s="934"/>
      <c r="C2" s="936"/>
      <c r="D2" s="936"/>
      <c r="E2" s="936"/>
      <c r="F2" s="928"/>
      <c r="G2" s="804" t="s">
        <v>726</v>
      </c>
      <c r="H2" s="851" t="s">
        <v>726</v>
      </c>
      <c r="I2" s="804" t="s">
        <v>726</v>
      </c>
      <c r="J2" s="333" t="s">
        <v>136</v>
      </c>
    </row>
    <row r="3" spans="1:11" ht="12.75" customHeight="1" x14ac:dyDescent="0.2">
      <c r="A3" s="931"/>
      <c r="B3" s="934"/>
      <c r="C3" s="937" t="s">
        <v>264</v>
      </c>
      <c r="D3" s="937"/>
      <c r="E3" s="938" t="s">
        <v>73</v>
      </c>
      <c r="F3" s="928"/>
      <c r="G3" s="804" t="s">
        <v>741</v>
      </c>
      <c r="H3" s="851" t="s">
        <v>764</v>
      </c>
      <c r="I3" s="804" t="s">
        <v>736</v>
      </c>
      <c r="J3" s="333" t="s">
        <v>137</v>
      </c>
    </row>
    <row r="4" spans="1:11" ht="18" x14ac:dyDescent="0.2">
      <c r="A4" s="932"/>
      <c r="B4" s="935"/>
      <c r="C4" s="334" t="s">
        <v>265</v>
      </c>
      <c r="D4" s="334" t="s">
        <v>266</v>
      </c>
      <c r="E4" s="938"/>
      <c r="F4" s="929"/>
      <c r="G4" s="805"/>
      <c r="H4" s="852"/>
      <c r="I4" s="805"/>
      <c r="J4" s="335" t="s">
        <v>138</v>
      </c>
    </row>
    <row r="5" spans="1:11" ht="24.95" customHeight="1" x14ac:dyDescent="0.25">
      <c r="A5" s="68"/>
      <c r="B5" s="2" t="s">
        <v>676</v>
      </c>
      <c r="C5" s="160"/>
      <c r="D5" s="7"/>
      <c r="E5" s="161"/>
      <c r="F5" s="544">
        <v>100000</v>
      </c>
      <c r="G5" s="544">
        <v>100000</v>
      </c>
      <c r="H5" s="544"/>
      <c r="I5" s="544">
        <v>100000</v>
      </c>
      <c r="J5" s="135"/>
      <c r="K5" s="607"/>
    </row>
    <row r="6" spans="1:11" ht="24.95" customHeight="1" x14ac:dyDescent="0.25">
      <c r="A6" s="68"/>
      <c r="B6" s="2" t="s">
        <v>701</v>
      </c>
      <c r="C6" s="160"/>
      <c r="D6" s="7"/>
      <c r="E6" s="161"/>
      <c r="F6" s="544">
        <v>220000</v>
      </c>
      <c r="G6" s="544">
        <v>220000</v>
      </c>
      <c r="H6" s="544"/>
      <c r="I6" s="544"/>
      <c r="J6" s="135"/>
      <c r="K6" s="607"/>
    </row>
    <row r="7" spans="1:11" ht="24.95" customHeight="1" x14ac:dyDescent="0.2">
      <c r="A7" s="149" t="s">
        <v>237</v>
      </c>
      <c r="B7" s="148" t="s">
        <v>241</v>
      </c>
      <c r="C7" s="147">
        <f>SUM(C5:C5)</f>
        <v>0</v>
      </c>
      <c r="D7" s="144">
        <f>SUM(D5:D5)</f>
        <v>0</v>
      </c>
      <c r="E7" s="147">
        <f>SUM(E5:E5)</f>
        <v>0</v>
      </c>
      <c r="F7" s="144">
        <f>SUM(F5:F6)</f>
        <v>320000</v>
      </c>
      <c r="G7" s="144">
        <f>SUM(G5:G6)</f>
        <v>320000</v>
      </c>
      <c r="H7" s="144">
        <v>320000</v>
      </c>
      <c r="I7" s="144">
        <f>SUM(I5:I6)</f>
        <v>100000</v>
      </c>
      <c r="J7" s="144">
        <f>SUM(J5:J5)</f>
        <v>0</v>
      </c>
    </row>
    <row r="8" spans="1:11" ht="24.95" customHeight="1" x14ac:dyDescent="0.2">
      <c r="A8" s="446"/>
      <c r="B8" s="755" t="s">
        <v>702</v>
      </c>
      <c r="C8" s="7"/>
      <c r="D8" s="160"/>
      <c r="E8" s="7"/>
      <c r="F8" s="605">
        <v>10000000</v>
      </c>
      <c r="G8" s="605">
        <v>10000000</v>
      </c>
      <c r="H8" s="605">
        <v>10000000</v>
      </c>
      <c r="I8" s="605"/>
      <c r="J8" s="160"/>
    </row>
    <row r="9" spans="1:11" ht="24.95" customHeight="1" x14ac:dyDescent="0.2">
      <c r="A9" s="446"/>
      <c r="B9" s="755" t="s">
        <v>703</v>
      </c>
      <c r="C9" s="7"/>
      <c r="D9" s="160"/>
      <c r="E9" s="7"/>
      <c r="F9" s="605">
        <v>1000000</v>
      </c>
      <c r="G9" s="605">
        <v>1310000</v>
      </c>
      <c r="H9" s="605">
        <v>1310000</v>
      </c>
      <c r="I9" s="605">
        <v>1310000</v>
      </c>
      <c r="J9" s="160"/>
    </row>
    <row r="10" spans="1:11" ht="24.95" customHeight="1" x14ac:dyDescent="0.2">
      <c r="A10" s="446"/>
      <c r="B10" s="755" t="s">
        <v>704</v>
      </c>
      <c r="C10" s="7"/>
      <c r="D10" s="160"/>
      <c r="E10" s="7"/>
      <c r="F10" s="605">
        <v>800000</v>
      </c>
      <c r="G10" s="605">
        <v>800000</v>
      </c>
      <c r="H10" s="605">
        <v>800000</v>
      </c>
      <c r="I10" s="605"/>
      <c r="J10" s="160"/>
    </row>
    <row r="11" spans="1:11" ht="24.95" customHeight="1" x14ac:dyDescent="0.2">
      <c r="A11" s="446"/>
      <c r="B11" s="755" t="s">
        <v>705</v>
      </c>
      <c r="C11" s="7"/>
      <c r="D11" s="160"/>
      <c r="E11" s="7"/>
      <c r="F11" s="605">
        <v>2400000</v>
      </c>
      <c r="G11" s="605">
        <v>2400000</v>
      </c>
      <c r="H11" s="605">
        <v>2400000</v>
      </c>
      <c r="I11" s="605">
        <v>2328000</v>
      </c>
      <c r="J11" s="160"/>
    </row>
    <row r="12" spans="1:11" ht="24.95" hidden="1" customHeight="1" x14ac:dyDescent="0.25">
      <c r="A12" s="68"/>
      <c r="B12" s="82"/>
      <c r="C12" s="160"/>
      <c r="D12" s="7"/>
      <c r="E12" s="436"/>
      <c r="F12" s="444"/>
      <c r="G12" s="444"/>
      <c r="H12" s="444"/>
      <c r="I12" s="444"/>
      <c r="J12" s="135"/>
    </row>
    <row r="13" spans="1:11" ht="24.95" hidden="1" customHeight="1" x14ac:dyDescent="0.25">
      <c r="A13" s="69"/>
      <c r="B13" s="82"/>
      <c r="C13" s="160"/>
      <c r="D13" s="7"/>
      <c r="E13" s="161"/>
      <c r="F13" s="444"/>
      <c r="G13" s="444"/>
      <c r="H13" s="444"/>
      <c r="I13" s="444"/>
      <c r="J13" s="135"/>
    </row>
    <row r="14" spans="1:11" ht="24.95" hidden="1" customHeight="1" x14ac:dyDescent="0.25">
      <c r="A14" s="68"/>
      <c r="B14" s="2"/>
      <c r="C14" s="160"/>
      <c r="D14" s="7"/>
      <c r="E14" s="436"/>
      <c r="F14" s="444"/>
      <c r="G14" s="444"/>
      <c r="H14" s="444"/>
      <c r="I14" s="444"/>
      <c r="J14" s="135"/>
    </row>
    <row r="15" spans="1:11" ht="24.95" hidden="1" customHeight="1" x14ac:dyDescent="0.25">
      <c r="A15" s="68"/>
      <c r="B15" s="83"/>
      <c r="C15" s="160"/>
      <c r="D15" s="7"/>
      <c r="E15" s="161"/>
      <c r="F15" s="444"/>
      <c r="G15" s="444"/>
      <c r="H15" s="444"/>
      <c r="I15" s="444"/>
      <c r="J15" s="135"/>
    </row>
    <row r="16" spans="1:11" ht="24.95" hidden="1" customHeight="1" x14ac:dyDescent="0.25">
      <c r="A16" s="68"/>
      <c r="B16" s="83"/>
      <c r="C16" s="160"/>
      <c r="D16" s="7"/>
      <c r="E16" s="161"/>
      <c r="F16" s="444"/>
      <c r="G16" s="444"/>
      <c r="H16" s="444"/>
      <c r="I16" s="444"/>
      <c r="J16" s="135"/>
    </row>
    <row r="17" spans="1:11" ht="24.95" hidden="1" customHeight="1" x14ac:dyDescent="0.25">
      <c r="A17" s="69"/>
      <c r="B17" s="2"/>
      <c r="C17" s="160"/>
      <c r="D17" s="7"/>
      <c r="E17" s="161"/>
      <c r="F17" s="444"/>
      <c r="G17" s="444"/>
      <c r="H17" s="444"/>
      <c r="I17" s="444"/>
      <c r="J17" s="135"/>
    </row>
    <row r="18" spans="1:11" ht="24.95" hidden="1" customHeight="1" x14ac:dyDescent="0.25">
      <c r="A18" s="68"/>
      <c r="B18" s="2"/>
      <c r="C18" s="160"/>
      <c r="D18" s="7"/>
      <c r="E18" s="161"/>
      <c r="F18" s="444"/>
      <c r="G18" s="444"/>
      <c r="H18" s="444"/>
      <c r="I18" s="444"/>
      <c r="J18" s="135"/>
    </row>
    <row r="19" spans="1:11" ht="24.95" customHeight="1" x14ac:dyDescent="0.25">
      <c r="A19" s="68"/>
      <c r="B19" s="2" t="s">
        <v>744</v>
      </c>
      <c r="C19" s="160"/>
      <c r="D19" s="7"/>
      <c r="E19" s="161"/>
      <c r="F19" s="826"/>
      <c r="G19" s="826">
        <v>1872602</v>
      </c>
      <c r="H19" s="826">
        <v>1872602</v>
      </c>
      <c r="I19" s="826"/>
      <c r="J19" s="135"/>
    </row>
    <row r="20" spans="1:11" ht="24.95" customHeight="1" x14ac:dyDescent="0.25">
      <c r="A20" s="68"/>
      <c r="B20" s="2" t="s">
        <v>745</v>
      </c>
      <c r="C20" s="160"/>
      <c r="D20" s="7"/>
      <c r="E20" s="161"/>
      <c r="F20" s="826"/>
      <c r="G20" s="826">
        <v>7493983</v>
      </c>
      <c r="H20" s="826">
        <v>7493983</v>
      </c>
      <c r="I20" s="826"/>
      <c r="J20" s="135"/>
    </row>
    <row r="21" spans="1:11" ht="24.95" customHeight="1" x14ac:dyDescent="0.25">
      <c r="A21" s="68"/>
      <c r="B21" s="2" t="s">
        <v>766</v>
      </c>
      <c r="C21" s="160"/>
      <c r="D21" s="7"/>
      <c r="E21" s="161"/>
      <c r="F21" s="826"/>
      <c r="G21" s="826"/>
      <c r="H21" s="826">
        <v>585000</v>
      </c>
      <c r="I21" s="826">
        <v>3150000</v>
      </c>
      <c r="J21" s="135"/>
    </row>
    <row r="22" spans="1:11" ht="24.95" customHeight="1" x14ac:dyDescent="0.25">
      <c r="A22" s="68"/>
      <c r="B22" s="2" t="s">
        <v>767</v>
      </c>
      <c r="C22" s="160"/>
      <c r="D22" s="7"/>
      <c r="E22" s="161"/>
      <c r="F22" s="826"/>
      <c r="G22" s="826"/>
      <c r="H22" s="826">
        <v>-3188102</v>
      </c>
      <c r="I22" s="826"/>
      <c r="J22" s="135"/>
    </row>
    <row r="23" spans="1:11" ht="24.95" customHeight="1" x14ac:dyDescent="0.25">
      <c r="A23" s="68"/>
      <c r="B23" s="2" t="s">
        <v>768</v>
      </c>
      <c r="C23" s="160"/>
      <c r="D23" s="7"/>
      <c r="E23" s="161"/>
      <c r="F23" s="826"/>
      <c r="G23" s="826"/>
      <c r="H23" s="826">
        <v>300000</v>
      </c>
      <c r="I23" s="826">
        <v>300000</v>
      </c>
      <c r="J23" s="135"/>
    </row>
    <row r="24" spans="1:11" ht="24.95" customHeight="1" x14ac:dyDescent="0.2">
      <c r="A24" s="149" t="s">
        <v>238</v>
      </c>
      <c r="B24" s="151" t="s">
        <v>242</v>
      </c>
      <c r="C24" s="147">
        <f>SUM(C12:C18)</f>
        <v>0</v>
      </c>
      <c r="D24" s="144">
        <f>SUM(D12:D18)</f>
        <v>0</v>
      </c>
      <c r="E24" s="147">
        <f>SUM(E12:E18)</f>
        <v>0</v>
      </c>
      <c r="F24" s="228">
        <f>F8+F9+F10+F11</f>
        <v>14200000</v>
      </c>
      <c r="G24" s="228">
        <f>G8+G9+G10+G11+G19+G20+G21+G22</f>
        <v>23876585</v>
      </c>
      <c r="H24" s="228">
        <f>H8+H9+H10+H11+H19+H20+H21+H22+H23</f>
        <v>21573483</v>
      </c>
      <c r="I24" s="228">
        <f>I8+I9+I10+I11+I19+I20+I21+I22+I23</f>
        <v>7088000</v>
      </c>
      <c r="J24" s="144">
        <f>SUM(J12:J18)</f>
        <v>0</v>
      </c>
    </row>
    <row r="25" spans="1:11" ht="24.95" customHeight="1" x14ac:dyDescent="0.25">
      <c r="A25" s="68"/>
      <c r="B25" s="84" t="s">
        <v>706</v>
      </c>
      <c r="C25" s="160"/>
      <c r="D25" s="7"/>
      <c r="E25" s="436"/>
      <c r="F25" s="828">
        <v>183000</v>
      </c>
      <c r="G25" s="828">
        <v>183000</v>
      </c>
      <c r="H25" s="828">
        <v>183000</v>
      </c>
      <c r="I25" s="828">
        <v>182400</v>
      </c>
      <c r="J25" s="135"/>
      <c r="K25" s="607"/>
    </row>
    <row r="26" spans="1:11" ht="24.95" hidden="1" customHeight="1" x14ac:dyDescent="0.25">
      <c r="A26" s="69"/>
      <c r="B26" s="2"/>
      <c r="C26" s="160"/>
      <c r="D26" s="7"/>
      <c r="E26" s="161"/>
      <c r="F26" s="826"/>
      <c r="G26" s="826"/>
      <c r="H26" s="826"/>
      <c r="I26" s="826"/>
      <c r="J26" s="135"/>
    </row>
    <row r="27" spans="1:11" ht="24.95" hidden="1" customHeight="1" x14ac:dyDescent="0.25">
      <c r="A27" s="69"/>
      <c r="B27" s="2"/>
      <c r="C27" s="160"/>
      <c r="D27" s="7"/>
      <c r="E27" s="161"/>
      <c r="F27" s="826"/>
      <c r="G27" s="826"/>
      <c r="H27" s="826"/>
      <c r="I27" s="826"/>
      <c r="J27" s="135"/>
    </row>
    <row r="28" spans="1:11" ht="24.95" hidden="1" customHeight="1" x14ac:dyDescent="0.25">
      <c r="A28" s="69"/>
      <c r="B28" s="447"/>
      <c r="C28" s="448"/>
      <c r="D28" s="449"/>
      <c r="E28" s="448"/>
      <c r="F28" s="826"/>
      <c r="G28" s="826"/>
      <c r="H28" s="826"/>
      <c r="I28" s="826"/>
      <c r="J28" s="135"/>
    </row>
    <row r="29" spans="1:11" ht="24.95" customHeight="1" x14ac:dyDescent="0.25">
      <c r="A29" s="69"/>
      <c r="B29" s="2" t="s">
        <v>707</v>
      </c>
      <c r="C29" s="448"/>
      <c r="D29" s="449"/>
      <c r="E29" s="448"/>
      <c r="F29" s="826">
        <v>450000</v>
      </c>
      <c r="G29" s="826">
        <v>450000</v>
      </c>
      <c r="H29" s="826">
        <v>450000</v>
      </c>
      <c r="I29" s="826">
        <v>424200</v>
      </c>
      <c r="J29" s="135"/>
    </row>
    <row r="30" spans="1:11" ht="24.95" customHeight="1" x14ac:dyDescent="0.25">
      <c r="A30" s="69"/>
      <c r="B30" s="2" t="s">
        <v>749</v>
      </c>
      <c r="C30" s="448"/>
      <c r="D30" s="449"/>
      <c r="E30" s="448"/>
      <c r="F30" s="826"/>
      <c r="G30" s="826">
        <v>150000</v>
      </c>
      <c r="H30" s="826">
        <v>150000</v>
      </c>
      <c r="I30" s="826">
        <v>145000</v>
      </c>
      <c r="J30" s="135"/>
    </row>
    <row r="31" spans="1:11" ht="24.95" customHeight="1" x14ac:dyDescent="0.25">
      <c r="A31" s="69"/>
      <c r="B31" s="2" t="s">
        <v>769</v>
      </c>
      <c r="C31" s="448"/>
      <c r="D31" s="449"/>
      <c r="E31" s="448"/>
      <c r="F31" s="826"/>
      <c r="G31" s="826"/>
      <c r="H31" s="826">
        <v>184094</v>
      </c>
      <c r="I31" s="826">
        <v>184094</v>
      </c>
      <c r="J31" s="135"/>
    </row>
    <row r="32" spans="1:11" ht="24.95" customHeight="1" x14ac:dyDescent="0.25">
      <c r="A32" s="69"/>
      <c r="B32" s="2" t="s">
        <v>770</v>
      </c>
      <c r="C32" s="448"/>
      <c r="D32" s="449"/>
      <c r="E32" s="448"/>
      <c r="F32" s="826"/>
      <c r="G32" s="826"/>
      <c r="H32" s="826">
        <v>42000</v>
      </c>
      <c r="I32" s="826">
        <v>42000</v>
      </c>
      <c r="J32" s="135"/>
    </row>
    <row r="33" spans="1:11" ht="24.95" customHeight="1" x14ac:dyDescent="0.25">
      <c r="A33" s="69"/>
      <c r="B33" s="2" t="s">
        <v>771</v>
      </c>
      <c r="C33" s="448"/>
      <c r="D33" s="449"/>
      <c r="E33" s="448"/>
      <c r="F33" s="826"/>
      <c r="G33" s="826"/>
      <c r="H33" s="826"/>
      <c r="I33" s="826">
        <v>14200</v>
      </c>
      <c r="J33" s="135"/>
    </row>
    <row r="34" spans="1:11" ht="24.95" customHeight="1" x14ac:dyDescent="0.2">
      <c r="A34" s="149" t="s">
        <v>239</v>
      </c>
      <c r="B34" s="151" t="s">
        <v>243</v>
      </c>
      <c r="C34" s="147">
        <f>SUM(C25:C28)</f>
        <v>0</v>
      </c>
      <c r="D34" s="144">
        <f>SUM(D25:D28)</f>
        <v>0</v>
      </c>
      <c r="E34" s="147">
        <f>SUM(E25:E28)</f>
        <v>0</v>
      </c>
      <c r="F34" s="228">
        <f>SUM(F25:F29)</f>
        <v>633000</v>
      </c>
      <c r="G34" s="228">
        <f>G25+G29+G30</f>
        <v>783000</v>
      </c>
      <c r="H34" s="228">
        <f>H25+H29+H30+H31+H32</f>
        <v>1009094</v>
      </c>
      <c r="I34" s="228">
        <f>I25+I29+I30+I31+I32+I33</f>
        <v>991894</v>
      </c>
      <c r="J34" s="144">
        <f>SUM(J25:J28)</f>
        <v>0</v>
      </c>
    </row>
    <row r="35" spans="1:11" ht="24.95" customHeight="1" x14ac:dyDescent="0.25">
      <c r="A35" s="446"/>
      <c r="B35" s="30" t="s">
        <v>708</v>
      </c>
      <c r="C35" s="7"/>
      <c r="D35" s="160"/>
      <c r="E35" s="7"/>
      <c r="F35" s="827">
        <v>2009775</v>
      </c>
      <c r="G35" s="827">
        <v>2009775</v>
      </c>
      <c r="H35" s="827">
        <v>2009775</v>
      </c>
      <c r="I35" s="827"/>
      <c r="J35" s="160"/>
      <c r="K35" s="607"/>
    </row>
    <row r="36" spans="1:11" ht="35.25" customHeight="1" x14ac:dyDescent="0.25">
      <c r="A36" s="446"/>
      <c r="B36" s="793" t="s">
        <v>709</v>
      </c>
      <c r="C36" s="7"/>
      <c r="D36" s="160"/>
      <c r="E36" s="7"/>
      <c r="F36" s="827">
        <v>1558375</v>
      </c>
      <c r="G36" s="827">
        <v>1558375</v>
      </c>
      <c r="H36" s="827">
        <v>1558375</v>
      </c>
      <c r="I36" s="827"/>
      <c r="J36" s="160"/>
      <c r="K36" s="607"/>
    </row>
    <row r="37" spans="1:11" ht="34.5" customHeight="1" x14ac:dyDescent="0.25">
      <c r="A37" s="446"/>
      <c r="B37" s="793" t="s">
        <v>710</v>
      </c>
      <c r="C37" s="7"/>
      <c r="D37" s="160"/>
      <c r="E37" s="7"/>
      <c r="F37" s="827">
        <v>50000</v>
      </c>
      <c r="G37" s="827">
        <v>50000</v>
      </c>
      <c r="H37" s="827">
        <v>50000</v>
      </c>
      <c r="I37" s="827"/>
      <c r="J37" s="160"/>
      <c r="K37" s="607"/>
    </row>
    <row r="38" spans="1:11" ht="24.95" customHeight="1" x14ac:dyDescent="0.25">
      <c r="A38" s="446"/>
      <c r="B38" s="93" t="s">
        <v>711</v>
      </c>
      <c r="C38" s="7"/>
      <c r="D38" s="160"/>
      <c r="E38" s="7"/>
      <c r="F38" s="827">
        <v>300000</v>
      </c>
      <c r="G38" s="827">
        <v>300000</v>
      </c>
      <c r="H38" s="827">
        <v>300000</v>
      </c>
      <c r="I38" s="827"/>
      <c r="J38" s="160"/>
      <c r="K38" s="607"/>
    </row>
    <row r="39" spans="1:11" ht="24.95" customHeight="1" x14ac:dyDescent="0.25">
      <c r="A39" s="446"/>
      <c r="B39" s="93" t="s">
        <v>712</v>
      </c>
      <c r="C39" s="7"/>
      <c r="D39" s="160"/>
      <c r="E39" s="7"/>
      <c r="F39" s="827">
        <v>1500000</v>
      </c>
      <c r="G39" s="827">
        <v>1500000</v>
      </c>
      <c r="H39" s="827">
        <v>1500000</v>
      </c>
      <c r="I39" s="827">
        <v>1285827</v>
      </c>
      <c r="J39" s="160"/>
      <c r="K39" s="607"/>
    </row>
    <row r="40" spans="1:11" ht="24.95" customHeight="1" x14ac:dyDescent="0.25">
      <c r="A40" s="446"/>
      <c r="B40" s="93" t="s">
        <v>713</v>
      </c>
      <c r="C40" s="7"/>
      <c r="D40" s="160"/>
      <c r="E40" s="7"/>
      <c r="F40" s="827">
        <v>500000</v>
      </c>
      <c r="G40" s="827">
        <v>500000</v>
      </c>
      <c r="H40" s="827">
        <v>500000</v>
      </c>
      <c r="I40" s="827">
        <v>547593</v>
      </c>
      <c r="J40" s="160"/>
      <c r="K40" s="607"/>
    </row>
    <row r="41" spans="1:11" ht="24.95" customHeight="1" x14ac:dyDescent="0.25">
      <c r="A41" s="446"/>
      <c r="B41" s="93" t="s">
        <v>714</v>
      </c>
      <c r="C41" s="7"/>
      <c r="D41" s="160"/>
      <c r="E41" s="7"/>
      <c r="F41" s="827">
        <v>1311023</v>
      </c>
      <c r="G41" s="827">
        <v>1311023</v>
      </c>
      <c r="H41" s="827">
        <v>1311023</v>
      </c>
      <c r="I41" s="827">
        <v>3000</v>
      </c>
      <c r="J41" s="160"/>
      <c r="K41" s="607"/>
    </row>
    <row r="42" spans="1:11" ht="24.95" customHeight="1" x14ac:dyDescent="0.25">
      <c r="A42" s="446"/>
      <c r="B42" s="93" t="s">
        <v>715</v>
      </c>
      <c r="C42" s="7"/>
      <c r="D42" s="160"/>
      <c r="E42" s="7"/>
      <c r="F42" s="827">
        <v>150000</v>
      </c>
      <c r="G42" s="827">
        <v>150000</v>
      </c>
      <c r="H42" s="827">
        <v>150000</v>
      </c>
      <c r="I42" s="827">
        <v>150000</v>
      </c>
      <c r="J42" s="160"/>
      <c r="K42" s="607"/>
    </row>
    <row r="43" spans="1:11" ht="24.95" customHeight="1" x14ac:dyDescent="0.25">
      <c r="A43" s="446"/>
      <c r="B43" s="93" t="s">
        <v>725</v>
      </c>
      <c r="C43" s="7"/>
      <c r="D43" s="160"/>
      <c r="E43" s="7"/>
      <c r="F43" s="827">
        <v>500000</v>
      </c>
      <c r="G43" s="827">
        <v>500000</v>
      </c>
      <c r="H43" s="827">
        <v>500000</v>
      </c>
      <c r="I43" s="827">
        <v>203055</v>
      </c>
      <c r="J43" s="160"/>
      <c r="K43" s="607"/>
    </row>
    <row r="44" spans="1:11" ht="24.95" customHeight="1" x14ac:dyDescent="0.25">
      <c r="A44" s="446"/>
      <c r="B44" s="93" t="s">
        <v>724</v>
      </c>
      <c r="C44" s="7"/>
      <c r="D44" s="160"/>
      <c r="E44" s="7"/>
      <c r="F44" s="827">
        <v>130000</v>
      </c>
      <c r="G44" s="827">
        <v>130000</v>
      </c>
      <c r="H44" s="827">
        <v>130000</v>
      </c>
      <c r="I44" s="827">
        <v>107079</v>
      </c>
      <c r="J44" s="160"/>
      <c r="K44" s="607"/>
    </row>
    <row r="45" spans="1:11" ht="24.95" customHeight="1" x14ac:dyDescent="0.25">
      <c r="A45" s="446"/>
      <c r="B45" s="93" t="s">
        <v>746</v>
      </c>
      <c r="C45" s="7"/>
      <c r="D45" s="160"/>
      <c r="E45" s="7"/>
      <c r="F45" s="827"/>
      <c r="G45" s="827">
        <v>185000</v>
      </c>
      <c r="H45" s="827">
        <v>185000</v>
      </c>
      <c r="I45" s="827">
        <v>142353</v>
      </c>
      <c r="J45" s="160"/>
      <c r="K45" s="607"/>
    </row>
    <row r="46" spans="1:11" ht="24.95" customHeight="1" x14ac:dyDescent="0.25">
      <c r="A46" s="446"/>
      <c r="B46" s="93" t="s">
        <v>747</v>
      </c>
      <c r="C46" s="7"/>
      <c r="D46" s="160"/>
      <c r="E46" s="7"/>
      <c r="F46" s="827"/>
      <c r="G46" s="827">
        <v>310580</v>
      </c>
      <c r="H46" s="827">
        <v>310580</v>
      </c>
      <c r="I46" s="827"/>
      <c r="J46" s="160"/>
      <c r="K46" s="607"/>
    </row>
    <row r="47" spans="1:11" ht="24.95" customHeight="1" x14ac:dyDescent="0.25">
      <c r="A47" s="446"/>
      <c r="B47" s="93" t="s">
        <v>750</v>
      </c>
      <c r="C47" s="7"/>
      <c r="D47" s="160"/>
      <c r="E47" s="7"/>
      <c r="F47" s="827"/>
      <c r="G47" s="827"/>
      <c r="H47" s="827"/>
      <c r="I47" s="827">
        <v>13000</v>
      </c>
      <c r="J47" s="160"/>
      <c r="K47" s="607"/>
    </row>
    <row r="48" spans="1:11" ht="24.95" customHeight="1" x14ac:dyDescent="0.25">
      <c r="A48" s="446"/>
      <c r="B48" s="93" t="s">
        <v>751</v>
      </c>
      <c r="C48" s="7"/>
      <c r="D48" s="160"/>
      <c r="E48" s="7"/>
      <c r="F48" s="827"/>
      <c r="G48" s="827"/>
      <c r="H48" s="827"/>
      <c r="I48" s="827">
        <v>7079</v>
      </c>
      <c r="J48" s="160"/>
      <c r="K48" s="607"/>
    </row>
    <row r="49" spans="1:11" ht="24.95" customHeight="1" x14ac:dyDescent="0.25">
      <c r="A49" s="446"/>
      <c r="B49" s="93" t="s">
        <v>752</v>
      </c>
      <c r="C49" s="7"/>
      <c r="D49" s="160"/>
      <c r="E49" s="7"/>
      <c r="F49" s="827"/>
      <c r="G49" s="827"/>
      <c r="H49" s="827"/>
      <c r="I49" s="827">
        <v>266433</v>
      </c>
      <c r="J49" s="160"/>
      <c r="K49" s="607"/>
    </row>
    <row r="50" spans="1:11" ht="24.95" customHeight="1" x14ac:dyDescent="0.25">
      <c r="A50" s="446"/>
      <c r="B50" s="93" t="s">
        <v>772</v>
      </c>
      <c r="C50" s="7"/>
      <c r="D50" s="160"/>
      <c r="E50" s="7"/>
      <c r="F50" s="827"/>
      <c r="G50" s="827"/>
      <c r="H50" s="827">
        <v>165275</v>
      </c>
      <c r="I50" s="827">
        <v>157402</v>
      </c>
      <c r="J50" s="160"/>
      <c r="K50" s="607"/>
    </row>
    <row r="51" spans="1:11" ht="24.95" customHeight="1" x14ac:dyDescent="0.25">
      <c r="A51" s="446"/>
      <c r="B51" s="93" t="s">
        <v>773</v>
      </c>
      <c r="C51" s="7"/>
      <c r="D51" s="160"/>
      <c r="E51" s="7"/>
      <c r="F51" s="827"/>
      <c r="G51" s="827"/>
      <c r="H51" s="827">
        <v>295021</v>
      </c>
      <c r="I51" s="827">
        <v>257000</v>
      </c>
      <c r="J51" s="160"/>
      <c r="K51" s="607"/>
    </row>
    <row r="52" spans="1:11" ht="24.95" customHeight="1" x14ac:dyDescent="0.25">
      <c r="A52" s="446"/>
      <c r="B52" s="93" t="s">
        <v>774</v>
      </c>
      <c r="C52" s="7"/>
      <c r="D52" s="160"/>
      <c r="E52" s="7"/>
      <c r="F52" s="827"/>
      <c r="G52" s="827"/>
      <c r="H52" s="827"/>
      <c r="I52" s="827">
        <v>23598</v>
      </c>
      <c r="J52" s="160"/>
      <c r="K52" s="607"/>
    </row>
    <row r="53" spans="1:11" ht="24.95" customHeight="1" x14ac:dyDescent="0.25">
      <c r="A53" s="446"/>
      <c r="B53" s="93" t="s">
        <v>775</v>
      </c>
      <c r="C53" s="7"/>
      <c r="D53" s="160"/>
      <c r="E53" s="7"/>
      <c r="F53" s="827"/>
      <c r="G53" s="827"/>
      <c r="H53" s="827"/>
      <c r="I53" s="827">
        <v>67709</v>
      </c>
      <c r="J53" s="160"/>
      <c r="K53" s="607"/>
    </row>
    <row r="54" spans="1:11" ht="24.95" customHeight="1" x14ac:dyDescent="0.25">
      <c r="A54" s="446"/>
      <c r="B54" s="93" t="s">
        <v>776</v>
      </c>
      <c r="C54" s="7"/>
      <c r="D54" s="160"/>
      <c r="E54" s="7"/>
      <c r="F54" s="827"/>
      <c r="G54" s="827"/>
      <c r="H54" s="827"/>
      <c r="I54" s="827">
        <v>62992</v>
      </c>
      <c r="J54" s="160"/>
      <c r="K54" s="607"/>
    </row>
    <row r="55" spans="1:11" ht="24.95" customHeight="1" x14ac:dyDescent="0.25">
      <c r="A55" s="446"/>
      <c r="B55" s="93" t="s">
        <v>777</v>
      </c>
      <c r="C55" s="7"/>
      <c r="D55" s="160"/>
      <c r="E55" s="7"/>
      <c r="F55" s="827"/>
      <c r="G55" s="827"/>
      <c r="H55" s="827"/>
      <c r="I55" s="827">
        <v>27979</v>
      </c>
      <c r="J55" s="160"/>
      <c r="K55" s="607"/>
    </row>
    <row r="56" spans="1:11" ht="24.95" customHeight="1" x14ac:dyDescent="0.25">
      <c r="A56" s="446"/>
      <c r="B56" s="93" t="s">
        <v>778</v>
      </c>
      <c r="C56" s="7"/>
      <c r="D56" s="160"/>
      <c r="E56" s="7"/>
      <c r="F56" s="827"/>
      <c r="G56" s="827"/>
      <c r="H56" s="827">
        <v>189764</v>
      </c>
      <c r="I56" s="827">
        <v>167559</v>
      </c>
      <c r="J56" s="160"/>
      <c r="K56" s="607"/>
    </row>
    <row r="57" spans="1:11" ht="24.95" customHeight="1" x14ac:dyDescent="0.25">
      <c r="A57" s="446"/>
      <c r="B57" s="93" t="s">
        <v>779</v>
      </c>
      <c r="C57" s="7"/>
      <c r="D57" s="160"/>
      <c r="E57" s="7"/>
      <c r="F57" s="827"/>
      <c r="G57" s="827"/>
      <c r="H57" s="827"/>
      <c r="I57" s="827">
        <v>46457</v>
      </c>
      <c r="J57" s="160"/>
      <c r="K57" s="607"/>
    </row>
    <row r="58" spans="1:11" ht="24.95" customHeight="1" x14ac:dyDescent="0.25">
      <c r="A58" s="446"/>
      <c r="B58" s="93" t="s">
        <v>780</v>
      </c>
      <c r="C58" s="7"/>
      <c r="D58" s="160"/>
      <c r="E58" s="7"/>
      <c r="F58" s="827"/>
      <c r="G58" s="827"/>
      <c r="H58" s="827"/>
      <c r="I58" s="827">
        <v>11811</v>
      </c>
      <c r="J58" s="160"/>
      <c r="K58" s="607"/>
    </row>
    <row r="59" spans="1:11" ht="24.95" customHeight="1" x14ac:dyDescent="0.25">
      <c r="A59" s="446"/>
      <c r="B59" s="93" t="s">
        <v>781</v>
      </c>
      <c r="C59" s="7"/>
      <c r="D59" s="160"/>
      <c r="E59" s="7"/>
      <c r="F59" s="827"/>
      <c r="G59" s="827"/>
      <c r="H59" s="827"/>
      <c r="I59" s="827">
        <v>62984</v>
      </c>
      <c r="J59" s="160"/>
      <c r="K59" s="607"/>
    </row>
    <row r="60" spans="1:11" ht="24.95" customHeight="1" x14ac:dyDescent="0.25">
      <c r="A60" s="446"/>
      <c r="B60" s="93"/>
      <c r="C60" s="7"/>
      <c r="D60" s="160"/>
      <c r="E60" s="7"/>
      <c r="F60" s="827"/>
      <c r="G60" s="827"/>
      <c r="H60" s="827"/>
      <c r="I60" s="827"/>
      <c r="J60" s="160"/>
      <c r="K60" s="607"/>
    </row>
    <row r="61" spans="1:11" ht="24.95" customHeight="1" x14ac:dyDescent="0.25">
      <c r="A61" s="149" t="s">
        <v>240</v>
      </c>
      <c r="B61" s="153" t="s">
        <v>248</v>
      </c>
      <c r="C61" s="147">
        <f>SUM(C35:C36)</f>
        <v>0</v>
      </c>
      <c r="D61" s="144">
        <f>SUM(D35:D36)</f>
        <v>0</v>
      </c>
      <c r="E61" s="147">
        <f>SUM(E35:E36)</f>
        <v>0</v>
      </c>
      <c r="F61" s="229">
        <f>SUM(F35:F44)</f>
        <v>8009173</v>
      </c>
      <c r="G61" s="229">
        <f>G35+G36+G37+G38+G39+G40+G41+G42+G43+G44+G45+G46</f>
        <v>8504753</v>
      </c>
      <c r="H61" s="229">
        <f>H35+H36+H37+H38+H39+H40+H41+H42+H43+H44+H45+H46+H47+H48+H49+H50+H51+H52+H53+H54+H55+H56+H57+H58+H59+H60</f>
        <v>9154813</v>
      </c>
      <c r="I61" s="229">
        <f>I35+I36+I37+I38+I39+I40+I41+I42+I43+I44+I45+I46+I47+I48+I49+I50+I51+I52+I53+I54+I55+I56+I57+I58+I59+I60</f>
        <v>3610910</v>
      </c>
      <c r="J61" s="147">
        <f>SUM(J35:J36)</f>
        <v>0</v>
      </c>
    </row>
    <row r="62" spans="1:11" ht="24.95" hidden="1" customHeight="1" x14ac:dyDescent="0.25">
      <c r="A62" s="69"/>
      <c r="B62" s="83"/>
      <c r="C62" s="7"/>
      <c r="D62" s="7"/>
      <c r="E62" s="161"/>
      <c r="F62" s="717"/>
      <c r="G62" s="717"/>
      <c r="H62" s="717"/>
      <c r="I62" s="717"/>
      <c r="J62" s="135"/>
    </row>
    <row r="63" spans="1:11" ht="24.95" hidden="1" customHeight="1" x14ac:dyDescent="0.25">
      <c r="A63" s="69"/>
      <c r="B63" s="83"/>
      <c r="C63" s="7"/>
      <c r="D63" s="7"/>
      <c r="E63" s="161"/>
      <c r="F63" s="717"/>
      <c r="G63" s="717"/>
      <c r="H63" s="717"/>
      <c r="I63" s="717"/>
      <c r="J63" s="135"/>
    </row>
    <row r="64" spans="1:11" ht="24.95" customHeight="1" x14ac:dyDescent="0.2">
      <c r="A64" s="149" t="s">
        <v>244</v>
      </c>
      <c r="B64" s="153" t="s">
        <v>245</v>
      </c>
      <c r="C64" s="144">
        <f>SUM(C62:C63)</f>
        <v>0</v>
      </c>
      <c r="D64" s="144">
        <f>SUM(D62:D63)</f>
        <v>0</v>
      </c>
      <c r="E64" s="144">
        <f>SUM(E62:E63)</f>
        <v>0</v>
      </c>
      <c r="F64" s="144">
        <f>SUM(F62:F63)</f>
        <v>0</v>
      </c>
      <c r="G64" s="144"/>
      <c r="H64" s="144"/>
      <c r="I64" s="144"/>
      <c r="J64" s="144">
        <f>SUM(J62:J63)</f>
        <v>0</v>
      </c>
    </row>
    <row r="65" spans="1:11" ht="24.95" customHeight="1" x14ac:dyDescent="0.25">
      <c r="A65" s="149" t="s">
        <v>246</v>
      </c>
      <c r="B65" s="153" t="s">
        <v>247</v>
      </c>
      <c r="C65" s="144"/>
      <c r="D65" s="144"/>
      <c r="E65" s="152"/>
      <c r="F65" s="545">
        <v>6253788</v>
      </c>
      <c r="G65" s="545">
        <v>8990824</v>
      </c>
      <c r="H65" s="545">
        <v>8295893</v>
      </c>
      <c r="I65" s="545">
        <v>3157870</v>
      </c>
      <c r="J65" s="144"/>
      <c r="K65" s="557"/>
    </row>
    <row r="66" spans="1:11" ht="24.95" customHeight="1" x14ac:dyDescent="0.25">
      <c r="A66" s="154" t="s">
        <v>249</v>
      </c>
      <c r="B66" s="155" t="s">
        <v>250</v>
      </c>
      <c r="C66" s="101">
        <f>SUM(C64,C61,C34,C24,C7,C65)</f>
        <v>0</v>
      </c>
      <c r="D66" s="101">
        <f>SUM(D64,D61,D34,D24,D7,D65)</f>
        <v>0</v>
      </c>
      <c r="E66" s="101">
        <f>SUM(E64,E61,E34,E24,E7,E65)</f>
        <v>0</v>
      </c>
      <c r="F66" s="101">
        <f>F7+F24+F34+F61+F65</f>
        <v>29415961</v>
      </c>
      <c r="G66" s="101">
        <f>G7+G24+G34+G61+G65</f>
        <v>42475162</v>
      </c>
      <c r="H66" s="101">
        <f>H7+H24+H34+H61+H65</f>
        <v>40353283</v>
      </c>
      <c r="I66" s="101">
        <f>I7+I24+I34+I61+I65</f>
        <v>14948674</v>
      </c>
      <c r="J66" s="164">
        <f>SUM(J64,J61,J34,J24,J7,J65)</f>
        <v>0</v>
      </c>
    </row>
    <row r="67" spans="1:11" ht="24.95" customHeight="1" x14ac:dyDescent="0.25">
      <c r="A67" s="743"/>
      <c r="B67" s="753" t="s">
        <v>698</v>
      </c>
      <c r="C67" s="544"/>
      <c r="D67" s="544"/>
      <c r="E67" s="544"/>
      <c r="F67" s="828">
        <v>1000000</v>
      </c>
      <c r="G67" s="828">
        <v>1000000</v>
      </c>
      <c r="H67" s="828">
        <v>1000000</v>
      </c>
      <c r="I67" s="828"/>
      <c r="J67" s="832"/>
    </row>
    <row r="68" spans="1:11" ht="24.95" customHeight="1" x14ac:dyDescent="0.25">
      <c r="A68" s="743"/>
      <c r="B68" s="753" t="s">
        <v>675</v>
      </c>
      <c r="C68" s="544"/>
      <c r="D68" s="544"/>
      <c r="E68" s="544"/>
      <c r="F68" s="828">
        <v>10000000</v>
      </c>
      <c r="G68" s="828">
        <v>10000000</v>
      </c>
      <c r="H68" s="828">
        <v>10000000</v>
      </c>
      <c r="I68" s="828">
        <v>14660098</v>
      </c>
      <c r="J68" s="832"/>
    </row>
    <row r="69" spans="1:11" ht="24.95" customHeight="1" x14ac:dyDescent="0.25">
      <c r="A69" s="743"/>
      <c r="B69" s="85" t="s">
        <v>699</v>
      </c>
      <c r="C69" s="437"/>
      <c r="D69" s="162"/>
      <c r="E69" s="161"/>
      <c r="F69" s="829">
        <v>6464276</v>
      </c>
      <c r="G69" s="829">
        <v>6464276</v>
      </c>
      <c r="H69" s="829">
        <v>6464276</v>
      </c>
      <c r="I69" s="829">
        <v>6464277</v>
      </c>
      <c r="J69" s="832"/>
    </row>
    <row r="70" spans="1:11" ht="24.95" customHeight="1" x14ac:dyDescent="0.25">
      <c r="A70" s="743"/>
      <c r="B70" s="85" t="s">
        <v>700</v>
      </c>
      <c r="C70" s="437"/>
      <c r="D70" s="162"/>
      <c r="E70" s="161"/>
      <c r="F70" s="829">
        <v>4000000</v>
      </c>
      <c r="G70" s="829">
        <v>4000000</v>
      </c>
      <c r="H70" s="829">
        <v>4000000</v>
      </c>
      <c r="I70" s="829">
        <v>3940125</v>
      </c>
      <c r="J70" s="832"/>
    </row>
    <row r="71" spans="1:11" ht="24.95" customHeight="1" x14ac:dyDescent="0.25">
      <c r="A71" s="743"/>
      <c r="B71" s="85" t="s">
        <v>716</v>
      </c>
      <c r="C71" s="437"/>
      <c r="D71" s="162"/>
      <c r="E71" s="161"/>
      <c r="F71" s="829">
        <v>624000</v>
      </c>
      <c r="G71" s="829">
        <v>624000</v>
      </c>
      <c r="H71" s="829">
        <v>624000</v>
      </c>
      <c r="I71" s="829"/>
      <c r="J71" s="832"/>
    </row>
    <row r="72" spans="1:11" ht="24.95" customHeight="1" x14ac:dyDescent="0.25">
      <c r="A72" s="743"/>
      <c r="B72" s="85" t="s">
        <v>717</v>
      </c>
      <c r="C72" s="437"/>
      <c r="D72" s="162"/>
      <c r="E72" s="161"/>
      <c r="F72" s="829">
        <v>300000</v>
      </c>
      <c r="G72" s="829">
        <v>300000</v>
      </c>
      <c r="H72" s="829">
        <v>300000</v>
      </c>
      <c r="I72" s="829"/>
      <c r="J72" s="832"/>
    </row>
    <row r="73" spans="1:11" ht="24.95" customHeight="1" x14ac:dyDescent="0.25">
      <c r="A73" s="743"/>
      <c r="B73" s="85" t="s">
        <v>718</v>
      </c>
      <c r="C73" s="437"/>
      <c r="D73" s="162"/>
      <c r="E73" s="161"/>
      <c r="F73" s="829">
        <v>2000000</v>
      </c>
      <c r="G73" s="829">
        <v>2000000</v>
      </c>
      <c r="H73" s="829">
        <v>2000000</v>
      </c>
      <c r="I73" s="829"/>
      <c r="J73" s="832"/>
    </row>
    <row r="74" spans="1:11" ht="24.95" customHeight="1" x14ac:dyDescent="0.25">
      <c r="A74" s="743"/>
      <c r="B74" s="85" t="s">
        <v>719</v>
      </c>
      <c r="C74" s="437"/>
      <c r="D74" s="162"/>
      <c r="E74" s="161"/>
      <c r="F74" s="829">
        <v>500000</v>
      </c>
      <c r="G74" s="829">
        <v>500000</v>
      </c>
      <c r="H74" s="829">
        <v>500000</v>
      </c>
      <c r="I74" s="829">
        <v>454083</v>
      </c>
      <c r="J74" s="832"/>
    </row>
    <row r="75" spans="1:11" ht="24.95" customHeight="1" x14ac:dyDescent="0.25">
      <c r="A75" s="743"/>
      <c r="B75" s="85" t="s">
        <v>720</v>
      </c>
      <c r="C75" s="437"/>
      <c r="D75" s="162"/>
      <c r="E75" s="161"/>
      <c r="F75" s="829">
        <v>800000</v>
      </c>
      <c r="G75" s="829">
        <v>800000</v>
      </c>
      <c r="H75" s="829">
        <v>800000</v>
      </c>
      <c r="I75" s="829"/>
      <c r="J75" s="832"/>
    </row>
    <row r="76" spans="1:11" ht="24.95" customHeight="1" x14ac:dyDescent="0.25">
      <c r="A76" s="743"/>
      <c r="B76" s="85" t="s">
        <v>721</v>
      </c>
      <c r="C76" s="437"/>
      <c r="D76" s="162"/>
      <c r="E76" s="161"/>
      <c r="F76" s="829">
        <v>28295014</v>
      </c>
      <c r="G76" s="829">
        <v>28295014</v>
      </c>
      <c r="H76" s="829">
        <v>28295014</v>
      </c>
      <c r="I76" s="829">
        <v>34556997</v>
      </c>
      <c r="J76" s="832"/>
    </row>
    <row r="77" spans="1:11" ht="30.75" customHeight="1" x14ac:dyDescent="0.25">
      <c r="A77" s="743"/>
      <c r="B77" s="85" t="s">
        <v>722</v>
      </c>
      <c r="C77" s="437"/>
      <c r="D77" s="162"/>
      <c r="E77" s="161"/>
      <c r="F77" s="829">
        <v>616000</v>
      </c>
      <c r="G77" s="829">
        <v>616000</v>
      </c>
      <c r="H77" s="829">
        <v>616000</v>
      </c>
      <c r="I77" s="829">
        <v>260063</v>
      </c>
      <c r="J77" s="832"/>
    </row>
    <row r="78" spans="1:11" ht="24.95" customHeight="1" x14ac:dyDescent="0.2">
      <c r="A78" s="69"/>
      <c r="B78" s="85" t="s">
        <v>723</v>
      </c>
      <c r="C78" s="437"/>
      <c r="D78" s="162"/>
      <c r="E78" s="161"/>
      <c r="F78" s="829">
        <v>2260000</v>
      </c>
      <c r="G78" s="829">
        <v>2260000</v>
      </c>
      <c r="H78" s="829">
        <v>2260000</v>
      </c>
      <c r="I78" s="829">
        <v>2260000</v>
      </c>
      <c r="J78" s="135"/>
    </row>
    <row r="79" spans="1:11" ht="24.95" hidden="1" customHeight="1" x14ac:dyDescent="0.2">
      <c r="A79" s="69"/>
      <c r="B79" s="2"/>
      <c r="C79" s="438"/>
      <c r="D79" s="163"/>
      <c r="E79" s="161"/>
      <c r="F79" s="445"/>
      <c r="G79" s="445"/>
      <c r="H79" s="445"/>
      <c r="I79" s="445"/>
      <c r="J79" s="135"/>
    </row>
    <row r="80" spans="1:11" ht="24.95" hidden="1" customHeight="1" x14ac:dyDescent="0.2">
      <c r="A80" s="69"/>
      <c r="B80" s="2"/>
      <c r="C80" s="438"/>
      <c r="D80" s="163"/>
      <c r="E80" s="161"/>
      <c r="F80" s="445"/>
      <c r="G80" s="445"/>
      <c r="H80" s="445"/>
      <c r="I80" s="445"/>
      <c r="J80" s="135"/>
    </row>
    <row r="81" spans="1:11" ht="24.95" hidden="1" customHeight="1" x14ac:dyDescent="0.2">
      <c r="A81" s="69"/>
      <c r="B81" s="2"/>
      <c r="C81" s="438"/>
      <c r="D81" s="163"/>
      <c r="E81" s="161"/>
      <c r="F81" s="445"/>
      <c r="G81" s="445"/>
      <c r="H81" s="445"/>
      <c r="I81" s="445"/>
      <c r="J81" s="135"/>
    </row>
    <row r="82" spans="1:11" ht="24.95" hidden="1" customHeight="1" x14ac:dyDescent="0.2">
      <c r="A82" s="69"/>
      <c r="B82" s="2"/>
      <c r="C82" s="438"/>
      <c r="D82" s="163"/>
      <c r="E82" s="161"/>
      <c r="F82" s="445"/>
      <c r="G82" s="445"/>
      <c r="H82" s="445"/>
      <c r="I82" s="445"/>
      <c r="J82" s="135"/>
    </row>
    <row r="83" spans="1:11" ht="24.95" hidden="1" customHeight="1" x14ac:dyDescent="0.2">
      <c r="A83" s="69"/>
      <c r="B83" s="2"/>
      <c r="C83" s="438"/>
      <c r="D83" s="163"/>
      <c r="E83" s="161"/>
      <c r="F83" s="445"/>
      <c r="G83" s="445"/>
      <c r="H83" s="445"/>
      <c r="I83" s="445"/>
      <c r="J83" s="135"/>
    </row>
    <row r="84" spans="1:11" ht="24.95" customHeight="1" x14ac:dyDescent="0.2">
      <c r="A84" s="69"/>
      <c r="B84" s="2" t="s">
        <v>748</v>
      </c>
      <c r="C84" s="438"/>
      <c r="D84" s="163"/>
      <c r="E84" s="161"/>
      <c r="F84" s="830"/>
      <c r="G84" s="830">
        <v>200000</v>
      </c>
      <c r="H84" s="830">
        <v>200000</v>
      </c>
      <c r="I84" s="830">
        <v>200000</v>
      </c>
      <c r="J84" s="135"/>
    </row>
    <row r="85" spans="1:11" ht="24.95" customHeight="1" x14ac:dyDescent="0.2">
      <c r="A85" s="69"/>
      <c r="B85" s="2" t="s">
        <v>782</v>
      </c>
      <c r="C85" s="438"/>
      <c r="D85" s="163"/>
      <c r="E85" s="161"/>
      <c r="F85" s="830"/>
      <c r="G85" s="830"/>
      <c r="H85" s="830">
        <v>595756</v>
      </c>
      <c r="I85" s="830"/>
      <c r="J85" s="135"/>
    </row>
    <row r="86" spans="1:11" ht="24.95" customHeight="1" x14ac:dyDescent="0.2">
      <c r="A86" s="69"/>
      <c r="B86" s="2" t="s">
        <v>783</v>
      </c>
      <c r="C86" s="438"/>
      <c r="D86" s="163"/>
      <c r="E86" s="161"/>
      <c r="F86" s="830"/>
      <c r="G86" s="830"/>
      <c r="H86" s="830">
        <v>3188102</v>
      </c>
      <c r="I86" s="830"/>
      <c r="J86" s="135"/>
    </row>
    <row r="87" spans="1:11" ht="24.75" customHeight="1" x14ac:dyDescent="0.2">
      <c r="A87" s="69"/>
      <c r="B87" s="2" t="s">
        <v>784</v>
      </c>
      <c r="C87" s="438"/>
      <c r="D87" s="163"/>
      <c r="E87" s="161"/>
      <c r="F87" s="830"/>
      <c r="G87" s="830"/>
      <c r="H87" s="830">
        <v>2030886</v>
      </c>
      <c r="I87" s="830"/>
      <c r="J87" s="135"/>
    </row>
    <row r="88" spans="1:11" ht="24.95" customHeight="1" x14ac:dyDescent="0.2">
      <c r="A88" s="69"/>
      <c r="B88" s="2"/>
      <c r="C88" s="438"/>
      <c r="D88" s="163"/>
      <c r="E88" s="161"/>
      <c r="F88" s="830"/>
      <c r="G88" s="830"/>
      <c r="H88" s="830"/>
      <c r="I88" s="830"/>
      <c r="J88" s="135"/>
    </row>
    <row r="89" spans="1:11" ht="24.95" customHeight="1" x14ac:dyDescent="0.2">
      <c r="A89" s="149" t="s">
        <v>251</v>
      </c>
      <c r="B89" s="151" t="s">
        <v>252</v>
      </c>
      <c r="C89" s="439">
        <f>SUM(C78:C83)</f>
        <v>0</v>
      </c>
      <c r="D89" s="156">
        <f>SUM(D78:D83)</f>
        <v>0</v>
      </c>
      <c r="E89" s="439">
        <f>SUM(E78:E83)</f>
        <v>0</v>
      </c>
      <c r="F89" s="718">
        <f>SUM(F67:F78)</f>
        <v>56859290</v>
      </c>
      <c r="G89" s="718">
        <f>G67+G68+G69+G70+G71+G72+G73+G74+G75+G76+G77+G78+G84</f>
        <v>57059290</v>
      </c>
      <c r="H89" s="718">
        <f>H67+H68+H69+H70+H71+H72+H73+H74+H75+H76+H77+H78+H84+H85+H86+H87</f>
        <v>62874034</v>
      </c>
      <c r="I89" s="718">
        <f>I67+I68+I69+I70+I71+I72+I73+I74+I75+I76+I77+I78+I84+I85+I86+I87</f>
        <v>62795643</v>
      </c>
      <c r="J89" s="156">
        <f>SUM(J78:J83)</f>
        <v>0</v>
      </c>
      <c r="K89" s="557"/>
    </row>
    <row r="90" spans="1:11" ht="24.95" customHeight="1" x14ac:dyDescent="0.2">
      <c r="A90" s="149" t="s">
        <v>253</v>
      </c>
      <c r="B90" s="151" t="s">
        <v>254</v>
      </c>
      <c r="C90" s="156"/>
      <c r="D90" s="156"/>
      <c r="E90" s="152"/>
      <c r="F90" s="795">
        <v>15352008</v>
      </c>
      <c r="G90" s="795">
        <v>15406008</v>
      </c>
      <c r="H90" s="795">
        <v>17205989</v>
      </c>
      <c r="I90" s="831">
        <v>16954823</v>
      </c>
      <c r="J90" s="144"/>
    </row>
    <row r="91" spans="1:11" ht="24.95" customHeight="1" x14ac:dyDescent="0.25">
      <c r="A91" s="154" t="s">
        <v>255</v>
      </c>
      <c r="B91" s="157" t="s">
        <v>256</v>
      </c>
      <c r="C91" s="101">
        <f t="shared" ref="C91:J91" si="0">SUM(C89,C90)</f>
        <v>0</v>
      </c>
      <c r="D91" s="101">
        <f t="shared" si="0"/>
        <v>0</v>
      </c>
      <c r="E91" s="101">
        <f t="shared" si="0"/>
        <v>0</v>
      </c>
      <c r="F91" s="101">
        <f t="shared" si="0"/>
        <v>72211298</v>
      </c>
      <c r="G91" s="101">
        <f t="shared" si="0"/>
        <v>72465298</v>
      </c>
      <c r="H91" s="101">
        <f t="shared" si="0"/>
        <v>80080023</v>
      </c>
      <c r="I91" s="101">
        <f t="shared" si="0"/>
        <v>79750466</v>
      </c>
      <c r="J91" s="164">
        <f t="shared" si="0"/>
        <v>0</v>
      </c>
    </row>
    <row r="92" spans="1:11" ht="24.95" customHeight="1" x14ac:dyDescent="0.2">
      <c r="A92" s="149" t="s">
        <v>257</v>
      </c>
      <c r="B92" s="151"/>
      <c r="C92" s="147"/>
      <c r="D92" s="144"/>
      <c r="E92" s="425"/>
      <c r="F92" s="719"/>
      <c r="G92" s="719"/>
      <c r="H92" s="719"/>
      <c r="I92" s="719"/>
      <c r="J92" s="144"/>
      <c r="K92" s="96"/>
    </row>
    <row r="93" spans="1:11" ht="24.95" customHeight="1" x14ac:dyDescent="0.2">
      <c r="A93" s="149" t="s">
        <v>258</v>
      </c>
      <c r="B93" s="151"/>
      <c r="C93" s="147"/>
      <c r="D93" s="144"/>
      <c r="E93" s="425"/>
      <c r="F93" s="719"/>
      <c r="G93" s="719"/>
      <c r="H93" s="719"/>
      <c r="I93" s="719"/>
      <c r="J93" s="144"/>
      <c r="K93" s="96"/>
    </row>
    <row r="94" spans="1:11" ht="24.95" hidden="1" customHeight="1" x14ac:dyDescent="0.25">
      <c r="A94" s="69"/>
      <c r="B94" s="5"/>
      <c r="C94" s="160"/>
      <c r="D94" s="7"/>
      <c r="E94" s="161"/>
      <c r="F94" s="544"/>
      <c r="G94" s="544"/>
      <c r="H94" s="544"/>
      <c r="I94" s="544"/>
      <c r="J94" s="135"/>
      <c r="K94" s="96"/>
    </row>
    <row r="95" spans="1:11" ht="24.95" hidden="1" customHeight="1" x14ac:dyDescent="0.25">
      <c r="A95" s="69"/>
      <c r="B95" s="5"/>
      <c r="C95" s="160"/>
      <c r="D95" s="7"/>
      <c r="E95" s="161"/>
      <c r="F95" s="101"/>
      <c r="G95" s="101"/>
      <c r="H95" s="101"/>
      <c r="I95" s="101"/>
      <c r="J95" s="135"/>
      <c r="K95" s="96"/>
    </row>
    <row r="96" spans="1:11" ht="24.95" hidden="1" customHeight="1" x14ac:dyDescent="0.25">
      <c r="A96" s="69"/>
      <c r="B96" s="5"/>
      <c r="C96" s="160"/>
      <c r="D96" s="7"/>
      <c r="E96" s="161"/>
      <c r="F96" s="101"/>
      <c r="G96" s="101"/>
      <c r="H96" s="101"/>
      <c r="I96" s="101"/>
      <c r="J96" s="135"/>
      <c r="K96" s="96"/>
    </row>
    <row r="97" spans="1:11" ht="24.95" customHeight="1" x14ac:dyDescent="0.2">
      <c r="A97" s="149" t="s">
        <v>259</v>
      </c>
      <c r="B97" s="151" t="s">
        <v>260</v>
      </c>
      <c r="C97" s="147">
        <f>SUM(C94:C96)</f>
        <v>0</v>
      </c>
      <c r="D97" s="144">
        <f>SUM(D94:D96)</f>
        <v>0</v>
      </c>
      <c r="E97" s="147">
        <f>SUM(E94:E96)</f>
        <v>0</v>
      </c>
      <c r="F97" s="228">
        <f>SUM(F94:F96)</f>
        <v>0</v>
      </c>
      <c r="G97" s="228"/>
      <c r="H97" s="228"/>
      <c r="I97" s="228"/>
      <c r="J97" s="144">
        <f>SUM(J94:J96)</f>
        <v>0</v>
      </c>
      <c r="K97" s="96"/>
    </row>
    <row r="98" spans="1:11" ht="24.95" customHeight="1" x14ac:dyDescent="0.25">
      <c r="A98" s="154" t="s">
        <v>261</v>
      </c>
      <c r="B98" s="157" t="s">
        <v>262</v>
      </c>
      <c r="C98" s="81">
        <f>SUM(C92:C93,C97)</f>
        <v>0</v>
      </c>
      <c r="D98" s="81">
        <f>SUM(D92:D93,D97)</f>
        <v>0</v>
      </c>
      <c r="E98" s="81">
        <f>SUM(E92:E93,E97)</f>
        <v>0</v>
      </c>
      <c r="F98" s="229">
        <f>SUM(F92:F93,F97)</f>
        <v>0</v>
      </c>
      <c r="G98" s="229"/>
      <c r="H98" s="229"/>
      <c r="I98" s="229"/>
      <c r="J98" s="76">
        <f>SUM(J92:J93,J97)</f>
        <v>0</v>
      </c>
      <c r="K98" s="96"/>
    </row>
    <row r="99" spans="1:11" ht="24.95" customHeight="1" x14ac:dyDescent="0.2">
      <c r="A99" s="8"/>
      <c r="B99" s="158" t="s">
        <v>263</v>
      </c>
      <c r="C99" s="451">
        <f>SUM(C98,C91,C66)</f>
        <v>0</v>
      </c>
      <c r="D99" s="450">
        <f>SUM(D98,D91,D66)</f>
        <v>0</v>
      </c>
      <c r="E99" s="451">
        <f>SUM(E98,E91,E66)</f>
        <v>0</v>
      </c>
      <c r="F99" s="720">
        <f>SUM(F98,F91,F66)</f>
        <v>101627259</v>
      </c>
      <c r="G99" s="720">
        <f>SUM(G98,G91,G66)</f>
        <v>114940460</v>
      </c>
      <c r="H99" s="720"/>
      <c r="I99" s="720">
        <f>SUM(I98,I91,I66)</f>
        <v>94699140</v>
      </c>
      <c r="J99" s="165">
        <f>SUM(J98,J91,J66)</f>
        <v>0</v>
      </c>
    </row>
    <row r="100" spans="1:11" ht="24.95" customHeight="1" x14ac:dyDescent="0.2">
      <c r="J100" s="74"/>
    </row>
    <row r="101" spans="1:11" ht="24.95" customHeight="1" x14ac:dyDescent="0.2">
      <c r="J101" s="73"/>
    </row>
    <row r="102" spans="1:11" x14ac:dyDescent="0.2">
      <c r="J102" s="71"/>
    </row>
    <row r="103" spans="1:11" x14ac:dyDescent="0.2">
      <c r="J103" s="71"/>
    </row>
    <row r="104" spans="1:11" x14ac:dyDescent="0.2">
      <c r="J104" s="71"/>
    </row>
    <row r="105" spans="1:11" x14ac:dyDescent="0.2">
      <c r="J105" s="71"/>
    </row>
  </sheetData>
  <mergeCells count="6">
    <mergeCell ref="F1:F4"/>
    <mergeCell ref="A1:A4"/>
    <mergeCell ref="B1:B4"/>
    <mergeCell ref="C1:E2"/>
    <mergeCell ref="C3:D3"/>
    <mergeCell ref="E3:E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>
    <oddHeader>&amp;L&amp;"Times,Félkövér"&amp;14Levél Község
  Önkormányzata&amp;C&amp;"Times,Félkövér"&amp;14FELHALMOZÁSI KIADÁSOK
2018.&amp;R6. melléklet
Adatok: 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9">
    <tabColor rgb="FFFF0000"/>
  </sheetPr>
  <dimension ref="A1:J61"/>
  <sheetViews>
    <sheetView zoomScaleNormal="100" workbookViewId="0">
      <selection activeCell="I4" sqref="I4"/>
    </sheetView>
  </sheetViews>
  <sheetFormatPr defaultRowHeight="12.75" x14ac:dyDescent="0.2"/>
  <cols>
    <col min="1" max="1" width="7.42578125" customWidth="1"/>
    <col min="2" max="2" width="50.5703125" customWidth="1"/>
    <col min="3" max="4" width="13.85546875" hidden="1" customWidth="1"/>
    <col min="5" max="5" width="14.42578125" hidden="1" customWidth="1"/>
    <col min="6" max="9" width="20.5703125" customWidth="1"/>
    <col min="10" max="10" width="14.5703125" customWidth="1"/>
  </cols>
  <sheetData>
    <row r="1" spans="1:10" ht="18" x14ac:dyDescent="0.25">
      <c r="A1" s="945" t="s">
        <v>288</v>
      </c>
      <c r="B1" s="330"/>
      <c r="C1" s="939" t="s">
        <v>53</v>
      </c>
      <c r="D1" s="940"/>
      <c r="E1" s="941"/>
      <c r="F1" s="321"/>
      <c r="G1" s="321"/>
      <c r="H1" s="321"/>
      <c r="I1" s="321"/>
      <c r="J1" s="322" t="s">
        <v>52</v>
      </c>
    </row>
    <row r="2" spans="1:10" ht="18" x14ac:dyDescent="0.25">
      <c r="A2" s="946"/>
      <c r="B2" s="331" t="s">
        <v>447</v>
      </c>
      <c r="C2" s="942"/>
      <c r="D2" s="943"/>
      <c r="E2" s="944"/>
      <c r="F2" s="323" t="s">
        <v>726</v>
      </c>
      <c r="G2" s="323" t="s">
        <v>726</v>
      </c>
      <c r="H2" s="323" t="s">
        <v>726</v>
      </c>
      <c r="I2" s="323" t="s">
        <v>726</v>
      </c>
      <c r="J2" s="324" t="s">
        <v>134</v>
      </c>
    </row>
    <row r="3" spans="1:10" ht="18" x14ac:dyDescent="0.25">
      <c r="A3" s="947"/>
      <c r="B3" s="332"/>
      <c r="C3" s="167" t="s">
        <v>59</v>
      </c>
      <c r="D3" s="167" t="s">
        <v>395</v>
      </c>
      <c r="E3" s="168" t="s">
        <v>73</v>
      </c>
      <c r="F3" s="325" t="s">
        <v>74</v>
      </c>
      <c r="G3" s="325" t="s">
        <v>741</v>
      </c>
      <c r="H3" s="325" t="s">
        <v>764</v>
      </c>
      <c r="I3" s="325" t="s">
        <v>736</v>
      </c>
      <c r="J3" s="324" t="s">
        <v>138</v>
      </c>
    </row>
    <row r="4" spans="1:10" ht="18" x14ac:dyDescent="0.25">
      <c r="A4" s="169" t="s">
        <v>268</v>
      </c>
      <c r="B4" s="166" t="s">
        <v>269</v>
      </c>
      <c r="C4" s="167"/>
      <c r="D4" s="167"/>
      <c r="E4" s="150"/>
      <c r="F4" s="546">
        <v>10555551</v>
      </c>
      <c r="G4" s="546">
        <v>10630623</v>
      </c>
      <c r="H4" s="546">
        <v>10630623</v>
      </c>
      <c r="I4" s="546">
        <v>10630623</v>
      </c>
      <c r="J4" s="149"/>
    </row>
    <row r="5" spans="1:10" ht="18" x14ac:dyDescent="0.25">
      <c r="A5" s="35"/>
      <c r="B5" s="36" t="s">
        <v>663</v>
      </c>
      <c r="C5" s="547"/>
      <c r="D5" s="548"/>
      <c r="E5" s="441"/>
      <c r="F5" s="549">
        <v>1849230</v>
      </c>
      <c r="G5" s="549"/>
      <c r="H5" s="549"/>
      <c r="I5" s="549"/>
      <c r="J5" s="135"/>
    </row>
    <row r="6" spans="1:10" ht="18" x14ac:dyDescent="0.25">
      <c r="A6" s="35"/>
      <c r="B6" s="36" t="s">
        <v>664</v>
      </c>
      <c r="C6" s="547"/>
      <c r="D6" s="548"/>
      <c r="E6" s="441"/>
      <c r="F6" s="549">
        <v>232200</v>
      </c>
      <c r="G6" s="549"/>
      <c r="H6" s="549"/>
      <c r="I6" s="549"/>
      <c r="J6" s="135"/>
    </row>
    <row r="7" spans="1:10" ht="18" x14ac:dyDescent="0.25">
      <c r="A7" s="35"/>
      <c r="B7" s="36" t="s">
        <v>665</v>
      </c>
      <c r="C7" s="547"/>
      <c r="D7" s="548"/>
      <c r="E7" s="441"/>
      <c r="F7" s="549">
        <v>532425</v>
      </c>
      <c r="G7" s="549"/>
      <c r="H7" s="549"/>
      <c r="I7" s="549"/>
      <c r="J7" s="135"/>
    </row>
    <row r="8" spans="1:10" ht="18" x14ac:dyDescent="0.25">
      <c r="A8" s="35"/>
      <c r="B8" s="36" t="s">
        <v>554</v>
      </c>
      <c r="C8" s="547"/>
      <c r="D8" s="548"/>
      <c r="E8" s="441"/>
      <c r="F8" s="549">
        <v>9953412</v>
      </c>
      <c r="G8" s="549"/>
      <c r="H8" s="549"/>
      <c r="I8" s="549"/>
      <c r="J8" s="67"/>
    </row>
    <row r="9" spans="1:10" ht="18" x14ac:dyDescent="0.25">
      <c r="A9" s="35"/>
      <c r="B9" s="37" t="s">
        <v>539</v>
      </c>
      <c r="C9" s="547"/>
      <c r="D9" s="548"/>
      <c r="E9" s="441"/>
      <c r="F9" s="549">
        <v>3000000</v>
      </c>
      <c r="G9" s="549"/>
      <c r="H9" s="549"/>
      <c r="I9" s="549"/>
      <c r="J9" s="135"/>
    </row>
    <row r="10" spans="1:10" ht="18" hidden="1" x14ac:dyDescent="0.25">
      <c r="A10" s="35"/>
      <c r="B10" s="37"/>
      <c r="C10" s="440"/>
      <c r="D10" s="171"/>
      <c r="E10" s="441"/>
      <c r="F10" s="669"/>
      <c r="G10" s="669"/>
      <c r="H10" s="669"/>
      <c r="I10" s="669"/>
      <c r="J10" s="135"/>
    </row>
    <row r="11" spans="1:10" ht="18" hidden="1" x14ac:dyDescent="0.25">
      <c r="A11" s="6"/>
      <c r="B11" s="37"/>
      <c r="C11" s="440"/>
      <c r="D11" s="171"/>
      <c r="E11" s="441"/>
      <c r="F11" s="669"/>
      <c r="G11" s="669"/>
      <c r="H11" s="669"/>
      <c r="I11" s="669"/>
      <c r="J11" s="135"/>
    </row>
    <row r="12" spans="1:10" ht="18" hidden="1" x14ac:dyDescent="0.25">
      <c r="A12" s="6"/>
      <c r="B12" s="37"/>
      <c r="C12" s="440"/>
      <c r="D12" s="171"/>
      <c r="E12" s="441"/>
      <c r="F12" s="669"/>
      <c r="G12" s="669"/>
      <c r="H12" s="669"/>
      <c r="I12" s="669"/>
      <c r="J12" s="135"/>
    </row>
    <row r="13" spans="1:10" ht="18" hidden="1" x14ac:dyDescent="0.25">
      <c r="A13" s="6"/>
      <c r="B13" s="37"/>
      <c r="C13" s="440"/>
      <c r="D13" s="171"/>
      <c r="E13" s="441"/>
      <c r="F13" s="670"/>
      <c r="G13" s="670"/>
      <c r="H13" s="670"/>
      <c r="I13" s="670"/>
      <c r="J13" s="135"/>
    </row>
    <row r="14" spans="1:10" ht="18" hidden="1" x14ac:dyDescent="0.25">
      <c r="A14" s="6"/>
      <c r="B14" s="37"/>
      <c r="C14" s="440"/>
      <c r="D14" s="171"/>
      <c r="E14" s="441"/>
      <c r="F14" s="670"/>
      <c r="G14" s="670"/>
      <c r="H14" s="670"/>
      <c r="I14" s="670"/>
      <c r="J14" s="135"/>
    </row>
    <row r="15" spans="1:10" ht="15" x14ac:dyDescent="0.2">
      <c r="A15" s="170" t="s">
        <v>270</v>
      </c>
      <c r="B15" s="170" t="s">
        <v>271</v>
      </c>
      <c r="C15" s="147">
        <f>SUM(C5:C14)</f>
        <v>0</v>
      </c>
      <c r="D15" s="144">
        <f>SUM(D5:D14)</f>
        <v>0</v>
      </c>
      <c r="E15" s="147">
        <f>SUM(E5:E14)</f>
        <v>0</v>
      </c>
      <c r="F15" s="144">
        <f>SUM(F5:F9)</f>
        <v>15567267</v>
      </c>
      <c r="G15" s="144">
        <v>15577267</v>
      </c>
      <c r="H15" s="144">
        <v>17440719</v>
      </c>
      <c r="I15" s="144">
        <v>16424921</v>
      </c>
      <c r="J15" s="144">
        <f>SUM(J5:J14)</f>
        <v>0</v>
      </c>
    </row>
    <row r="16" spans="1:10" ht="18" x14ac:dyDescent="0.25">
      <c r="A16" s="35"/>
      <c r="B16" s="36"/>
      <c r="C16" s="172"/>
      <c r="D16" s="102"/>
      <c r="E16" s="455"/>
      <c r="F16" s="549">
        <v>0</v>
      </c>
      <c r="G16" s="549"/>
      <c r="H16" s="549"/>
      <c r="I16" s="549"/>
      <c r="J16" s="135"/>
    </row>
    <row r="17" spans="1:10" ht="18" x14ac:dyDescent="0.25">
      <c r="A17" s="35"/>
      <c r="B17" s="36"/>
      <c r="C17" s="172"/>
      <c r="D17" s="102"/>
      <c r="E17" s="455"/>
      <c r="F17" s="549">
        <v>0</v>
      </c>
      <c r="G17" s="549"/>
      <c r="H17" s="549"/>
      <c r="I17" s="549"/>
      <c r="J17" s="135"/>
    </row>
    <row r="18" spans="1:10" ht="15" x14ac:dyDescent="0.2">
      <c r="A18" s="170" t="s">
        <v>272</v>
      </c>
      <c r="B18" s="170" t="s">
        <v>273</v>
      </c>
      <c r="C18" s="147">
        <f>SUM(C16:C17)</f>
        <v>0</v>
      </c>
      <c r="D18" s="144">
        <f>SUM(D16:D17)</f>
        <v>0</v>
      </c>
      <c r="E18" s="147">
        <f>SUM(E16:E17)</f>
        <v>0</v>
      </c>
      <c r="F18" s="228">
        <f>SUM(F16:F17)</f>
        <v>0</v>
      </c>
      <c r="G18" s="228"/>
      <c r="H18" s="228"/>
      <c r="I18" s="228"/>
      <c r="J18" s="144">
        <f>SUM(J16:J17)</f>
        <v>0</v>
      </c>
    </row>
    <row r="19" spans="1:10" ht="18" x14ac:dyDescent="0.25">
      <c r="A19" s="35"/>
      <c r="B19" s="36" t="s">
        <v>540</v>
      </c>
      <c r="C19" s="441"/>
      <c r="D19" s="102"/>
      <c r="E19" s="441"/>
      <c r="F19" s="549">
        <v>6641125</v>
      </c>
      <c r="G19" s="549"/>
      <c r="H19" s="549"/>
      <c r="I19" s="549"/>
      <c r="J19" s="135"/>
    </row>
    <row r="20" spans="1:10" ht="18" x14ac:dyDescent="0.25">
      <c r="A20" s="38"/>
      <c r="B20" s="37" t="s">
        <v>541</v>
      </c>
      <c r="C20" s="441"/>
      <c r="D20" s="102"/>
      <c r="E20" s="441"/>
      <c r="F20" s="549">
        <v>959285</v>
      </c>
      <c r="G20" s="549"/>
      <c r="H20" s="549"/>
      <c r="I20" s="549"/>
      <c r="J20" s="135"/>
    </row>
    <row r="21" spans="1:10" ht="18" x14ac:dyDescent="0.25">
      <c r="A21" s="35"/>
      <c r="B21" s="36" t="s">
        <v>542</v>
      </c>
      <c r="C21" s="441"/>
      <c r="D21" s="102"/>
      <c r="E21" s="441"/>
      <c r="F21" s="549">
        <v>883448</v>
      </c>
      <c r="G21" s="549"/>
      <c r="H21" s="549"/>
      <c r="I21" s="549"/>
      <c r="J21" s="135"/>
    </row>
    <row r="22" spans="1:10" ht="18" x14ac:dyDescent="0.25">
      <c r="A22" s="35"/>
      <c r="B22" s="36" t="s">
        <v>543</v>
      </c>
      <c r="C22" s="441"/>
      <c r="D22" s="102"/>
      <c r="E22" s="441"/>
      <c r="F22" s="549">
        <v>0</v>
      </c>
      <c r="G22" s="549"/>
      <c r="H22" s="549"/>
      <c r="I22" s="549"/>
      <c r="J22" s="135"/>
    </row>
    <row r="23" spans="1:10" ht="18" x14ac:dyDescent="0.25">
      <c r="A23" s="35"/>
      <c r="B23" s="36" t="s">
        <v>544</v>
      </c>
      <c r="C23" s="441"/>
      <c r="D23" s="102"/>
      <c r="E23" s="441"/>
      <c r="F23" s="549">
        <v>479285</v>
      </c>
      <c r="G23" s="549"/>
      <c r="H23" s="549"/>
      <c r="I23" s="549"/>
      <c r="J23" s="135"/>
    </row>
    <row r="24" spans="1:10" ht="18" x14ac:dyDescent="0.25">
      <c r="A24" s="35"/>
      <c r="B24" s="36" t="s">
        <v>545</v>
      </c>
      <c r="C24" s="441"/>
      <c r="D24" s="102"/>
      <c r="E24" s="441"/>
      <c r="F24" s="549">
        <v>0</v>
      </c>
      <c r="G24" s="549"/>
      <c r="H24" s="549"/>
      <c r="I24" s="549"/>
      <c r="J24" s="135"/>
    </row>
    <row r="25" spans="1:10" ht="18" x14ac:dyDescent="0.25">
      <c r="A25" s="35"/>
      <c r="B25" s="36" t="s">
        <v>596</v>
      </c>
      <c r="C25" s="441"/>
      <c r="D25" s="102"/>
      <c r="E25" s="441"/>
      <c r="F25" s="549">
        <v>1363388</v>
      </c>
      <c r="G25" s="549"/>
      <c r="H25" s="549"/>
      <c r="I25" s="549"/>
      <c r="J25" s="135"/>
    </row>
    <row r="26" spans="1:10" ht="18" x14ac:dyDescent="0.25">
      <c r="A26" s="35"/>
      <c r="B26" s="36" t="s">
        <v>546</v>
      </c>
      <c r="C26" s="441"/>
      <c r="D26" s="102"/>
      <c r="E26" s="441"/>
      <c r="F26" s="549">
        <v>30000</v>
      </c>
      <c r="G26" s="549"/>
      <c r="H26" s="549"/>
      <c r="I26" s="549"/>
      <c r="J26" s="135"/>
    </row>
    <row r="27" spans="1:10" ht="18" x14ac:dyDescent="0.25">
      <c r="A27" s="35"/>
      <c r="B27" s="36" t="s">
        <v>666</v>
      </c>
      <c r="C27" s="441"/>
      <c r="D27" s="102"/>
      <c r="E27" s="441"/>
      <c r="F27" s="549">
        <v>607737</v>
      </c>
      <c r="G27" s="549"/>
      <c r="H27" s="549"/>
      <c r="I27" s="549"/>
      <c r="J27" s="135"/>
    </row>
    <row r="28" spans="1:10" ht="18" x14ac:dyDescent="0.25">
      <c r="A28" s="35"/>
      <c r="B28" s="36" t="s">
        <v>667</v>
      </c>
      <c r="C28" s="441"/>
      <c r="D28" s="102"/>
      <c r="E28" s="441"/>
      <c r="F28" s="549">
        <v>0</v>
      </c>
      <c r="G28" s="549"/>
      <c r="H28" s="549"/>
      <c r="I28" s="549"/>
      <c r="J28" s="135"/>
    </row>
    <row r="29" spans="1:10" ht="18" x14ac:dyDescent="0.25">
      <c r="A29" s="35"/>
      <c r="B29" s="36" t="s">
        <v>668</v>
      </c>
      <c r="C29" s="441"/>
      <c r="D29" s="102"/>
      <c r="E29" s="441"/>
      <c r="F29" s="549">
        <v>75000</v>
      </c>
      <c r="G29" s="549"/>
      <c r="H29" s="549"/>
      <c r="I29" s="549"/>
      <c r="J29" s="135"/>
    </row>
    <row r="30" spans="1:10" ht="18" x14ac:dyDescent="0.25">
      <c r="A30" s="35"/>
      <c r="B30" s="36" t="s">
        <v>597</v>
      </c>
      <c r="C30" s="441"/>
      <c r="D30" s="102"/>
      <c r="E30" s="441"/>
      <c r="F30" s="549">
        <v>2150000</v>
      </c>
      <c r="G30" s="549"/>
      <c r="H30" s="549"/>
      <c r="I30" s="549"/>
      <c r="J30" s="135"/>
    </row>
    <row r="31" spans="1:10" ht="18" x14ac:dyDescent="0.25">
      <c r="A31" s="35"/>
      <c r="B31" s="5" t="s">
        <v>538</v>
      </c>
      <c r="C31" s="160"/>
      <c r="D31" s="7"/>
      <c r="E31" s="161"/>
      <c r="F31" s="671">
        <v>250000</v>
      </c>
      <c r="G31" s="671"/>
      <c r="H31" s="671"/>
      <c r="I31" s="671"/>
      <c r="J31" s="135"/>
    </row>
    <row r="32" spans="1:10" ht="18" hidden="1" x14ac:dyDescent="0.25">
      <c r="A32" s="35"/>
      <c r="B32" s="36"/>
      <c r="C32" s="441"/>
      <c r="D32" s="102"/>
      <c r="E32" s="441"/>
      <c r="F32" s="103"/>
      <c r="G32" s="103"/>
      <c r="H32" s="103"/>
      <c r="I32" s="103"/>
      <c r="J32" s="135"/>
    </row>
    <row r="33" spans="1:10" ht="18" hidden="1" x14ac:dyDescent="0.25">
      <c r="A33" s="35"/>
      <c r="B33" s="36"/>
      <c r="C33" s="441"/>
      <c r="D33" s="102"/>
      <c r="E33" s="441"/>
      <c r="F33" s="103"/>
      <c r="G33" s="103"/>
      <c r="H33" s="103"/>
      <c r="I33" s="103"/>
      <c r="J33" s="135"/>
    </row>
    <row r="34" spans="1:10" ht="18" hidden="1" x14ac:dyDescent="0.25">
      <c r="A34" s="35"/>
      <c r="B34" s="36"/>
      <c r="C34" s="441"/>
      <c r="D34" s="102"/>
      <c r="E34" s="441"/>
      <c r="F34" s="103"/>
      <c r="G34" s="103"/>
      <c r="H34" s="103"/>
      <c r="I34" s="103"/>
      <c r="J34" s="135"/>
    </row>
    <row r="35" spans="1:10" ht="18" hidden="1" x14ac:dyDescent="0.25">
      <c r="A35" s="35"/>
      <c r="B35" s="36"/>
      <c r="C35" s="441"/>
      <c r="D35" s="102"/>
      <c r="E35" s="441"/>
      <c r="F35" s="103"/>
      <c r="G35" s="103"/>
      <c r="H35" s="103"/>
      <c r="I35" s="103"/>
      <c r="J35" s="135"/>
    </row>
    <row r="36" spans="1:10" ht="18" hidden="1" x14ac:dyDescent="0.25">
      <c r="A36" s="35"/>
      <c r="B36" s="39"/>
      <c r="C36" s="441"/>
      <c r="D36" s="102"/>
      <c r="E36" s="441"/>
      <c r="F36" s="103"/>
      <c r="G36" s="103"/>
      <c r="H36" s="103"/>
      <c r="I36" s="103"/>
      <c r="J36" s="135"/>
    </row>
    <row r="37" spans="1:10" ht="18" hidden="1" x14ac:dyDescent="0.25">
      <c r="A37" s="35"/>
      <c r="B37" s="39"/>
      <c r="C37" s="441"/>
      <c r="D37" s="102"/>
      <c r="E37" s="441"/>
      <c r="F37" s="103"/>
      <c r="G37" s="103"/>
      <c r="H37" s="103"/>
      <c r="I37" s="103"/>
      <c r="J37" s="135"/>
    </row>
    <row r="38" spans="1:10" ht="18" hidden="1" x14ac:dyDescent="0.25">
      <c r="A38" s="35"/>
      <c r="B38" s="36"/>
      <c r="C38" s="441"/>
      <c r="D38" s="102"/>
      <c r="E38" s="441"/>
      <c r="F38" s="103"/>
      <c r="G38" s="103"/>
      <c r="H38" s="103"/>
      <c r="I38" s="103"/>
      <c r="J38" s="135"/>
    </row>
    <row r="39" spans="1:10" ht="18" hidden="1" x14ac:dyDescent="0.25">
      <c r="A39" s="35"/>
      <c r="B39" s="36"/>
      <c r="C39" s="441"/>
      <c r="D39" s="102"/>
      <c r="E39" s="441"/>
      <c r="F39" s="103"/>
      <c r="G39" s="103"/>
      <c r="H39" s="103"/>
      <c r="I39" s="103"/>
      <c r="J39" s="135"/>
    </row>
    <row r="40" spans="1:10" ht="18" hidden="1" x14ac:dyDescent="0.25">
      <c r="A40" s="35"/>
      <c r="B40" s="36"/>
      <c r="C40" s="441"/>
      <c r="D40" s="102"/>
      <c r="E40" s="441"/>
      <c r="F40" s="103"/>
      <c r="G40" s="103"/>
      <c r="H40" s="103"/>
      <c r="I40" s="103"/>
      <c r="J40" s="135"/>
    </row>
    <row r="41" spans="1:10" ht="18" hidden="1" x14ac:dyDescent="0.25">
      <c r="A41" s="35"/>
      <c r="B41" s="36"/>
      <c r="C41" s="441"/>
      <c r="D41" s="102"/>
      <c r="E41" s="441"/>
      <c r="F41" s="103"/>
      <c r="G41" s="103"/>
      <c r="H41" s="103"/>
      <c r="I41" s="103"/>
      <c r="J41" s="135"/>
    </row>
    <row r="42" spans="1:10" ht="18" hidden="1" x14ac:dyDescent="0.25">
      <c r="A42" s="35"/>
      <c r="B42" s="36"/>
      <c r="C42" s="441"/>
      <c r="D42" s="102"/>
      <c r="E42" s="441"/>
      <c r="F42" s="103"/>
      <c r="G42" s="103"/>
      <c r="H42" s="103"/>
      <c r="I42" s="103"/>
      <c r="J42" s="135"/>
    </row>
    <row r="43" spans="1:10" ht="18" hidden="1" x14ac:dyDescent="0.25">
      <c r="A43" s="35"/>
      <c r="B43" s="40"/>
      <c r="C43" s="441"/>
      <c r="D43" s="102"/>
      <c r="E43" s="441"/>
      <c r="F43" s="103"/>
      <c r="G43" s="103"/>
      <c r="H43" s="103"/>
      <c r="I43" s="103"/>
      <c r="J43" s="135"/>
    </row>
    <row r="44" spans="1:10" ht="18" hidden="1" x14ac:dyDescent="0.25">
      <c r="A44" s="35"/>
      <c r="B44" s="40"/>
      <c r="C44" s="441"/>
      <c r="D44" s="102"/>
      <c r="E44" s="441"/>
      <c r="F44" s="103"/>
      <c r="G44" s="103"/>
      <c r="H44" s="103"/>
      <c r="I44" s="103"/>
      <c r="J44" s="135"/>
    </row>
    <row r="45" spans="1:10" ht="18" hidden="1" x14ac:dyDescent="0.25">
      <c r="A45" s="35"/>
      <c r="B45" s="36"/>
      <c r="C45" s="441"/>
      <c r="D45" s="102"/>
      <c r="E45" s="441"/>
      <c r="F45" s="103"/>
      <c r="G45" s="103"/>
      <c r="H45" s="103"/>
      <c r="I45" s="103"/>
      <c r="J45" s="135"/>
    </row>
    <row r="46" spans="1:10" ht="18" hidden="1" x14ac:dyDescent="0.25">
      <c r="A46" s="35"/>
      <c r="B46" s="36"/>
      <c r="C46" s="441"/>
      <c r="D46" s="102"/>
      <c r="E46" s="441"/>
      <c r="F46" s="103"/>
      <c r="G46" s="103"/>
      <c r="H46" s="103"/>
      <c r="I46" s="103"/>
      <c r="J46" s="135"/>
    </row>
    <row r="47" spans="1:10" ht="18" hidden="1" x14ac:dyDescent="0.25">
      <c r="A47" s="35"/>
      <c r="B47" s="36"/>
      <c r="C47" s="441"/>
      <c r="D47" s="102"/>
      <c r="E47" s="441"/>
      <c r="F47" s="103"/>
      <c r="G47" s="103"/>
      <c r="H47" s="103"/>
      <c r="I47" s="103"/>
      <c r="J47" s="135"/>
    </row>
    <row r="48" spans="1:10" ht="18" hidden="1" x14ac:dyDescent="0.25">
      <c r="A48" s="35"/>
      <c r="B48" s="36"/>
      <c r="C48" s="441"/>
      <c r="D48" s="102"/>
      <c r="E48" s="441"/>
      <c r="F48" s="103"/>
      <c r="G48" s="103"/>
      <c r="H48" s="103"/>
      <c r="I48" s="103"/>
      <c r="J48" s="135"/>
    </row>
    <row r="49" spans="1:10" ht="18" x14ac:dyDescent="0.25">
      <c r="A49" s="35"/>
      <c r="B49" s="36" t="s">
        <v>696</v>
      </c>
      <c r="C49" s="441"/>
      <c r="D49" s="102"/>
      <c r="E49" s="441"/>
      <c r="F49" s="792">
        <v>30000</v>
      </c>
      <c r="G49" s="792"/>
      <c r="H49" s="792"/>
      <c r="I49" s="792"/>
      <c r="J49" s="135"/>
    </row>
    <row r="50" spans="1:10" ht="18" x14ac:dyDescent="0.25">
      <c r="A50" s="35"/>
      <c r="B50" s="36" t="s">
        <v>697</v>
      </c>
      <c r="C50" s="441"/>
      <c r="D50" s="102"/>
      <c r="E50" s="441"/>
      <c r="F50" s="792">
        <v>100000</v>
      </c>
      <c r="G50" s="792"/>
      <c r="H50" s="792"/>
      <c r="I50" s="792"/>
      <c r="J50" s="135"/>
    </row>
    <row r="51" spans="1:10" ht="15" x14ac:dyDescent="0.2">
      <c r="A51" s="170" t="s">
        <v>276</v>
      </c>
      <c r="B51" s="170" t="s">
        <v>275</v>
      </c>
      <c r="C51" s="147">
        <f>SUM(C19:C48)</f>
        <v>0</v>
      </c>
      <c r="D51" s="144">
        <f>SUM(D19:D48)</f>
        <v>0</v>
      </c>
      <c r="E51" s="147">
        <f>SUM(E19:E48)</f>
        <v>0</v>
      </c>
      <c r="F51" s="147">
        <f>SUM(F19:F50)</f>
        <v>13569268</v>
      </c>
      <c r="G51" s="147">
        <v>13664518</v>
      </c>
      <c r="H51" s="147">
        <v>17017445</v>
      </c>
      <c r="I51" s="147">
        <v>16062867</v>
      </c>
      <c r="J51" s="144">
        <f>SUM(J19:J48)</f>
        <v>0</v>
      </c>
    </row>
    <row r="52" spans="1:10" ht="18" x14ac:dyDescent="0.25">
      <c r="A52" s="35"/>
      <c r="B52" s="36" t="s">
        <v>547</v>
      </c>
      <c r="C52" s="102"/>
      <c r="D52" s="102"/>
      <c r="E52" s="102"/>
      <c r="F52" s="550">
        <f>SUM(F53:F54)</f>
        <v>99231341</v>
      </c>
      <c r="G52" s="550">
        <v>85626378</v>
      </c>
      <c r="H52" s="550">
        <v>60729559</v>
      </c>
      <c r="I52" s="550"/>
      <c r="J52" s="135"/>
    </row>
    <row r="53" spans="1:10" ht="18" x14ac:dyDescent="0.25">
      <c r="A53" s="35"/>
      <c r="B53" s="36" t="s">
        <v>548</v>
      </c>
      <c r="C53" s="102"/>
      <c r="D53" s="102"/>
      <c r="E53" s="102"/>
      <c r="F53" s="549">
        <v>99231341</v>
      </c>
      <c r="G53" s="549">
        <v>85626378</v>
      </c>
      <c r="H53" s="549">
        <v>60729559</v>
      </c>
      <c r="I53" s="549"/>
      <c r="J53" s="135"/>
    </row>
    <row r="54" spans="1:10" ht="18" x14ac:dyDescent="0.25">
      <c r="A54" s="35"/>
      <c r="B54" s="36" t="s">
        <v>549</v>
      </c>
      <c r="C54" s="102"/>
      <c r="D54" s="102"/>
      <c r="E54" s="102"/>
      <c r="F54" s="549">
        <v>0</v>
      </c>
      <c r="G54" s="549"/>
      <c r="H54" s="549"/>
      <c r="I54" s="549"/>
      <c r="J54" s="135"/>
    </row>
    <row r="55" spans="1:10" ht="18" x14ac:dyDescent="0.25">
      <c r="A55" s="35"/>
      <c r="B55" s="36" t="s">
        <v>550</v>
      </c>
      <c r="C55" s="102"/>
      <c r="D55" s="102"/>
      <c r="E55" s="102"/>
      <c r="F55" s="550">
        <f>SUM(F56:F57)</f>
        <v>0</v>
      </c>
      <c r="G55" s="550"/>
      <c r="H55" s="550"/>
      <c r="I55" s="550"/>
      <c r="J55" s="135"/>
    </row>
    <row r="56" spans="1:10" ht="18" x14ac:dyDescent="0.25">
      <c r="A56" s="35"/>
      <c r="B56" s="36" t="s">
        <v>548</v>
      </c>
      <c r="C56" s="102"/>
      <c r="D56" s="102"/>
      <c r="E56" s="102"/>
      <c r="F56" s="549">
        <v>0</v>
      </c>
      <c r="G56" s="549"/>
      <c r="H56" s="549"/>
      <c r="I56" s="549"/>
      <c r="J56" s="135"/>
    </row>
    <row r="57" spans="1:10" ht="18" x14ac:dyDescent="0.25">
      <c r="A57" s="35"/>
      <c r="B57" s="36" t="s">
        <v>549</v>
      </c>
      <c r="C57" s="102"/>
      <c r="D57" s="102"/>
      <c r="E57" s="102"/>
      <c r="F57" s="549">
        <v>0</v>
      </c>
      <c r="G57" s="549"/>
      <c r="H57" s="549"/>
      <c r="I57" s="549"/>
      <c r="J57" s="135"/>
    </row>
    <row r="58" spans="1:10" ht="18" hidden="1" x14ac:dyDescent="0.25">
      <c r="A58" s="35"/>
      <c r="B58" s="36"/>
      <c r="C58" s="102"/>
      <c r="D58" s="102"/>
      <c r="E58" s="102"/>
      <c r="F58" s="103"/>
      <c r="G58" s="103"/>
      <c r="H58" s="103"/>
      <c r="I58" s="103"/>
      <c r="J58" s="135"/>
    </row>
    <row r="59" spans="1:10" ht="15" x14ac:dyDescent="0.2">
      <c r="A59" s="170" t="s">
        <v>765</v>
      </c>
      <c r="B59" s="170" t="s">
        <v>277</v>
      </c>
      <c r="C59" s="144">
        <f>SUM(C52:C58)</f>
        <v>0</v>
      </c>
      <c r="D59" s="144">
        <f>SUM(D52:D58)</f>
        <v>0</v>
      </c>
      <c r="E59" s="144">
        <f>SUM(E52:E58)</f>
        <v>0</v>
      </c>
      <c r="F59" s="144">
        <v>99231341</v>
      </c>
      <c r="G59" s="144">
        <v>85626378</v>
      </c>
      <c r="H59" s="144">
        <f>H52</f>
        <v>60729559</v>
      </c>
      <c r="I59" s="144"/>
      <c r="J59" s="144">
        <f>SUM(J52:J58)</f>
        <v>0</v>
      </c>
    </row>
    <row r="60" spans="1:10" ht="18" hidden="1" x14ac:dyDescent="0.25">
      <c r="A60" s="35"/>
      <c r="B60" s="36"/>
      <c r="C60" s="37"/>
      <c r="D60" s="37"/>
      <c r="E60" s="37"/>
      <c r="F60" s="41"/>
      <c r="G60" s="41"/>
      <c r="H60" s="41"/>
      <c r="I60" s="41"/>
      <c r="J60" s="135"/>
    </row>
    <row r="61" spans="1:10" ht="18" x14ac:dyDescent="0.25">
      <c r="A61" s="320" t="s">
        <v>278</v>
      </c>
      <c r="B61" s="320" t="s">
        <v>279</v>
      </c>
      <c r="C61" s="86">
        <f>SUM(C59,C51,C18,C15,C4)</f>
        <v>0</v>
      </c>
      <c r="D61" s="86">
        <f>SUM(D59,D51,D18,D15,D4)</f>
        <v>0</v>
      </c>
      <c r="E61" s="86">
        <f>SUM(E59,E51,E18,E15,E4)</f>
        <v>0</v>
      </c>
      <c r="F61" s="199">
        <f>SUM(F59,F51,F18,F15,F4)</f>
        <v>138923427</v>
      </c>
      <c r="G61" s="199">
        <f t="shared" ref="G61:I61" si="0">SUM(G59,G51,G18,G15,G4)</f>
        <v>125498786</v>
      </c>
      <c r="H61" s="199">
        <f t="shared" si="0"/>
        <v>105818346</v>
      </c>
      <c r="I61" s="199">
        <f t="shared" si="0"/>
        <v>43118411</v>
      </c>
      <c r="J61" s="238">
        <f>SUM(J59,J51,J18,J15,J4)</f>
        <v>0</v>
      </c>
    </row>
  </sheetData>
  <mergeCells count="2">
    <mergeCell ref="C1:E2"/>
    <mergeCell ref="A1:A3"/>
  </mergeCells>
  <phoneticPr fontId="2" type="noConversion"/>
  <pageMargins left="0.75" right="0.75" top="1" bottom="1" header="0.5" footer="0.5"/>
  <pageSetup paperSize="9" scale="65" orientation="landscape" r:id="rId1"/>
  <headerFooter alignWithMargins="0">
    <oddHeader xml:space="preserve">&amp;L&amp;"Times,Félkövér"&amp;14Levél Község
  Önkormányzata&amp;C&amp;"Times,Félkövér"&amp;14Pénzeszköz átadás
2018. évi&amp;R&amp;"Times,Normál"&amp;12 7. melléklet
Adatok:  Ft-ban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0">
    <tabColor rgb="FFFF0000"/>
  </sheetPr>
  <dimension ref="A3:W40"/>
  <sheetViews>
    <sheetView zoomScaleNormal="100" workbookViewId="0">
      <selection activeCell="K38" sqref="K38"/>
    </sheetView>
  </sheetViews>
  <sheetFormatPr defaultRowHeight="12.75" x14ac:dyDescent="0.2"/>
  <cols>
    <col min="1" max="1" width="6.85546875" customWidth="1"/>
    <col min="2" max="2" width="53.85546875" customWidth="1"/>
    <col min="3" max="3" width="12" hidden="1" customWidth="1"/>
    <col min="4" max="4" width="11.140625" hidden="1" customWidth="1"/>
    <col min="5" max="5" width="13.140625" hidden="1" customWidth="1"/>
    <col min="6" max="6" width="18" customWidth="1"/>
    <col min="7" max="7" width="1.140625" hidden="1" customWidth="1"/>
    <col min="8" max="8" width="21.5703125" hidden="1" customWidth="1"/>
    <col min="9" max="11" width="21.5703125" customWidth="1"/>
    <col min="12" max="12" width="18.28515625" hidden="1" customWidth="1"/>
    <col min="13" max="13" width="9.5703125" bestFit="1" customWidth="1"/>
    <col min="15" max="15" width="12.42578125" customWidth="1"/>
    <col min="16" max="16" width="11.7109375" customWidth="1"/>
    <col min="17" max="17" width="12.7109375" customWidth="1"/>
    <col min="18" max="18" width="12" customWidth="1"/>
    <col min="19" max="19" width="11.5703125" customWidth="1"/>
    <col min="20" max="20" width="12.7109375" customWidth="1"/>
    <col min="21" max="21" width="12.5703125" customWidth="1"/>
    <col min="22" max="22" width="11.28515625" customWidth="1"/>
    <col min="23" max="23" width="12.42578125" customWidth="1"/>
  </cols>
  <sheetData>
    <row r="3" spans="1:23" ht="44.25" customHeight="1" x14ac:dyDescent="0.25">
      <c r="A3" s="954" t="s">
        <v>288</v>
      </c>
      <c r="B3" s="326"/>
      <c r="C3" s="901" t="s">
        <v>53</v>
      </c>
      <c r="D3" s="901"/>
      <c r="E3" s="901"/>
      <c r="F3" s="819" t="s">
        <v>694</v>
      </c>
      <c r="G3" s="819"/>
      <c r="H3" s="819"/>
      <c r="I3" s="819" t="s">
        <v>740</v>
      </c>
      <c r="J3" s="849" t="s">
        <v>763</v>
      </c>
      <c r="K3" s="819" t="s">
        <v>762</v>
      </c>
      <c r="L3" s="797"/>
      <c r="M3" s="951"/>
    </row>
    <row r="4" spans="1:23" ht="15" customHeight="1" x14ac:dyDescent="0.25">
      <c r="A4" s="955"/>
      <c r="B4" s="327"/>
      <c r="C4" s="902" t="s">
        <v>264</v>
      </c>
      <c r="D4" s="902"/>
      <c r="E4" s="960" t="s">
        <v>73</v>
      </c>
      <c r="F4" s="957" t="s">
        <v>302</v>
      </c>
      <c r="G4" s="963" t="s">
        <v>303</v>
      </c>
      <c r="H4" s="964"/>
      <c r="I4" s="818"/>
      <c r="J4" s="818"/>
      <c r="K4" s="818"/>
      <c r="L4" s="957" t="s">
        <v>66</v>
      </c>
      <c r="M4" s="951"/>
      <c r="N4" s="756"/>
      <c r="O4" s="965"/>
      <c r="P4" s="965"/>
      <c r="Q4" s="965"/>
      <c r="R4" s="965"/>
      <c r="S4" s="965"/>
      <c r="T4" s="965"/>
      <c r="U4" s="965"/>
      <c r="V4" s="965"/>
      <c r="W4" s="965"/>
    </row>
    <row r="5" spans="1:23" ht="18" customHeight="1" x14ac:dyDescent="0.25">
      <c r="A5" s="955"/>
      <c r="B5" s="328" t="s">
        <v>448</v>
      </c>
      <c r="C5" s="902"/>
      <c r="D5" s="902"/>
      <c r="E5" s="961"/>
      <c r="F5" s="959"/>
      <c r="G5" s="957" t="s">
        <v>141</v>
      </c>
      <c r="H5" s="957" t="s">
        <v>551</v>
      </c>
      <c r="I5" s="799"/>
      <c r="J5" s="854"/>
      <c r="K5" s="799"/>
      <c r="L5" s="959"/>
      <c r="M5" s="141"/>
      <c r="N5" s="756"/>
      <c r="O5" s="953"/>
      <c r="P5" s="952"/>
      <c r="Q5" s="952"/>
      <c r="R5" s="953"/>
      <c r="S5" s="952"/>
      <c r="T5" s="952"/>
      <c r="U5" s="953"/>
      <c r="V5" s="952"/>
      <c r="W5" s="952"/>
    </row>
    <row r="6" spans="1:23" ht="18" customHeight="1" x14ac:dyDescent="0.25">
      <c r="A6" s="956"/>
      <c r="B6" s="329"/>
      <c r="C6" s="424" t="s">
        <v>413</v>
      </c>
      <c r="D6" s="424" t="s">
        <v>301</v>
      </c>
      <c r="E6" s="962"/>
      <c r="F6" s="958"/>
      <c r="G6" s="958"/>
      <c r="H6" s="958"/>
      <c r="I6" s="798"/>
      <c r="J6" s="853"/>
      <c r="K6" s="798"/>
      <c r="L6" s="958"/>
      <c r="N6" s="757"/>
      <c r="O6" s="953"/>
      <c r="P6" s="758"/>
      <c r="Q6" s="758"/>
      <c r="R6" s="953"/>
      <c r="S6" s="758"/>
      <c r="T6" s="758"/>
      <c r="U6" s="953"/>
      <c r="V6" s="758"/>
      <c r="W6" s="758"/>
    </row>
    <row r="7" spans="1:23" ht="18" x14ac:dyDescent="0.25">
      <c r="A7" s="10" t="s">
        <v>285</v>
      </c>
      <c r="B7" s="5" t="s">
        <v>91</v>
      </c>
      <c r="C7" s="426"/>
      <c r="D7" s="426"/>
      <c r="E7" s="144"/>
      <c r="F7" s="13"/>
      <c r="G7" s="429"/>
      <c r="H7" s="13"/>
      <c r="I7" s="13"/>
      <c r="J7" s="820">
        <v>114000</v>
      </c>
      <c r="K7" s="820">
        <v>114000</v>
      </c>
      <c r="L7" s="226">
        <f>SUM(F7:H7)</f>
        <v>0</v>
      </c>
      <c r="N7" s="757"/>
      <c r="O7" s="758"/>
      <c r="P7" s="759"/>
      <c r="Q7" s="759"/>
      <c r="R7" s="758"/>
      <c r="S7" s="759"/>
      <c r="T7" s="759"/>
      <c r="U7" s="758"/>
      <c r="V7" s="759"/>
      <c r="W7" s="759"/>
    </row>
    <row r="8" spans="1:23" ht="18" hidden="1" x14ac:dyDescent="0.25">
      <c r="A8" s="10"/>
      <c r="B8" s="4" t="s">
        <v>298</v>
      </c>
      <c r="C8" s="159"/>
      <c r="D8" s="159"/>
      <c r="E8" s="144"/>
      <c r="F8" s="13"/>
      <c r="G8" s="429"/>
      <c r="H8" s="13"/>
      <c r="I8" s="13"/>
      <c r="J8" s="13"/>
      <c r="K8" s="13"/>
      <c r="L8" s="226">
        <f>SUM(F8:H8)</f>
        <v>0</v>
      </c>
      <c r="N8" s="757"/>
      <c r="O8" s="758"/>
      <c r="P8" s="759"/>
      <c r="Q8" s="759"/>
      <c r="R8" s="758"/>
      <c r="S8" s="759"/>
      <c r="T8" s="759"/>
      <c r="U8" s="758"/>
      <c r="V8" s="759"/>
      <c r="W8" s="759"/>
    </row>
    <row r="9" spans="1:23" ht="18.75" x14ac:dyDescent="0.3">
      <c r="A9" s="151" t="s">
        <v>280</v>
      </c>
      <c r="B9" s="174" t="s">
        <v>281</v>
      </c>
      <c r="C9" s="173">
        <f>SUM(C7:C8)</f>
        <v>0</v>
      </c>
      <c r="D9" s="173">
        <f t="shared" ref="D9:L9" si="0">SUM(D7:D8)</f>
        <v>0</v>
      </c>
      <c r="E9" s="427">
        <f t="shared" si="0"/>
        <v>0</v>
      </c>
      <c r="F9" s="427">
        <f t="shared" si="0"/>
        <v>0</v>
      </c>
      <c r="G9" s="173">
        <f t="shared" si="0"/>
        <v>0</v>
      </c>
      <c r="H9" s="427">
        <f t="shared" si="0"/>
        <v>0</v>
      </c>
      <c r="I9" s="427"/>
      <c r="J9" s="427">
        <f>J7</f>
        <v>114000</v>
      </c>
      <c r="K9" s="427">
        <f>K7</f>
        <v>114000</v>
      </c>
      <c r="L9" s="431">
        <f t="shared" si="0"/>
        <v>0</v>
      </c>
      <c r="N9" s="757"/>
      <c r="O9" s="758"/>
      <c r="P9" s="759"/>
      <c r="Q9" s="759"/>
      <c r="R9" s="758"/>
      <c r="S9" s="759"/>
      <c r="T9" s="759"/>
      <c r="U9" s="758"/>
      <c r="V9" s="759"/>
      <c r="W9" s="759"/>
    </row>
    <row r="10" spans="1:23" ht="18" x14ac:dyDescent="0.25">
      <c r="A10" s="10" t="s">
        <v>286</v>
      </c>
      <c r="B10" s="4" t="s">
        <v>81</v>
      </c>
      <c r="C10" s="442"/>
      <c r="D10" s="442"/>
      <c r="E10" s="144"/>
      <c r="F10" s="177"/>
      <c r="G10" s="429"/>
      <c r="H10" s="13"/>
      <c r="I10" s="13"/>
      <c r="J10" s="13"/>
      <c r="K10" s="13"/>
      <c r="L10" s="226">
        <f>SUM(F10:H10)</f>
        <v>0</v>
      </c>
      <c r="N10" s="757"/>
      <c r="O10" s="758"/>
      <c r="P10" s="759"/>
      <c r="Q10" s="759"/>
      <c r="R10" s="758"/>
      <c r="S10" s="759"/>
      <c r="T10" s="759"/>
      <c r="U10" s="758"/>
      <c r="V10" s="759"/>
      <c r="W10" s="759"/>
    </row>
    <row r="11" spans="1:23" ht="18" hidden="1" x14ac:dyDescent="0.25">
      <c r="A11" s="10" t="s">
        <v>287</v>
      </c>
      <c r="B11" s="4" t="s">
        <v>284</v>
      </c>
      <c r="C11" s="428"/>
      <c r="D11" s="428"/>
      <c r="E11" s="228"/>
      <c r="F11" s="13"/>
      <c r="G11" s="429"/>
      <c r="H11" s="13"/>
      <c r="I11" s="13"/>
      <c r="J11" s="13"/>
      <c r="K11" s="13"/>
      <c r="L11" s="226">
        <f>SUM(F11:H11)</f>
        <v>0</v>
      </c>
      <c r="N11" s="757"/>
      <c r="O11" s="758"/>
      <c r="P11" s="759"/>
      <c r="Q11" s="759"/>
      <c r="R11" s="758"/>
      <c r="S11" s="759"/>
      <c r="T11" s="759"/>
      <c r="U11" s="758"/>
      <c r="V11" s="759"/>
      <c r="W11" s="759"/>
    </row>
    <row r="12" spans="1:23" ht="18" x14ac:dyDescent="0.25">
      <c r="A12" s="151" t="s">
        <v>282</v>
      </c>
      <c r="B12" s="175" t="s">
        <v>283</v>
      </c>
      <c r="C12" s="144">
        <f t="shared" ref="C12:L12" si="1">SUM(C10:C11)</f>
        <v>0</v>
      </c>
      <c r="D12" s="144">
        <f t="shared" si="1"/>
        <v>0</v>
      </c>
      <c r="E12" s="225">
        <f t="shared" si="1"/>
        <v>0</v>
      </c>
      <c r="F12" s="225">
        <f t="shared" si="1"/>
        <v>0</v>
      </c>
      <c r="G12" s="144">
        <f t="shared" si="1"/>
        <v>0</v>
      </c>
      <c r="H12" s="225">
        <f t="shared" si="1"/>
        <v>0</v>
      </c>
      <c r="I12" s="225"/>
      <c r="J12" s="225"/>
      <c r="K12" s="225"/>
      <c r="L12" s="81">
        <f t="shared" si="1"/>
        <v>0</v>
      </c>
      <c r="N12" s="760"/>
      <c r="O12" s="761"/>
      <c r="P12" s="762"/>
      <c r="Q12" s="762"/>
      <c r="R12" s="763"/>
      <c r="S12" s="762"/>
      <c r="T12" s="762"/>
      <c r="U12" s="763"/>
      <c r="V12" s="762"/>
      <c r="W12" s="762"/>
    </row>
    <row r="13" spans="1:23" ht="18" hidden="1" x14ac:dyDescent="0.25">
      <c r="A13" s="10"/>
      <c r="B13" s="4" t="s">
        <v>142</v>
      </c>
      <c r="C13" s="227"/>
      <c r="D13" s="227"/>
      <c r="E13" s="144"/>
      <c r="F13" s="13"/>
      <c r="G13" s="429"/>
      <c r="H13" s="13"/>
      <c r="I13" s="13"/>
      <c r="J13" s="13"/>
      <c r="K13" s="13"/>
      <c r="L13" s="226">
        <f>SUM(F13:H13)</f>
        <v>0</v>
      </c>
      <c r="N13" s="764" t="s">
        <v>478</v>
      </c>
      <c r="O13" s="764"/>
      <c r="P13" s="764"/>
      <c r="Q13" s="765">
        <f>SUM(P12:Q12)</f>
        <v>0</v>
      </c>
      <c r="R13" s="766"/>
      <c r="S13" s="766"/>
      <c r="T13" s="767">
        <f>SUM(S12:T12)</f>
        <v>0</v>
      </c>
      <c r="U13" s="766"/>
      <c r="V13" s="766"/>
      <c r="W13" s="767">
        <f>SUM(V12:W12)</f>
        <v>0</v>
      </c>
    </row>
    <row r="14" spans="1:23" ht="18" hidden="1" x14ac:dyDescent="0.25">
      <c r="A14" s="10"/>
      <c r="B14" s="4"/>
      <c r="C14" s="75"/>
      <c r="D14" s="75"/>
      <c r="E14" s="144"/>
      <c r="F14" s="13"/>
      <c r="G14" s="429"/>
      <c r="H14" s="13"/>
      <c r="I14" s="13"/>
      <c r="J14" s="13"/>
      <c r="K14" s="13"/>
      <c r="L14" s="226">
        <f>SUM(F14:H14)</f>
        <v>0</v>
      </c>
      <c r="N14" s="668"/>
      <c r="O14" s="668"/>
      <c r="P14" s="668"/>
      <c r="Q14" s="668"/>
      <c r="R14" s="668"/>
      <c r="S14" s="668"/>
      <c r="T14" s="668"/>
      <c r="U14" s="668"/>
      <c r="V14" s="668"/>
      <c r="W14" s="668"/>
    </row>
    <row r="15" spans="1:23" ht="18" x14ac:dyDescent="0.25">
      <c r="A15" s="151" t="s">
        <v>289</v>
      </c>
      <c r="B15" s="175" t="s">
        <v>290</v>
      </c>
      <c r="C15" s="144">
        <f>SUM(C13:C14)</f>
        <v>0</v>
      </c>
      <c r="D15" s="144">
        <f t="shared" ref="D15:L15" si="2">SUM(D13:D14)</f>
        <v>0</v>
      </c>
      <c r="E15" s="225">
        <f t="shared" si="2"/>
        <v>0</v>
      </c>
      <c r="F15" s="225">
        <f t="shared" si="2"/>
        <v>0</v>
      </c>
      <c r="G15" s="144">
        <f t="shared" si="2"/>
        <v>0</v>
      </c>
      <c r="H15" s="225">
        <f t="shared" si="2"/>
        <v>0</v>
      </c>
      <c r="I15" s="225"/>
      <c r="J15" s="225"/>
      <c r="K15" s="225"/>
      <c r="L15" s="81">
        <f t="shared" si="2"/>
        <v>0</v>
      </c>
      <c r="N15" s="668"/>
      <c r="O15" s="668"/>
      <c r="P15" s="668"/>
      <c r="Q15" s="668"/>
      <c r="R15" s="668"/>
      <c r="S15" s="668"/>
      <c r="T15" s="668"/>
      <c r="U15" s="668"/>
      <c r="V15" s="668"/>
      <c r="W15" s="668"/>
    </row>
    <row r="16" spans="1:23" ht="18" hidden="1" x14ac:dyDescent="0.25">
      <c r="A16" s="10"/>
      <c r="B16" s="4" t="s">
        <v>86</v>
      </c>
      <c r="C16" s="227"/>
      <c r="D16" s="227"/>
      <c r="E16" s="144"/>
      <c r="F16" s="13"/>
      <c r="G16" s="429"/>
      <c r="H16" s="13"/>
      <c r="I16" s="13"/>
      <c r="J16" s="13"/>
      <c r="K16" s="13"/>
      <c r="L16" s="226">
        <f>SUM(F16:H16)</f>
        <v>0</v>
      </c>
      <c r="N16" s="668"/>
      <c r="O16" s="668"/>
      <c r="P16" s="668"/>
      <c r="Q16" s="668"/>
      <c r="R16" s="668"/>
      <c r="S16" s="668"/>
      <c r="T16" s="668"/>
      <c r="U16" s="668"/>
      <c r="V16" s="668"/>
      <c r="W16" s="668"/>
    </row>
    <row r="17" spans="1:23" ht="18" hidden="1" x14ac:dyDescent="0.25">
      <c r="A17" s="10"/>
      <c r="B17" s="4" t="s">
        <v>293</v>
      </c>
      <c r="C17" s="160"/>
      <c r="D17" s="160"/>
      <c r="E17" s="81"/>
      <c r="F17" s="13"/>
      <c r="G17" s="429"/>
      <c r="H17" s="13"/>
      <c r="I17" s="13"/>
      <c r="J17" s="13"/>
      <c r="K17" s="13"/>
      <c r="L17" s="226">
        <f>SUM(F17:H17)</f>
        <v>0</v>
      </c>
      <c r="N17" s="668"/>
      <c r="O17" s="668"/>
      <c r="P17" s="668"/>
      <c r="Q17" s="668"/>
      <c r="R17" s="668"/>
      <c r="S17" s="668"/>
      <c r="T17" s="668"/>
      <c r="U17" s="668"/>
      <c r="V17" s="668"/>
      <c r="W17" s="668"/>
    </row>
    <row r="18" spans="1:23" ht="18" hidden="1" x14ac:dyDescent="0.25">
      <c r="A18" s="10"/>
      <c r="B18" s="4" t="s">
        <v>304</v>
      </c>
      <c r="C18" s="160"/>
      <c r="D18" s="160"/>
      <c r="E18" s="81"/>
      <c r="F18" s="13"/>
      <c r="G18" s="429"/>
      <c r="H18" s="13"/>
      <c r="I18" s="13"/>
      <c r="J18" s="13"/>
      <c r="K18" s="13"/>
      <c r="L18" s="226">
        <f>SUM(F18:H18)</f>
        <v>0</v>
      </c>
      <c r="N18" s="668"/>
      <c r="O18" s="668"/>
      <c r="P18" s="668"/>
      <c r="Q18" s="668"/>
      <c r="R18" s="668"/>
      <c r="S18" s="668"/>
      <c r="T18" s="668"/>
      <c r="U18" s="668"/>
      <c r="V18" s="668"/>
      <c r="W18" s="668"/>
    </row>
    <row r="19" spans="1:23" ht="18" x14ac:dyDescent="0.25">
      <c r="A19" s="151" t="s">
        <v>291</v>
      </c>
      <c r="B19" s="175" t="s">
        <v>292</v>
      </c>
      <c r="C19" s="144">
        <f t="shared" ref="C19:L19" si="3">SUM(C16:C18)</f>
        <v>0</v>
      </c>
      <c r="D19" s="144">
        <f t="shared" si="3"/>
        <v>0</v>
      </c>
      <c r="E19" s="225">
        <f t="shared" si="3"/>
        <v>0</v>
      </c>
      <c r="F19" s="225">
        <f t="shared" si="3"/>
        <v>0</v>
      </c>
      <c r="G19" s="144">
        <f t="shared" si="3"/>
        <v>0</v>
      </c>
      <c r="H19" s="225">
        <f t="shared" si="3"/>
        <v>0</v>
      </c>
      <c r="I19" s="225"/>
      <c r="J19" s="225"/>
      <c r="K19" s="225"/>
      <c r="L19" s="81">
        <f t="shared" si="3"/>
        <v>0</v>
      </c>
      <c r="N19" s="668"/>
      <c r="O19" s="668"/>
      <c r="P19" s="668"/>
      <c r="Q19" s="668"/>
      <c r="R19" s="668"/>
      <c r="S19" s="668"/>
      <c r="T19" s="668"/>
      <c r="U19" s="668"/>
      <c r="V19" s="668"/>
      <c r="W19" s="668"/>
    </row>
    <row r="20" spans="1:23" ht="18" hidden="1" x14ac:dyDescent="0.25">
      <c r="A20" s="10"/>
      <c r="B20" s="42" t="s">
        <v>479</v>
      </c>
      <c r="C20" s="7"/>
      <c r="D20" s="7"/>
      <c r="E20" s="144"/>
      <c r="F20" s="13"/>
      <c r="G20" s="429"/>
      <c r="H20" s="13"/>
      <c r="I20" s="13"/>
      <c r="J20" s="13"/>
      <c r="K20" s="13"/>
      <c r="L20" s="226">
        <f t="shared" ref="L20:L25" si="4">SUM(F20:H20)</f>
        <v>0</v>
      </c>
    </row>
    <row r="21" spans="1:23" ht="18" hidden="1" x14ac:dyDescent="0.25">
      <c r="A21" s="10"/>
      <c r="B21" s="42" t="s">
        <v>485</v>
      </c>
      <c r="C21" s="7"/>
      <c r="D21" s="7"/>
      <c r="E21" s="144"/>
      <c r="F21" s="13"/>
      <c r="G21" s="429"/>
      <c r="H21" s="13"/>
      <c r="I21" s="13"/>
      <c r="J21" s="13"/>
      <c r="K21" s="13"/>
      <c r="L21" s="226">
        <f t="shared" si="4"/>
        <v>0</v>
      </c>
    </row>
    <row r="22" spans="1:23" ht="18" hidden="1" x14ac:dyDescent="0.25">
      <c r="A22" s="10"/>
      <c r="B22" s="42" t="s">
        <v>480</v>
      </c>
      <c r="C22" s="7"/>
      <c r="D22" s="7"/>
      <c r="E22" s="144"/>
      <c r="F22" s="13"/>
      <c r="G22" s="429"/>
      <c r="H22" s="13"/>
      <c r="I22" s="13"/>
      <c r="J22" s="13"/>
      <c r="K22" s="13"/>
      <c r="L22" s="226">
        <f t="shared" si="4"/>
        <v>0</v>
      </c>
    </row>
    <row r="23" spans="1:23" ht="18" hidden="1" x14ac:dyDescent="0.25">
      <c r="A23" s="10"/>
      <c r="B23" s="42" t="s">
        <v>481</v>
      </c>
      <c r="C23" s="7"/>
      <c r="D23" s="7"/>
      <c r="E23" s="144"/>
      <c r="F23" s="13"/>
      <c r="G23" s="429"/>
      <c r="H23" s="13"/>
      <c r="I23" s="13"/>
      <c r="J23" s="13"/>
      <c r="K23" s="13"/>
      <c r="L23" s="226">
        <f t="shared" si="4"/>
        <v>0</v>
      </c>
    </row>
    <row r="24" spans="1:23" ht="18" x14ac:dyDescent="0.25">
      <c r="A24" s="10" t="s">
        <v>483</v>
      </c>
      <c r="B24" s="551" t="s">
        <v>552</v>
      </c>
      <c r="C24" s="242">
        <f>SUM(C20:C23)</f>
        <v>0</v>
      </c>
      <c r="D24" s="242">
        <f>SUM(D20:D23)</f>
        <v>0</v>
      </c>
      <c r="E24" s="147">
        <f>SUM(E20:E23)</f>
        <v>0</v>
      </c>
      <c r="F24" s="469">
        <v>400000</v>
      </c>
      <c r="G24" s="432"/>
      <c r="H24" s="432"/>
      <c r="I24" s="820">
        <v>400000</v>
      </c>
      <c r="J24" s="820">
        <v>400000</v>
      </c>
      <c r="K24" s="820">
        <v>365000</v>
      </c>
      <c r="L24" s="676">
        <f t="shared" si="4"/>
        <v>400000</v>
      </c>
    </row>
    <row r="25" spans="1:23" ht="18" hidden="1" x14ac:dyDescent="0.25">
      <c r="A25" s="10" t="s">
        <v>484</v>
      </c>
      <c r="B25" s="433" t="s">
        <v>482</v>
      </c>
      <c r="C25" s="160"/>
      <c r="D25" s="160"/>
      <c r="E25" s="147"/>
      <c r="F25" s="13"/>
      <c r="G25" s="429"/>
      <c r="H25" s="13"/>
      <c r="I25" s="13"/>
      <c r="J25" s="13"/>
      <c r="K25" s="13"/>
      <c r="L25" s="229">
        <f t="shared" si="4"/>
        <v>0</v>
      </c>
    </row>
    <row r="26" spans="1:23" ht="18" x14ac:dyDescent="0.25">
      <c r="A26" s="151" t="s">
        <v>294</v>
      </c>
      <c r="B26" s="175" t="s">
        <v>295</v>
      </c>
      <c r="C26" s="144">
        <f>SUM(C24:C25)</f>
        <v>0</v>
      </c>
      <c r="D26" s="144">
        <f>SUM(D24:D25)</f>
        <v>0</v>
      </c>
      <c r="E26" s="144">
        <f>SUM(E24:E25)</f>
        <v>0</v>
      </c>
      <c r="F26" s="821">
        <f>SUM(F24:F25)</f>
        <v>400000</v>
      </c>
      <c r="G26" s="821">
        <f t="shared" ref="G26:K26" si="5">SUM(G24:G25)</f>
        <v>0</v>
      </c>
      <c r="H26" s="821">
        <f t="shared" si="5"/>
        <v>0</v>
      </c>
      <c r="I26" s="821">
        <f t="shared" si="5"/>
        <v>400000</v>
      </c>
      <c r="J26" s="821">
        <f t="shared" si="5"/>
        <v>400000</v>
      </c>
      <c r="K26" s="821">
        <f t="shared" si="5"/>
        <v>365000</v>
      </c>
      <c r="L26" s="81">
        <f>SUM(L20:L25)</f>
        <v>400000</v>
      </c>
      <c r="M26" s="74"/>
    </row>
    <row r="27" spans="1:23" ht="18" x14ac:dyDescent="0.25">
      <c r="A27" s="45"/>
      <c r="B27" s="768" t="s">
        <v>677</v>
      </c>
      <c r="C27" s="160"/>
      <c r="D27" s="160"/>
      <c r="E27" s="425"/>
      <c r="F27" s="769">
        <v>2451800</v>
      </c>
      <c r="G27" s="13"/>
      <c r="H27" s="13"/>
      <c r="I27" s="820">
        <v>2451800</v>
      </c>
      <c r="J27" s="820"/>
      <c r="K27" s="820">
        <v>2898540</v>
      </c>
      <c r="L27" s="676">
        <f t="shared" ref="L27:L35" si="6">SUM(F27:H27)</f>
        <v>2451800</v>
      </c>
      <c r="M27" s="74"/>
    </row>
    <row r="28" spans="1:23" ht="18" x14ac:dyDescent="0.25">
      <c r="A28" s="10"/>
      <c r="B28" s="5" t="s">
        <v>553</v>
      </c>
      <c r="C28" s="7"/>
      <c r="D28" s="7"/>
      <c r="E28" s="152"/>
      <c r="F28" s="769">
        <v>1000000</v>
      </c>
      <c r="G28" s="429"/>
      <c r="H28" s="13"/>
      <c r="I28" s="820">
        <v>1000000</v>
      </c>
      <c r="J28" s="820"/>
      <c r="K28" s="820">
        <v>1070000</v>
      </c>
      <c r="L28" s="226">
        <f t="shared" si="6"/>
        <v>1000000</v>
      </c>
      <c r="M28" s="74"/>
    </row>
    <row r="29" spans="1:23" ht="18.75" thickBot="1" x14ac:dyDescent="0.3">
      <c r="A29" s="10"/>
      <c r="B29" s="4" t="s">
        <v>678</v>
      </c>
      <c r="C29" s="7"/>
      <c r="D29" s="7"/>
      <c r="E29" s="152"/>
      <c r="F29" s="769">
        <v>200000</v>
      </c>
      <c r="G29" s="429"/>
      <c r="H29" s="13"/>
      <c r="I29" s="820">
        <v>200000</v>
      </c>
      <c r="J29" s="820"/>
      <c r="K29" s="820">
        <v>40000</v>
      </c>
      <c r="L29" s="226">
        <f t="shared" si="6"/>
        <v>200000</v>
      </c>
      <c r="M29" s="74"/>
    </row>
    <row r="30" spans="1:23" ht="37.5" customHeight="1" thickBot="1" x14ac:dyDescent="0.3">
      <c r="A30" s="10"/>
      <c r="B30" s="948" t="s">
        <v>0</v>
      </c>
      <c r="C30" s="949"/>
      <c r="D30" s="949"/>
      <c r="E30" s="950"/>
      <c r="F30" s="769">
        <v>685000</v>
      </c>
      <c r="G30" s="430"/>
      <c r="H30" s="176"/>
      <c r="I30" s="822">
        <v>685000</v>
      </c>
      <c r="J30" s="822"/>
      <c r="K30" s="822">
        <v>789980</v>
      </c>
      <c r="L30" s="226">
        <f t="shared" si="6"/>
        <v>685000</v>
      </c>
      <c r="M30" s="74"/>
    </row>
    <row r="31" spans="1:23" ht="18" x14ac:dyDescent="0.25">
      <c r="A31" s="10"/>
      <c r="B31" s="43"/>
      <c r="C31" s="7"/>
      <c r="D31" s="7"/>
      <c r="E31" s="152"/>
      <c r="F31" s="552"/>
      <c r="G31" s="430"/>
      <c r="H31" s="176"/>
      <c r="I31" s="176"/>
      <c r="J31" s="176"/>
      <c r="K31" s="176"/>
      <c r="L31" s="226">
        <f t="shared" si="6"/>
        <v>0</v>
      </c>
      <c r="M31" s="74"/>
    </row>
    <row r="32" spans="1:23" ht="18" x14ac:dyDescent="0.25">
      <c r="A32" s="10"/>
      <c r="B32" s="553"/>
      <c r="C32" s="7"/>
      <c r="D32" s="7"/>
      <c r="E32" s="152"/>
      <c r="F32" s="556"/>
      <c r="G32" s="430"/>
      <c r="H32" s="176"/>
      <c r="I32" s="176"/>
      <c r="J32" s="176"/>
      <c r="K32" s="176"/>
      <c r="L32" s="226">
        <f t="shared" si="6"/>
        <v>0</v>
      </c>
      <c r="M32" s="74"/>
    </row>
    <row r="33" spans="1:13" ht="18" x14ac:dyDescent="0.25">
      <c r="A33" s="10"/>
      <c r="B33" s="43"/>
      <c r="C33" s="7"/>
      <c r="D33" s="7"/>
      <c r="E33" s="152"/>
      <c r="F33" s="552"/>
      <c r="G33" s="430"/>
      <c r="H33" s="176"/>
      <c r="I33" s="176"/>
      <c r="J33" s="176"/>
      <c r="K33" s="176"/>
      <c r="L33" s="226">
        <f t="shared" si="6"/>
        <v>0</v>
      </c>
      <c r="M33" s="74"/>
    </row>
    <row r="34" spans="1:13" ht="18" x14ac:dyDescent="0.25">
      <c r="A34" s="10"/>
      <c r="B34" s="43"/>
      <c r="C34" s="7"/>
      <c r="D34" s="7"/>
      <c r="E34" s="152"/>
      <c r="F34" s="552"/>
      <c r="G34" s="430"/>
      <c r="H34" s="176"/>
      <c r="I34" s="176"/>
      <c r="J34" s="176"/>
      <c r="K34" s="176"/>
      <c r="L34" s="226">
        <f t="shared" si="6"/>
        <v>0</v>
      </c>
      <c r="M34" s="74"/>
    </row>
    <row r="35" spans="1:13" ht="18" x14ac:dyDescent="0.25">
      <c r="A35" s="10"/>
      <c r="B35" s="43"/>
      <c r="C35" s="7"/>
      <c r="D35" s="7"/>
      <c r="E35" s="152"/>
      <c r="F35" s="556"/>
      <c r="G35" s="430"/>
      <c r="H35" s="176"/>
      <c r="I35" s="176"/>
      <c r="J35" s="176"/>
      <c r="K35" s="176"/>
      <c r="L35" s="226">
        <f t="shared" si="6"/>
        <v>0</v>
      </c>
      <c r="M35" s="74"/>
    </row>
    <row r="36" spans="1:13" ht="15" x14ac:dyDescent="0.2">
      <c r="A36" s="45"/>
      <c r="B36" s="434"/>
      <c r="C36" s="160">
        <f>SUM(C28:C35)</f>
        <v>0</v>
      </c>
      <c r="D36" s="160">
        <f>SUM(D28:D35)</f>
        <v>0</v>
      </c>
      <c r="E36" s="147">
        <f>SUM(E28:E35)</f>
        <v>0</v>
      </c>
      <c r="F36" s="7"/>
      <c r="G36" s="160">
        <f>SUM(G28:G35)</f>
        <v>0</v>
      </c>
      <c r="H36" s="160">
        <f>SUM(H28:H35)</f>
        <v>0</v>
      </c>
      <c r="I36" s="160"/>
      <c r="J36" s="160"/>
      <c r="K36" s="160"/>
      <c r="L36" s="144"/>
      <c r="M36" s="74"/>
    </row>
    <row r="37" spans="1:13" ht="18" x14ac:dyDescent="0.25">
      <c r="A37" s="151" t="s">
        <v>296</v>
      </c>
      <c r="B37" s="175" t="s">
        <v>297</v>
      </c>
      <c r="C37" s="147">
        <f t="shared" ref="C37:E37" si="7">SUM(C27,C36)</f>
        <v>0</v>
      </c>
      <c r="D37" s="147">
        <f t="shared" si="7"/>
        <v>0</v>
      </c>
      <c r="E37" s="144">
        <f t="shared" si="7"/>
        <v>0</v>
      </c>
      <c r="F37" s="147">
        <f>F27+F28+F29+F30</f>
        <v>4336800</v>
      </c>
      <c r="G37" s="147">
        <f t="shared" ref="G37:I37" si="8">G27+G28+G29+G30</f>
        <v>0</v>
      </c>
      <c r="H37" s="147">
        <f t="shared" si="8"/>
        <v>0</v>
      </c>
      <c r="I37" s="147">
        <f t="shared" si="8"/>
        <v>4336800</v>
      </c>
      <c r="J37" s="147">
        <v>6722521</v>
      </c>
      <c r="K37" s="147">
        <f>K27+K28+K29+K30</f>
        <v>4798520</v>
      </c>
      <c r="L37" s="81">
        <f>L27+L28+L29+L30+L31+L32+L33+L34+L35+L36</f>
        <v>4336800</v>
      </c>
      <c r="M37" s="74"/>
    </row>
    <row r="38" spans="1:13" ht="18" x14ac:dyDescent="0.25">
      <c r="A38" s="214" t="s">
        <v>267</v>
      </c>
      <c r="B38" s="214" t="s">
        <v>299</v>
      </c>
      <c r="C38" s="86">
        <f t="shared" ref="C38:L38" si="9">SUM(C9,C12,C15,C19,C26,C37)</f>
        <v>0</v>
      </c>
      <c r="D38" s="86">
        <f t="shared" si="9"/>
        <v>0</v>
      </c>
      <c r="E38" s="443">
        <f t="shared" si="9"/>
        <v>0</v>
      </c>
      <c r="F38" s="199">
        <f t="shared" si="9"/>
        <v>4736800</v>
      </c>
      <c r="G38" s="199">
        <f t="shared" si="9"/>
        <v>0</v>
      </c>
      <c r="H38" s="199">
        <f t="shared" si="9"/>
        <v>0</v>
      </c>
      <c r="I38" s="199">
        <f t="shared" si="9"/>
        <v>4736800</v>
      </c>
      <c r="J38" s="199">
        <f>SUM(J9,J12,J15,J19,J26,J37)</f>
        <v>7236521</v>
      </c>
      <c r="K38" s="199">
        <f t="shared" si="9"/>
        <v>5277520</v>
      </c>
      <c r="L38" s="239">
        <f t="shared" si="9"/>
        <v>4736800</v>
      </c>
      <c r="M38" s="140">
        <f>SUM(M7:M37)</f>
        <v>0</v>
      </c>
    </row>
    <row r="39" spans="1:13" x14ac:dyDescent="0.2">
      <c r="H39" s="96">
        <f>SUM(G38:H38)</f>
        <v>0</v>
      </c>
      <c r="I39" s="96"/>
      <c r="J39" s="96"/>
      <c r="K39" s="96"/>
      <c r="M39" s="74"/>
    </row>
    <row r="40" spans="1:13" x14ac:dyDescent="0.2">
      <c r="M40" s="74"/>
    </row>
  </sheetData>
  <mergeCells count="20">
    <mergeCell ref="U4:W4"/>
    <mergeCell ref="U5:U6"/>
    <mergeCell ref="V5:W5"/>
    <mergeCell ref="O4:Q4"/>
    <mergeCell ref="R4:T4"/>
    <mergeCell ref="P5:Q5"/>
    <mergeCell ref="R5:R6"/>
    <mergeCell ref="B30:E30"/>
    <mergeCell ref="M3:M4"/>
    <mergeCell ref="S5:T5"/>
    <mergeCell ref="O5:O6"/>
    <mergeCell ref="A3:A6"/>
    <mergeCell ref="G5:G6"/>
    <mergeCell ref="F4:F6"/>
    <mergeCell ref="E4:E6"/>
    <mergeCell ref="C3:E3"/>
    <mergeCell ref="G4:H4"/>
    <mergeCell ref="C4:D5"/>
    <mergeCell ref="L4:L6"/>
    <mergeCell ref="H5:H6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>
    <oddHeader>&amp;L&amp;"Times,Félkövér"&amp;14Levél Község 
 Önkormányzata&amp;C&amp;"Times,Félkövér"&amp;14Szociális juttatások 
2018. évi 
&amp;R&amp;"Times,Normál"&amp;12 8. melléklet
Adatok:  Ft-ban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>
    <tabColor rgb="FFFF0000"/>
  </sheetPr>
  <dimension ref="A1:AX212"/>
  <sheetViews>
    <sheetView view="pageLayout" zoomScaleNormal="75" workbookViewId="0">
      <selection activeCell="B3" sqref="B3"/>
    </sheetView>
  </sheetViews>
  <sheetFormatPr defaultColWidth="9.140625" defaultRowHeight="12.75" x14ac:dyDescent="0.2"/>
  <cols>
    <col min="1" max="1" width="5.85546875" style="570" customWidth="1"/>
    <col min="2" max="2" width="59.140625" style="570" customWidth="1"/>
    <col min="3" max="3" width="15.140625" style="570" hidden="1" customWidth="1"/>
    <col min="4" max="4" width="13.5703125" style="570" hidden="1" customWidth="1"/>
    <col min="5" max="5" width="14.140625" style="570" hidden="1" customWidth="1"/>
    <col min="6" max="9" width="22.28515625" style="570" customWidth="1"/>
    <col min="10" max="10" width="15.5703125" style="712" customWidth="1"/>
    <col min="11" max="11" width="11.7109375" style="705" customWidth="1"/>
    <col min="12" max="12" width="18.5703125" style="705" customWidth="1"/>
    <col min="13" max="13" width="15.7109375" style="714" customWidth="1"/>
    <col min="14" max="14" width="17.7109375" style="570" customWidth="1"/>
    <col min="15" max="15" width="14.42578125" style="570" customWidth="1"/>
    <col min="16" max="16" width="13.85546875" style="570" customWidth="1"/>
    <col min="17" max="17" width="19.5703125" style="570" customWidth="1"/>
    <col min="18" max="18" width="16.28515625" style="570" customWidth="1"/>
    <col min="19" max="19" width="15" style="570" customWidth="1"/>
    <col min="20" max="20" width="16.5703125" style="570" customWidth="1"/>
    <col min="21" max="21" width="14.28515625" style="570" customWidth="1"/>
    <col min="22" max="22" width="13.7109375" style="570" customWidth="1"/>
    <col min="23" max="23" width="16.28515625" style="570" customWidth="1"/>
    <col min="24" max="24" width="14.85546875" style="570" customWidth="1"/>
    <col min="25" max="25" width="16.28515625" style="570" customWidth="1"/>
    <col min="26" max="26" width="14.28515625" style="570" customWidth="1"/>
    <col min="27" max="27" width="14.5703125" style="570" customWidth="1"/>
    <col min="28" max="38" width="15.7109375" style="570" customWidth="1"/>
    <col min="39" max="47" width="16" style="570" customWidth="1"/>
    <col min="48" max="48" width="17.5703125" style="570" customWidth="1"/>
    <col min="49" max="49" width="14.7109375" style="570" bestFit="1" customWidth="1"/>
    <col min="50" max="16384" width="9.140625" style="570"/>
  </cols>
  <sheetData>
    <row r="1" spans="1:48" s="559" customFormat="1" ht="20.25" customHeight="1" x14ac:dyDescent="0.3">
      <c r="A1" s="971" t="s">
        <v>288</v>
      </c>
      <c r="B1" s="188"/>
      <c r="C1" s="974" t="s">
        <v>53</v>
      </c>
      <c r="D1" s="974"/>
      <c r="E1" s="974"/>
      <c r="F1" s="558"/>
      <c r="G1" s="558"/>
      <c r="H1" s="558"/>
      <c r="I1" s="558"/>
      <c r="J1" s="706" t="s">
        <v>133</v>
      </c>
      <c r="K1" s="716"/>
      <c r="L1" s="716"/>
      <c r="M1" s="976" t="s">
        <v>52</v>
      </c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  <c r="AB1" s="976"/>
      <c r="AC1" s="976"/>
      <c r="AD1" s="976"/>
      <c r="AE1" s="976"/>
      <c r="AF1" s="976"/>
      <c r="AG1" s="976"/>
      <c r="AH1" s="976"/>
      <c r="AI1" s="976"/>
      <c r="AJ1" s="976"/>
      <c r="AK1" s="976"/>
      <c r="AL1" s="976"/>
      <c r="AM1" s="976"/>
      <c r="AN1" s="976"/>
      <c r="AO1" s="976"/>
      <c r="AP1" s="976"/>
      <c r="AQ1" s="976"/>
      <c r="AR1" s="976"/>
      <c r="AS1" s="976"/>
      <c r="AT1" s="976"/>
      <c r="AU1" s="976"/>
      <c r="AV1" s="976"/>
    </row>
    <row r="2" spans="1:48" s="559" customFormat="1" ht="20.25" customHeight="1" x14ac:dyDescent="0.3">
      <c r="A2" s="972"/>
      <c r="B2" s="189" t="s">
        <v>397</v>
      </c>
      <c r="C2" s="974"/>
      <c r="D2" s="974"/>
      <c r="E2" s="974"/>
      <c r="F2" s="778" t="s">
        <v>728</v>
      </c>
      <c r="G2" s="799" t="s">
        <v>726</v>
      </c>
      <c r="H2" s="854" t="s">
        <v>755</v>
      </c>
      <c r="I2" s="799" t="s">
        <v>726</v>
      </c>
      <c r="J2" s="707" t="s">
        <v>136</v>
      </c>
      <c r="K2" s="684"/>
      <c r="L2" s="684"/>
      <c r="M2" s="966" t="s">
        <v>555</v>
      </c>
      <c r="N2" s="966" t="s">
        <v>556</v>
      </c>
      <c r="O2" s="966" t="s">
        <v>557</v>
      </c>
      <c r="P2" s="966" t="s">
        <v>558</v>
      </c>
      <c r="Q2" s="1000" t="s">
        <v>559</v>
      </c>
      <c r="R2" s="1000" t="s">
        <v>560</v>
      </c>
      <c r="S2" s="966" t="s">
        <v>561</v>
      </c>
      <c r="T2" s="966" t="s">
        <v>562</v>
      </c>
      <c r="U2" s="966" t="s">
        <v>567</v>
      </c>
      <c r="V2" s="966" t="s">
        <v>569</v>
      </c>
      <c r="W2" s="966" t="s">
        <v>601</v>
      </c>
      <c r="X2" s="966" t="s">
        <v>656</v>
      </c>
      <c r="Y2" s="966" t="s">
        <v>602</v>
      </c>
      <c r="Z2" s="966" t="s">
        <v>571</v>
      </c>
      <c r="AA2" s="966" t="s">
        <v>572</v>
      </c>
      <c r="AB2" s="966" t="s">
        <v>573</v>
      </c>
      <c r="AC2" s="966" t="s">
        <v>576</v>
      </c>
      <c r="AD2" s="966" t="s">
        <v>577</v>
      </c>
      <c r="AE2" s="966" t="s">
        <v>579</v>
      </c>
      <c r="AF2" s="966" t="s">
        <v>603</v>
      </c>
      <c r="AG2" s="966" t="s">
        <v>604</v>
      </c>
      <c r="AH2" s="966" t="s">
        <v>580</v>
      </c>
      <c r="AI2" s="966" t="s">
        <v>581</v>
      </c>
      <c r="AJ2" s="966" t="s">
        <v>582</v>
      </c>
      <c r="AK2" s="966" t="s">
        <v>583</v>
      </c>
      <c r="AL2" s="966" t="s">
        <v>584</v>
      </c>
      <c r="AM2" s="966" t="s">
        <v>586</v>
      </c>
      <c r="AN2" s="966" t="s">
        <v>539</v>
      </c>
      <c r="AO2" s="966" t="s">
        <v>587</v>
      </c>
      <c r="AP2" s="966" t="s">
        <v>605</v>
      </c>
      <c r="AQ2" s="966" t="s">
        <v>679</v>
      </c>
      <c r="AR2" s="966" t="s">
        <v>661</v>
      </c>
      <c r="AS2" s="966" t="s">
        <v>588</v>
      </c>
      <c r="AT2" s="966" t="s">
        <v>591</v>
      </c>
      <c r="AU2" s="966" t="s">
        <v>658</v>
      </c>
      <c r="AV2" s="977" t="s">
        <v>66</v>
      </c>
    </row>
    <row r="3" spans="1:48" s="559" customFormat="1" ht="20.25" x14ac:dyDescent="0.3">
      <c r="A3" s="972"/>
      <c r="B3" s="189"/>
      <c r="C3" s="975" t="s">
        <v>264</v>
      </c>
      <c r="D3" s="975"/>
      <c r="E3" s="975" t="s">
        <v>73</v>
      </c>
      <c r="F3" s="560" t="s">
        <v>74</v>
      </c>
      <c r="G3" s="799" t="s">
        <v>735</v>
      </c>
      <c r="H3" s="854" t="s">
        <v>756</v>
      </c>
      <c r="I3" s="799" t="s">
        <v>736</v>
      </c>
      <c r="J3" s="707" t="s">
        <v>137</v>
      </c>
      <c r="K3" s="684"/>
      <c r="L3" s="684"/>
      <c r="M3" s="979"/>
      <c r="N3" s="979"/>
      <c r="O3" s="979"/>
      <c r="P3" s="979"/>
      <c r="Q3" s="1000"/>
      <c r="R3" s="1000"/>
      <c r="S3" s="979"/>
      <c r="T3" s="967"/>
      <c r="U3" s="967"/>
      <c r="V3" s="967"/>
      <c r="W3" s="969"/>
      <c r="X3" s="969"/>
      <c r="Y3" s="969"/>
      <c r="Z3" s="967"/>
      <c r="AA3" s="967"/>
      <c r="AB3" s="967"/>
      <c r="AC3" s="967"/>
      <c r="AD3" s="967"/>
      <c r="AE3" s="967"/>
      <c r="AF3" s="969"/>
      <c r="AG3" s="969"/>
      <c r="AH3" s="967"/>
      <c r="AI3" s="967"/>
      <c r="AJ3" s="967"/>
      <c r="AK3" s="967"/>
      <c r="AL3" s="967"/>
      <c r="AM3" s="967"/>
      <c r="AN3" s="967"/>
      <c r="AO3" s="967"/>
      <c r="AP3" s="969"/>
      <c r="AQ3" s="969"/>
      <c r="AR3" s="967"/>
      <c r="AS3" s="967"/>
      <c r="AT3" s="967"/>
      <c r="AU3" s="969"/>
      <c r="AV3" s="977"/>
    </row>
    <row r="4" spans="1:48" s="559" customFormat="1" ht="54.75" customHeight="1" x14ac:dyDescent="0.3">
      <c r="A4" s="973"/>
      <c r="B4" s="190"/>
      <c r="C4" s="562" t="s">
        <v>300</v>
      </c>
      <c r="D4" s="561" t="s">
        <v>301</v>
      </c>
      <c r="E4" s="975"/>
      <c r="F4" s="563"/>
      <c r="G4" s="563"/>
      <c r="H4" s="563"/>
      <c r="I4" s="563"/>
      <c r="J4" s="707" t="s">
        <v>138</v>
      </c>
      <c r="K4" s="684"/>
      <c r="L4" s="684"/>
      <c r="M4" s="980"/>
      <c r="N4" s="980"/>
      <c r="O4" s="980"/>
      <c r="P4" s="980"/>
      <c r="Q4" s="1000"/>
      <c r="R4" s="1000"/>
      <c r="S4" s="980"/>
      <c r="T4" s="968"/>
      <c r="U4" s="968"/>
      <c r="V4" s="968"/>
      <c r="W4" s="970"/>
      <c r="X4" s="970"/>
      <c r="Y4" s="970"/>
      <c r="Z4" s="968"/>
      <c r="AA4" s="968"/>
      <c r="AB4" s="968"/>
      <c r="AC4" s="968"/>
      <c r="AD4" s="968"/>
      <c r="AE4" s="968"/>
      <c r="AF4" s="970"/>
      <c r="AG4" s="970"/>
      <c r="AH4" s="968"/>
      <c r="AI4" s="968"/>
      <c r="AJ4" s="968"/>
      <c r="AK4" s="968"/>
      <c r="AL4" s="968"/>
      <c r="AM4" s="968"/>
      <c r="AN4" s="968"/>
      <c r="AO4" s="968"/>
      <c r="AP4" s="970"/>
      <c r="AQ4" s="970"/>
      <c r="AR4" s="968"/>
      <c r="AS4" s="968"/>
      <c r="AT4" s="968"/>
      <c r="AU4" s="970"/>
      <c r="AV4" s="977"/>
    </row>
    <row r="5" spans="1:48" s="559" customFormat="1" ht="18" x14ac:dyDescent="0.25">
      <c r="A5" s="1" t="s">
        <v>143</v>
      </c>
      <c r="B5" s="83" t="s">
        <v>144</v>
      </c>
      <c r="C5" s="363"/>
      <c r="D5" s="364"/>
      <c r="E5" s="564"/>
      <c r="F5" s="365">
        <f>AV5</f>
        <v>20483114</v>
      </c>
      <c r="G5" s="365">
        <v>20483114</v>
      </c>
      <c r="H5" s="365">
        <v>25556620</v>
      </c>
      <c r="I5" s="365">
        <v>25460962</v>
      </c>
      <c r="J5" s="564"/>
      <c r="K5" s="685"/>
      <c r="L5" s="685"/>
      <c r="M5" s="565"/>
      <c r="N5" s="565"/>
      <c r="O5" s="565"/>
      <c r="P5" s="565"/>
      <c r="Q5" s="565"/>
      <c r="R5" s="565"/>
      <c r="S5" s="565"/>
      <c r="T5" s="781">
        <v>4950290</v>
      </c>
      <c r="U5" s="565"/>
      <c r="V5" s="565"/>
      <c r="W5" s="565"/>
      <c r="X5" s="565"/>
      <c r="Y5" s="565"/>
      <c r="Z5" s="565"/>
      <c r="AA5" s="565"/>
      <c r="AB5" s="781">
        <v>3342295</v>
      </c>
      <c r="AC5" s="565"/>
      <c r="AD5" s="781">
        <v>1922596</v>
      </c>
      <c r="AE5" s="565"/>
      <c r="AF5" s="565"/>
      <c r="AG5" s="565"/>
      <c r="AH5" s="565">
        <v>536475</v>
      </c>
      <c r="AI5" s="565"/>
      <c r="AJ5" s="565"/>
      <c r="AK5" s="565"/>
      <c r="AL5" s="565"/>
      <c r="AM5" s="565"/>
      <c r="AN5" s="565"/>
      <c r="AO5" s="565"/>
      <c r="AP5" s="565"/>
      <c r="AQ5" s="565"/>
      <c r="AR5" s="565"/>
      <c r="AS5" s="781">
        <v>8661115</v>
      </c>
      <c r="AT5" s="781">
        <v>1070343</v>
      </c>
      <c r="AU5" s="565"/>
      <c r="AV5" s="465">
        <f t="shared" ref="AV5:AV10" si="0">SUM(M5:AT5)</f>
        <v>20483114</v>
      </c>
    </row>
    <row r="6" spans="1:48" s="559" customFormat="1" ht="18" x14ac:dyDescent="0.25">
      <c r="A6" s="1" t="s">
        <v>143</v>
      </c>
      <c r="B6" s="83" t="s">
        <v>574</v>
      </c>
      <c r="C6" s="363"/>
      <c r="D6" s="364"/>
      <c r="E6" s="564"/>
      <c r="F6" s="365">
        <f t="shared" ref="F6:F61" si="1">AV6</f>
        <v>0</v>
      </c>
      <c r="G6" s="365"/>
      <c r="H6" s="365"/>
      <c r="I6" s="365"/>
      <c r="J6" s="564"/>
      <c r="K6" s="685"/>
      <c r="L6" s="685"/>
      <c r="M6" s="565"/>
      <c r="N6" s="565"/>
      <c r="O6" s="565"/>
      <c r="P6" s="565"/>
      <c r="Q6" s="565"/>
      <c r="R6" s="565"/>
      <c r="S6" s="565"/>
      <c r="T6" s="565"/>
      <c r="U6" s="565"/>
      <c r="V6" s="565"/>
      <c r="W6" s="565"/>
      <c r="X6" s="565"/>
      <c r="Y6" s="565"/>
      <c r="Z6" s="565"/>
      <c r="AA6" s="565"/>
      <c r="AB6" s="781"/>
      <c r="AC6" s="565"/>
      <c r="AD6" s="565"/>
      <c r="AE6" s="565"/>
      <c r="AF6" s="565"/>
      <c r="AG6" s="565"/>
      <c r="AH6" s="565"/>
      <c r="AI6" s="565"/>
      <c r="AJ6" s="565"/>
      <c r="AK6" s="565"/>
      <c r="AL6" s="565"/>
      <c r="AM6" s="565"/>
      <c r="AN6" s="565"/>
      <c r="AO6" s="565"/>
      <c r="AP6" s="565"/>
      <c r="AQ6" s="565"/>
      <c r="AR6" s="565"/>
      <c r="AS6" s="781"/>
      <c r="AT6" s="781"/>
      <c r="AU6" s="565"/>
      <c r="AV6" s="465">
        <f t="shared" si="0"/>
        <v>0</v>
      </c>
    </row>
    <row r="7" spans="1:48" s="559" customFormat="1" ht="18" x14ac:dyDescent="0.25">
      <c r="A7" s="1" t="s">
        <v>145</v>
      </c>
      <c r="B7" s="83" t="s">
        <v>146</v>
      </c>
      <c r="C7" s="363"/>
      <c r="D7" s="364"/>
      <c r="E7" s="564"/>
      <c r="F7" s="365">
        <f t="shared" si="1"/>
        <v>1612540</v>
      </c>
      <c r="G7" s="365">
        <v>1703966</v>
      </c>
      <c r="H7" s="365">
        <v>3004578</v>
      </c>
      <c r="I7" s="365">
        <v>2381130</v>
      </c>
      <c r="J7" s="564"/>
      <c r="K7" s="685"/>
      <c r="L7" s="685"/>
      <c r="M7" s="565"/>
      <c r="N7" s="565"/>
      <c r="O7" s="565"/>
      <c r="P7" s="565"/>
      <c r="Q7" s="565"/>
      <c r="R7" s="565"/>
      <c r="S7" s="565"/>
      <c r="T7" s="781">
        <v>388440</v>
      </c>
      <c r="U7" s="565"/>
      <c r="V7" s="565"/>
      <c r="W7" s="565"/>
      <c r="X7" s="565"/>
      <c r="Y7" s="565"/>
      <c r="Z7" s="565"/>
      <c r="AA7" s="565"/>
      <c r="AB7" s="781">
        <v>285240</v>
      </c>
      <c r="AC7" s="565"/>
      <c r="AD7" s="781">
        <v>164565</v>
      </c>
      <c r="AE7" s="565"/>
      <c r="AF7" s="565"/>
      <c r="AG7" s="565"/>
      <c r="AH7" s="565">
        <v>45125</v>
      </c>
      <c r="AI7" s="565"/>
      <c r="AJ7" s="565"/>
      <c r="AK7" s="565"/>
      <c r="AL7" s="565"/>
      <c r="AM7" s="565"/>
      <c r="AN7" s="565"/>
      <c r="AO7" s="565"/>
      <c r="AP7" s="565"/>
      <c r="AQ7" s="565"/>
      <c r="AR7" s="565"/>
      <c r="AS7" s="781">
        <v>729170</v>
      </c>
      <c r="AT7" s="781"/>
      <c r="AU7" s="565"/>
      <c r="AV7" s="465">
        <f t="shared" si="0"/>
        <v>1612540</v>
      </c>
    </row>
    <row r="8" spans="1:48" s="559" customFormat="1" ht="18" x14ac:dyDescent="0.25">
      <c r="A8" s="1" t="s">
        <v>145</v>
      </c>
      <c r="B8" s="83" t="s">
        <v>575</v>
      </c>
      <c r="C8" s="363"/>
      <c r="D8" s="364"/>
      <c r="E8" s="564"/>
      <c r="F8" s="365">
        <f t="shared" si="1"/>
        <v>91426</v>
      </c>
      <c r="G8" s="365">
        <v>0</v>
      </c>
      <c r="H8" s="365"/>
      <c r="I8" s="365">
        <v>0</v>
      </c>
      <c r="J8" s="564"/>
      <c r="K8" s="685"/>
      <c r="L8" s="685"/>
      <c r="M8" s="565"/>
      <c r="N8" s="565"/>
      <c r="O8" s="565"/>
      <c r="P8" s="565"/>
      <c r="Q8" s="565"/>
      <c r="R8" s="565"/>
      <c r="S8" s="565"/>
      <c r="T8" s="781"/>
      <c r="U8" s="565"/>
      <c r="V8" s="565"/>
      <c r="W8" s="565"/>
      <c r="X8" s="565"/>
      <c r="Y8" s="565"/>
      <c r="Z8" s="565"/>
      <c r="AA8" s="565"/>
      <c r="AB8" s="565">
        <v>0</v>
      </c>
      <c r="AC8" s="565"/>
      <c r="AD8" s="565"/>
      <c r="AE8" s="565"/>
      <c r="AF8" s="565"/>
      <c r="AG8" s="565"/>
      <c r="AH8" s="565"/>
      <c r="AI8" s="565"/>
      <c r="AJ8" s="565"/>
      <c r="AK8" s="565"/>
      <c r="AL8" s="565"/>
      <c r="AM8" s="565"/>
      <c r="AN8" s="565"/>
      <c r="AO8" s="565"/>
      <c r="AP8" s="565"/>
      <c r="AQ8" s="565"/>
      <c r="AR8" s="565"/>
      <c r="AS8" s="781">
        <v>0</v>
      </c>
      <c r="AT8" s="781">
        <v>91426</v>
      </c>
      <c r="AU8" s="565"/>
      <c r="AV8" s="465">
        <f t="shared" si="0"/>
        <v>91426</v>
      </c>
    </row>
    <row r="9" spans="1:48" s="559" customFormat="1" ht="18" x14ac:dyDescent="0.25">
      <c r="A9" s="1" t="s">
        <v>147</v>
      </c>
      <c r="B9" s="83" t="s">
        <v>148</v>
      </c>
      <c r="C9" s="363"/>
      <c r="D9" s="364"/>
      <c r="E9" s="564"/>
      <c r="F9" s="365">
        <f t="shared" si="1"/>
        <v>0</v>
      </c>
      <c r="G9" s="365"/>
      <c r="H9" s="365"/>
      <c r="I9" s="365"/>
      <c r="J9" s="564"/>
      <c r="K9" s="685"/>
      <c r="L9" s="685"/>
      <c r="M9" s="565"/>
      <c r="N9" s="565"/>
      <c r="O9" s="565"/>
      <c r="P9" s="565"/>
      <c r="Q9" s="565"/>
      <c r="R9" s="565"/>
      <c r="S9" s="565"/>
      <c r="T9" s="781"/>
      <c r="U9" s="565"/>
      <c r="V9" s="565"/>
      <c r="W9" s="565"/>
      <c r="X9" s="565"/>
      <c r="Y9" s="565"/>
      <c r="Z9" s="565"/>
      <c r="AA9" s="565"/>
      <c r="AB9" s="566"/>
      <c r="AC9" s="566"/>
      <c r="AD9" s="566"/>
      <c r="AE9" s="566"/>
      <c r="AF9" s="566"/>
      <c r="AG9" s="566"/>
      <c r="AH9" s="566"/>
      <c r="AI9" s="566"/>
      <c r="AJ9" s="566"/>
      <c r="AK9" s="566"/>
      <c r="AL9" s="566"/>
      <c r="AM9" s="70"/>
      <c r="AN9" s="70"/>
      <c r="AO9" s="70"/>
      <c r="AP9" s="70"/>
      <c r="AQ9" s="70"/>
      <c r="AR9" s="70"/>
      <c r="AS9" s="781"/>
      <c r="AT9" s="781"/>
      <c r="AU9" s="70"/>
      <c r="AV9" s="465">
        <f t="shared" si="0"/>
        <v>0</v>
      </c>
    </row>
    <row r="10" spans="1:48" s="559" customFormat="1" ht="18" x14ac:dyDescent="0.25">
      <c r="A10" s="1" t="s">
        <v>149</v>
      </c>
      <c r="B10" s="83" t="s">
        <v>150</v>
      </c>
      <c r="C10" s="363"/>
      <c r="D10" s="364"/>
      <c r="E10" s="564"/>
      <c r="F10" s="365">
        <f t="shared" si="1"/>
        <v>0</v>
      </c>
      <c r="G10" s="365"/>
      <c r="H10" s="365"/>
      <c r="I10" s="365"/>
      <c r="J10" s="564"/>
      <c r="K10" s="685"/>
      <c r="L10" s="685"/>
      <c r="M10" s="565"/>
      <c r="N10" s="565"/>
      <c r="O10" s="565"/>
      <c r="P10" s="565"/>
      <c r="Q10" s="565"/>
      <c r="R10" s="565"/>
      <c r="S10" s="565"/>
      <c r="T10" s="781"/>
      <c r="U10" s="565"/>
      <c r="V10" s="565"/>
      <c r="W10" s="565"/>
      <c r="X10" s="565"/>
      <c r="Y10" s="565"/>
      <c r="Z10" s="565"/>
      <c r="AA10" s="565"/>
      <c r="AB10" s="565"/>
      <c r="AC10" s="565"/>
      <c r="AD10" s="565"/>
      <c r="AE10" s="565"/>
      <c r="AF10" s="565"/>
      <c r="AG10" s="565"/>
      <c r="AH10" s="565"/>
      <c r="AI10" s="565"/>
      <c r="AJ10" s="565"/>
      <c r="AK10" s="565"/>
      <c r="AL10" s="565"/>
      <c r="AM10" s="565"/>
      <c r="AN10" s="565"/>
      <c r="AO10" s="565"/>
      <c r="AP10" s="565"/>
      <c r="AQ10" s="565"/>
      <c r="AR10" s="565"/>
      <c r="AS10" s="781"/>
      <c r="AT10" s="781"/>
      <c r="AU10" s="565"/>
      <c r="AV10" s="465">
        <f t="shared" si="0"/>
        <v>0</v>
      </c>
    </row>
    <row r="11" spans="1:48" s="559" customFormat="1" ht="18" x14ac:dyDescent="0.25">
      <c r="A11" s="1" t="s">
        <v>151</v>
      </c>
      <c r="B11" s="83" t="s">
        <v>152</v>
      </c>
      <c r="C11" s="363"/>
      <c r="D11" s="364"/>
      <c r="E11" s="564"/>
      <c r="F11" s="365">
        <f t="shared" si="1"/>
        <v>0</v>
      </c>
      <c r="G11" s="365"/>
      <c r="H11" s="365">
        <v>2201725</v>
      </c>
      <c r="I11" s="365">
        <v>2201725</v>
      </c>
      <c r="J11" s="564"/>
      <c r="K11" s="685"/>
      <c r="L11" s="685"/>
      <c r="M11" s="565"/>
      <c r="N11" s="565"/>
      <c r="O11" s="565"/>
      <c r="P11" s="565"/>
      <c r="Q11" s="565"/>
      <c r="R11" s="565"/>
      <c r="S11" s="565"/>
      <c r="T11" s="781"/>
      <c r="U11" s="565"/>
      <c r="V11" s="565"/>
      <c r="W11" s="565"/>
      <c r="X11" s="565"/>
      <c r="Y11" s="565"/>
      <c r="Z11" s="565"/>
      <c r="AA11" s="565"/>
      <c r="AB11" s="565"/>
      <c r="AC11" s="565"/>
      <c r="AD11" s="565"/>
      <c r="AE11" s="565"/>
      <c r="AF11" s="565"/>
      <c r="AG11" s="565"/>
      <c r="AH11" s="565"/>
      <c r="AI11" s="565"/>
      <c r="AJ11" s="565"/>
      <c r="AK11" s="565"/>
      <c r="AL11" s="565"/>
      <c r="AM11" s="565"/>
      <c r="AN11" s="565"/>
      <c r="AO11" s="565"/>
      <c r="AP11" s="565"/>
      <c r="AQ11" s="565"/>
      <c r="AR11" s="565"/>
      <c r="AS11" s="781"/>
      <c r="AT11" s="781"/>
      <c r="AU11" s="565"/>
      <c r="AV11" s="465">
        <f t="shared" ref="AV11:AV17" si="2">SUM(M11:AT11)</f>
        <v>0</v>
      </c>
    </row>
    <row r="12" spans="1:48" s="559" customFormat="1" ht="18" x14ac:dyDescent="0.25">
      <c r="A12" s="1" t="s">
        <v>153</v>
      </c>
      <c r="B12" s="83" t="s">
        <v>154</v>
      </c>
      <c r="C12" s="363"/>
      <c r="D12" s="364"/>
      <c r="E12" s="564"/>
      <c r="F12" s="365">
        <f>AV12</f>
        <v>1173445</v>
      </c>
      <c r="G12" s="365">
        <v>1266577</v>
      </c>
      <c r="H12" s="365">
        <v>1266577</v>
      </c>
      <c r="I12" s="365">
        <v>1266576</v>
      </c>
      <c r="J12" s="564"/>
      <c r="K12" s="685"/>
      <c r="L12" s="685"/>
      <c r="M12" s="565"/>
      <c r="N12" s="565"/>
      <c r="O12" s="565"/>
      <c r="P12" s="565"/>
      <c r="Q12" s="565"/>
      <c r="R12" s="565"/>
      <c r="S12" s="565"/>
      <c r="T12" s="781">
        <v>298018</v>
      </c>
      <c r="U12" s="565"/>
      <c r="V12" s="565"/>
      <c r="W12" s="565"/>
      <c r="X12" s="565"/>
      <c r="Y12" s="565"/>
      <c r="Z12" s="565"/>
      <c r="AA12" s="565"/>
      <c r="AB12" s="781">
        <v>223514</v>
      </c>
      <c r="AC12" s="565"/>
      <c r="AD12" s="781">
        <v>167634</v>
      </c>
      <c r="AE12" s="565"/>
      <c r="AF12" s="565"/>
      <c r="AG12" s="565"/>
      <c r="AH12" s="565">
        <v>37252</v>
      </c>
      <c r="AI12" s="565"/>
      <c r="AJ12" s="565"/>
      <c r="AK12" s="565"/>
      <c r="AL12" s="565"/>
      <c r="AM12" s="565"/>
      <c r="AN12" s="565"/>
      <c r="AO12" s="565"/>
      <c r="AP12" s="565"/>
      <c r="AQ12" s="565"/>
      <c r="AR12" s="565"/>
      <c r="AS12" s="781">
        <v>447027</v>
      </c>
      <c r="AT12" s="781"/>
      <c r="AU12" s="565"/>
      <c r="AV12" s="465">
        <f t="shared" si="2"/>
        <v>1173445</v>
      </c>
    </row>
    <row r="13" spans="1:48" s="559" customFormat="1" ht="18" x14ac:dyDescent="0.25">
      <c r="A13" s="1" t="s">
        <v>153</v>
      </c>
      <c r="B13" s="83" t="s">
        <v>578</v>
      </c>
      <c r="C13" s="363"/>
      <c r="D13" s="364"/>
      <c r="E13" s="564"/>
      <c r="F13" s="365">
        <f t="shared" si="1"/>
        <v>93132</v>
      </c>
      <c r="G13" s="365">
        <v>0</v>
      </c>
      <c r="H13" s="365"/>
      <c r="I13" s="365">
        <v>0</v>
      </c>
      <c r="J13" s="564"/>
      <c r="K13" s="685"/>
      <c r="L13" s="68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Y13" s="565"/>
      <c r="Z13" s="565"/>
      <c r="AA13" s="565"/>
      <c r="AB13" s="565"/>
      <c r="AC13" s="565"/>
      <c r="AD13" s="565"/>
      <c r="AE13" s="565"/>
      <c r="AF13" s="565"/>
      <c r="AG13" s="565"/>
      <c r="AH13" s="565"/>
      <c r="AI13" s="565"/>
      <c r="AJ13" s="565"/>
      <c r="AK13" s="565"/>
      <c r="AL13" s="565"/>
      <c r="AM13" s="565"/>
      <c r="AN13" s="565"/>
      <c r="AO13" s="565"/>
      <c r="AP13" s="565"/>
      <c r="AQ13" s="565"/>
      <c r="AR13" s="565"/>
      <c r="AS13" s="781"/>
      <c r="AT13" s="781">
        <v>93132</v>
      </c>
      <c r="AU13" s="565"/>
      <c r="AV13" s="465">
        <f t="shared" si="2"/>
        <v>93132</v>
      </c>
    </row>
    <row r="14" spans="1:48" s="559" customFormat="1" ht="18" x14ac:dyDescent="0.25">
      <c r="A14" s="1" t="s">
        <v>155</v>
      </c>
      <c r="B14" s="83" t="s">
        <v>156</v>
      </c>
      <c r="C14" s="363"/>
      <c r="D14" s="364"/>
      <c r="E14" s="564"/>
      <c r="F14" s="365">
        <f t="shared" si="1"/>
        <v>50000</v>
      </c>
      <c r="G14" s="365">
        <v>50000</v>
      </c>
      <c r="H14" s="365">
        <v>50000</v>
      </c>
      <c r="I14" s="365">
        <v>50000</v>
      </c>
      <c r="J14" s="564"/>
      <c r="K14" s="685"/>
      <c r="L14" s="685"/>
      <c r="M14" s="565"/>
      <c r="N14" s="565"/>
      <c r="O14" s="565"/>
      <c r="P14" s="565"/>
      <c r="Q14" s="565"/>
      <c r="R14" s="565"/>
      <c r="S14" s="565"/>
      <c r="T14" s="565"/>
      <c r="U14" s="565"/>
      <c r="V14" s="565"/>
      <c r="W14" s="565"/>
      <c r="X14" s="565"/>
      <c r="Y14" s="565"/>
      <c r="Z14" s="565"/>
      <c r="AA14" s="565"/>
      <c r="AB14" s="781">
        <v>50000</v>
      </c>
      <c r="AC14" s="565"/>
      <c r="AD14" s="565"/>
      <c r="AE14" s="565"/>
      <c r="AF14" s="565"/>
      <c r="AG14" s="565"/>
      <c r="AH14" s="565"/>
      <c r="AI14" s="565"/>
      <c r="AJ14" s="565"/>
      <c r="AK14" s="565"/>
      <c r="AL14" s="565"/>
      <c r="AM14" s="565"/>
      <c r="AN14" s="565"/>
      <c r="AO14" s="565"/>
      <c r="AP14" s="565"/>
      <c r="AQ14" s="565"/>
      <c r="AR14" s="565"/>
      <c r="AS14" s="781"/>
      <c r="AT14" s="781"/>
      <c r="AU14" s="565"/>
      <c r="AV14" s="465">
        <f t="shared" si="2"/>
        <v>50000</v>
      </c>
    </row>
    <row r="15" spans="1:48" s="559" customFormat="1" ht="18" x14ac:dyDescent="0.25">
      <c r="A15" s="1" t="s">
        <v>157</v>
      </c>
      <c r="B15" s="83" t="s">
        <v>158</v>
      </c>
      <c r="C15" s="363"/>
      <c r="D15" s="364"/>
      <c r="E15" s="564"/>
      <c r="F15" s="365">
        <f t="shared" si="1"/>
        <v>35000</v>
      </c>
      <c r="G15" s="365">
        <v>35000</v>
      </c>
      <c r="H15" s="365">
        <v>35000</v>
      </c>
      <c r="I15" s="365">
        <v>16740</v>
      </c>
      <c r="J15" s="564"/>
      <c r="K15" s="685"/>
      <c r="L15" s="685"/>
      <c r="M15" s="565"/>
      <c r="N15" s="565"/>
      <c r="O15" s="565"/>
      <c r="P15" s="565"/>
      <c r="Q15" s="565"/>
      <c r="R15" s="565"/>
      <c r="S15" s="565"/>
      <c r="T15" s="781">
        <v>10000</v>
      </c>
      <c r="U15" s="565"/>
      <c r="V15" s="565"/>
      <c r="W15" s="565"/>
      <c r="X15" s="565"/>
      <c r="Y15" s="565"/>
      <c r="Z15" s="565"/>
      <c r="AA15" s="565"/>
      <c r="AB15" s="781">
        <v>25000</v>
      </c>
      <c r="AC15" s="565"/>
      <c r="AD15" s="565"/>
      <c r="AE15" s="565"/>
      <c r="AF15" s="565"/>
      <c r="AG15" s="565"/>
      <c r="AH15" s="565"/>
      <c r="AI15" s="565"/>
      <c r="AJ15" s="565"/>
      <c r="AK15" s="565"/>
      <c r="AL15" s="565"/>
      <c r="AM15" s="565"/>
      <c r="AN15" s="565"/>
      <c r="AO15" s="565"/>
      <c r="AP15" s="565"/>
      <c r="AQ15" s="565"/>
      <c r="AR15" s="565"/>
      <c r="AS15" s="781"/>
      <c r="AT15" s="565"/>
      <c r="AU15" s="565"/>
      <c r="AV15" s="465">
        <f t="shared" si="2"/>
        <v>35000</v>
      </c>
    </row>
    <row r="16" spans="1:48" s="559" customFormat="1" ht="18" x14ac:dyDescent="0.25">
      <c r="A16" s="1" t="s">
        <v>159</v>
      </c>
      <c r="B16" s="83" t="s">
        <v>71</v>
      </c>
      <c r="C16" s="363"/>
      <c r="D16" s="364"/>
      <c r="E16" s="564"/>
      <c r="F16" s="365">
        <f t="shared" si="1"/>
        <v>250000</v>
      </c>
      <c r="G16" s="365"/>
      <c r="H16" s="365"/>
      <c r="I16" s="365"/>
      <c r="J16" s="564"/>
      <c r="K16" s="685"/>
      <c r="L16" s="685"/>
      <c r="M16" s="565"/>
      <c r="N16" s="565"/>
      <c r="O16" s="565"/>
      <c r="P16" s="565"/>
      <c r="Q16" s="565"/>
      <c r="R16" s="565"/>
      <c r="S16" s="565"/>
      <c r="T16" s="565"/>
      <c r="U16" s="565"/>
      <c r="V16" s="565"/>
      <c r="W16" s="565"/>
      <c r="X16" s="565"/>
      <c r="Y16" s="565"/>
      <c r="Z16" s="565"/>
      <c r="AA16" s="565"/>
      <c r="AB16" s="565"/>
      <c r="AC16" s="565"/>
      <c r="AD16" s="565"/>
      <c r="AE16" s="565"/>
      <c r="AF16" s="565"/>
      <c r="AG16" s="565"/>
      <c r="AH16" s="565"/>
      <c r="AI16" s="565"/>
      <c r="AJ16" s="565"/>
      <c r="AK16" s="565"/>
      <c r="AL16" s="565"/>
      <c r="AM16" s="565"/>
      <c r="AN16" s="565"/>
      <c r="AO16" s="565"/>
      <c r="AP16" s="565"/>
      <c r="AQ16" s="565"/>
      <c r="AR16" s="565"/>
      <c r="AS16" s="781"/>
      <c r="AT16" s="781">
        <v>250000</v>
      </c>
      <c r="AU16" s="565"/>
      <c r="AV16" s="465">
        <f t="shared" si="2"/>
        <v>250000</v>
      </c>
    </row>
    <row r="17" spans="1:48" s="559" customFormat="1" ht="18" x14ac:dyDescent="0.25">
      <c r="A17" s="1" t="s">
        <v>161</v>
      </c>
      <c r="B17" s="83" t="s">
        <v>570</v>
      </c>
      <c r="C17" s="363"/>
      <c r="D17" s="364"/>
      <c r="E17" s="564"/>
      <c r="F17" s="365">
        <f t="shared" si="1"/>
        <v>3180410</v>
      </c>
      <c r="G17" s="365">
        <v>3420711</v>
      </c>
      <c r="H17" s="365">
        <v>2968291</v>
      </c>
      <c r="I17" s="365">
        <v>2950889</v>
      </c>
      <c r="J17" s="564"/>
      <c r="K17" s="685"/>
      <c r="L17" s="685"/>
      <c r="M17" s="565"/>
      <c r="N17" s="565"/>
      <c r="O17" s="565"/>
      <c r="P17" s="565"/>
      <c r="Q17" s="565"/>
      <c r="R17" s="565"/>
      <c r="S17" s="565"/>
      <c r="T17" s="565"/>
      <c r="U17" s="565"/>
      <c r="V17" s="781">
        <v>98410</v>
      </c>
      <c r="W17" s="565"/>
      <c r="X17" s="565"/>
      <c r="Y17" s="565"/>
      <c r="Z17" s="565"/>
      <c r="AA17" s="781">
        <v>960000</v>
      </c>
      <c r="AB17" s="565"/>
      <c r="AC17" s="565"/>
      <c r="AD17" s="565"/>
      <c r="AE17" s="565"/>
      <c r="AF17" s="565"/>
      <c r="AG17" s="565"/>
      <c r="AH17" s="565"/>
      <c r="AI17" s="565"/>
      <c r="AJ17" s="565"/>
      <c r="AK17" s="565"/>
      <c r="AL17" s="565"/>
      <c r="AM17" s="565"/>
      <c r="AN17" s="565"/>
      <c r="AO17" s="565"/>
      <c r="AP17" s="565"/>
      <c r="AQ17" s="565"/>
      <c r="AR17" s="565"/>
      <c r="AS17" s="781">
        <v>2030000</v>
      </c>
      <c r="AT17" s="781">
        <v>92000</v>
      </c>
      <c r="AU17" s="565"/>
      <c r="AV17" s="465">
        <f t="shared" si="2"/>
        <v>3180410</v>
      </c>
    </row>
    <row r="18" spans="1:48" ht="18" x14ac:dyDescent="0.25">
      <c r="A18" s="567" t="s">
        <v>168</v>
      </c>
      <c r="B18" s="153" t="s">
        <v>167</v>
      </c>
      <c r="C18" s="367">
        <f>SUM(C5:C17)</f>
        <v>0</v>
      </c>
      <c r="D18" s="568">
        <f>SUM(D5:D17)</f>
        <v>0</v>
      </c>
      <c r="E18" s="569">
        <f>SUM(E5:E17)</f>
        <v>0</v>
      </c>
      <c r="F18" s="806">
        <f>AV18</f>
        <v>26969067</v>
      </c>
      <c r="G18" s="806">
        <f>G5+G6+G7+G8+G9+G10+G11+G12+G13+G14+G15+G16+G17</f>
        <v>26959368</v>
      </c>
      <c r="H18" s="806">
        <f>H5+H6+H7+H8+H9+H10+H11+H12+H13+H14+H15+H16+H17</f>
        <v>35082791</v>
      </c>
      <c r="I18" s="806">
        <f>I5+I6+I7+I8+I9+I10+I11+I12+I13+I14+I15+I16+I17</f>
        <v>34328022</v>
      </c>
      <c r="J18" s="708"/>
      <c r="K18" s="686"/>
      <c r="L18" s="686"/>
      <c r="M18" s="464">
        <f t="shared" ref="M18:AV18" si="3">SUM(M5:M17)</f>
        <v>0</v>
      </c>
      <c r="N18" s="464">
        <f t="shared" si="3"/>
        <v>0</v>
      </c>
      <c r="O18" s="464">
        <f t="shared" si="3"/>
        <v>0</v>
      </c>
      <c r="P18" s="464">
        <f t="shared" si="3"/>
        <v>0</v>
      </c>
      <c r="Q18" s="464">
        <f t="shared" si="3"/>
        <v>0</v>
      </c>
      <c r="R18" s="464">
        <f t="shared" si="3"/>
        <v>0</v>
      </c>
      <c r="S18" s="464">
        <f t="shared" si="3"/>
        <v>0</v>
      </c>
      <c r="T18" s="464">
        <f t="shared" si="3"/>
        <v>5646748</v>
      </c>
      <c r="U18" s="464">
        <f t="shared" si="3"/>
        <v>0</v>
      </c>
      <c r="V18" s="464">
        <f t="shared" si="3"/>
        <v>98410</v>
      </c>
      <c r="W18" s="464"/>
      <c r="X18" s="464"/>
      <c r="Y18" s="464"/>
      <c r="Z18" s="464">
        <f t="shared" si="3"/>
        <v>0</v>
      </c>
      <c r="AA18" s="464">
        <f t="shared" si="3"/>
        <v>960000</v>
      </c>
      <c r="AB18" s="464">
        <f t="shared" si="3"/>
        <v>3926049</v>
      </c>
      <c r="AC18" s="464">
        <f t="shared" si="3"/>
        <v>0</v>
      </c>
      <c r="AD18" s="464">
        <f t="shared" si="3"/>
        <v>2254795</v>
      </c>
      <c r="AE18" s="464">
        <f t="shared" si="3"/>
        <v>0</v>
      </c>
      <c r="AF18" s="464"/>
      <c r="AG18" s="464"/>
      <c r="AH18" s="464">
        <f t="shared" si="3"/>
        <v>618852</v>
      </c>
      <c r="AI18" s="464">
        <f t="shared" si="3"/>
        <v>0</v>
      </c>
      <c r="AJ18" s="464">
        <f t="shared" si="3"/>
        <v>0</v>
      </c>
      <c r="AK18" s="464">
        <f t="shared" si="3"/>
        <v>0</v>
      </c>
      <c r="AL18" s="464">
        <f t="shared" si="3"/>
        <v>0</v>
      </c>
      <c r="AM18" s="464">
        <f t="shared" si="3"/>
        <v>0</v>
      </c>
      <c r="AN18" s="464">
        <f t="shared" si="3"/>
        <v>0</v>
      </c>
      <c r="AO18" s="464">
        <f t="shared" si="3"/>
        <v>0</v>
      </c>
      <c r="AP18" s="464"/>
      <c r="AQ18" s="464"/>
      <c r="AR18" s="464">
        <f t="shared" si="3"/>
        <v>0</v>
      </c>
      <c r="AS18" s="464">
        <f t="shared" si="3"/>
        <v>11867312</v>
      </c>
      <c r="AT18" s="464">
        <f t="shared" si="3"/>
        <v>1596901</v>
      </c>
      <c r="AU18" s="464"/>
      <c r="AV18" s="464">
        <f t="shared" si="3"/>
        <v>26969067</v>
      </c>
    </row>
    <row r="19" spans="1:48" s="559" customFormat="1" ht="18" x14ac:dyDescent="0.25">
      <c r="A19" s="1" t="s">
        <v>162</v>
      </c>
      <c r="B19" s="83" t="s">
        <v>165</v>
      </c>
      <c r="C19" s="363"/>
      <c r="D19" s="364"/>
      <c r="E19" s="564"/>
      <c r="F19" s="365">
        <f t="shared" si="1"/>
        <v>8548265</v>
      </c>
      <c r="G19" s="365">
        <v>8548265</v>
      </c>
      <c r="H19" s="365">
        <v>7593821</v>
      </c>
      <c r="I19" s="365">
        <v>7528264</v>
      </c>
      <c r="J19" s="634"/>
      <c r="K19" s="686"/>
      <c r="L19" s="686"/>
      <c r="M19" s="565"/>
      <c r="N19" s="565"/>
      <c r="O19" s="565"/>
      <c r="P19" s="565"/>
      <c r="Q19" s="565"/>
      <c r="R19" s="565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5"/>
      <c r="AM19" s="565"/>
      <c r="AN19" s="565"/>
      <c r="AO19" s="565"/>
      <c r="AP19" s="565"/>
      <c r="AQ19" s="565"/>
      <c r="AR19" s="565"/>
      <c r="AS19" s="565"/>
      <c r="AT19" s="781">
        <v>8548265</v>
      </c>
      <c r="AU19" s="565"/>
      <c r="AV19" s="465">
        <f>SUM(M19:AT19)</f>
        <v>8548265</v>
      </c>
    </row>
    <row r="20" spans="1:48" s="559" customFormat="1" ht="18" x14ac:dyDescent="0.25">
      <c r="A20" s="1" t="s">
        <v>163</v>
      </c>
      <c r="B20" s="83" t="s">
        <v>166</v>
      </c>
      <c r="C20" s="363"/>
      <c r="D20" s="364"/>
      <c r="E20" s="564"/>
      <c r="F20" s="365">
        <f t="shared" si="1"/>
        <v>146000</v>
      </c>
      <c r="G20" s="365">
        <v>146000</v>
      </c>
      <c r="H20" s="365">
        <v>502960</v>
      </c>
      <c r="I20" s="365">
        <v>493864</v>
      </c>
      <c r="J20" s="634"/>
      <c r="K20" s="686"/>
      <c r="L20" s="686"/>
      <c r="M20" s="565"/>
      <c r="N20" s="565"/>
      <c r="O20" s="565"/>
      <c r="P20" s="781">
        <v>25000</v>
      </c>
      <c r="Q20" s="565"/>
      <c r="R20" s="565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781">
        <v>46000</v>
      </c>
      <c r="AT20" s="781">
        <v>75000</v>
      </c>
      <c r="AU20" s="565"/>
      <c r="AV20" s="465">
        <f>SUM(M20:AT20)</f>
        <v>146000</v>
      </c>
    </row>
    <row r="21" spans="1:48" s="559" customFormat="1" ht="18" x14ac:dyDescent="0.25">
      <c r="A21" s="1" t="s">
        <v>164</v>
      </c>
      <c r="B21" s="83" t="s">
        <v>196</v>
      </c>
      <c r="C21" s="363"/>
      <c r="D21" s="363"/>
      <c r="E21" s="363"/>
      <c r="F21" s="365">
        <f t="shared" si="1"/>
        <v>701046</v>
      </c>
      <c r="G21" s="365">
        <v>977246</v>
      </c>
      <c r="H21" s="365">
        <v>2023460</v>
      </c>
      <c r="I21" s="365">
        <v>2013836</v>
      </c>
      <c r="J21" s="634"/>
      <c r="K21" s="686"/>
      <c r="L21" s="686"/>
      <c r="M21" s="565"/>
      <c r="N21" s="565"/>
      <c r="O21" s="740"/>
      <c r="P21" s="565"/>
      <c r="Q21" s="565"/>
      <c r="R21" s="565"/>
      <c r="S21" s="565"/>
      <c r="T21" s="565"/>
      <c r="U21" s="781">
        <v>50000</v>
      </c>
      <c r="V21" s="565"/>
      <c r="W21" s="565"/>
      <c r="X21" s="565"/>
      <c r="Y21" s="565"/>
      <c r="Z21" s="565"/>
      <c r="AA21" s="565"/>
      <c r="AB21" s="565"/>
      <c r="AC21" s="565"/>
      <c r="AD21" s="565"/>
      <c r="AE21" s="565"/>
      <c r="AF21" s="565"/>
      <c r="AG21" s="565"/>
      <c r="AH21" s="565"/>
      <c r="AI21" s="565"/>
      <c r="AJ21" s="565">
        <v>251046</v>
      </c>
      <c r="AK21" s="565"/>
      <c r="AL21" s="565"/>
      <c r="AM21" s="565"/>
      <c r="AN21" s="565"/>
      <c r="AO21" s="781">
        <v>300000</v>
      </c>
      <c r="AP21" s="565"/>
      <c r="AQ21" s="565"/>
      <c r="AR21" s="781">
        <v>100000</v>
      </c>
      <c r="AS21" s="565"/>
      <c r="AT21" s="565"/>
      <c r="AU21" s="565"/>
      <c r="AV21" s="465">
        <f>SUM(M21:AT21)</f>
        <v>701046</v>
      </c>
    </row>
    <row r="22" spans="1:48" ht="18" x14ac:dyDescent="0.25">
      <c r="A22" s="567" t="s">
        <v>169</v>
      </c>
      <c r="B22" s="153" t="s">
        <v>75</v>
      </c>
      <c r="C22" s="367">
        <f>SUM(C19:C21)</f>
        <v>0</v>
      </c>
      <c r="D22" s="568">
        <f>SUM(D19:D21)</f>
        <v>0</v>
      </c>
      <c r="E22" s="569">
        <f>SUM(E19:E21)</f>
        <v>0</v>
      </c>
      <c r="F22" s="806">
        <f t="shared" si="1"/>
        <v>9395311</v>
      </c>
      <c r="G22" s="806">
        <f>G19+G20+G21</f>
        <v>9671511</v>
      </c>
      <c r="H22" s="806">
        <f>H19+H20+H21</f>
        <v>10120241</v>
      </c>
      <c r="I22" s="806">
        <f>I19+I20+I21</f>
        <v>10035964</v>
      </c>
      <c r="J22" s="568"/>
      <c r="K22" s="685"/>
      <c r="L22" s="685"/>
      <c r="M22" s="568">
        <f t="shared" ref="M22:AV22" si="4">SUM(M19:M21)</f>
        <v>0</v>
      </c>
      <c r="N22" s="568">
        <f t="shared" si="4"/>
        <v>0</v>
      </c>
      <c r="O22" s="568">
        <f t="shared" si="4"/>
        <v>0</v>
      </c>
      <c r="P22" s="568">
        <f t="shared" si="4"/>
        <v>25000</v>
      </c>
      <c r="Q22" s="568">
        <f t="shared" si="4"/>
        <v>0</v>
      </c>
      <c r="R22" s="568">
        <f t="shared" si="4"/>
        <v>0</v>
      </c>
      <c r="S22" s="568">
        <f t="shared" si="4"/>
        <v>0</v>
      </c>
      <c r="T22" s="568">
        <f t="shared" si="4"/>
        <v>0</v>
      </c>
      <c r="U22" s="568">
        <f t="shared" si="4"/>
        <v>50000</v>
      </c>
      <c r="V22" s="568">
        <f t="shared" si="4"/>
        <v>0</v>
      </c>
      <c r="W22" s="568"/>
      <c r="X22" s="568"/>
      <c r="Y22" s="568"/>
      <c r="Z22" s="568">
        <f t="shared" si="4"/>
        <v>0</v>
      </c>
      <c r="AA22" s="568">
        <f t="shared" si="4"/>
        <v>0</v>
      </c>
      <c r="AB22" s="568">
        <f t="shared" si="4"/>
        <v>0</v>
      </c>
      <c r="AC22" s="568">
        <f t="shared" si="4"/>
        <v>0</v>
      </c>
      <c r="AD22" s="568">
        <f t="shared" si="4"/>
        <v>0</v>
      </c>
      <c r="AE22" s="568">
        <f t="shared" si="4"/>
        <v>0</v>
      </c>
      <c r="AF22" s="568"/>
      <c r="AG22" s="568"/>
      <c r="AH22" s="568">
        <f t="shared" si="4"/>
        <v>0</v>
      </c>
      <c r="AI22" s="568">
        <f t="shared" si="4"/>
        <v>0</v>
      </c>
      <c r="AJ22" s="568">
        <f t="shared" si="4"/>
        <v>251046</v>
      </c>
      <c r="AK22" s="568">
        <f t="shared" si="4"/>
        <v>0</v>
      </c>
      <c r="AL22" s="568">
        <f t="shared" si="4"/>
        <v>0</v>
      </c>
      <c r="AM22" s="568">
        <f t="shared" si="4"/>
        <v>0</v>
      </c>
      <c r="AN22" s="568">
        <f t="shared" si="4"/>
        <v>0</v>
      </c>
      <c r="AO22" s="568">
        <f t="shared" si="4"/>
        <v>300000</v>
      </c>
      <c r="AP22" s="568"/>
      <c r="AQ22" s="568"/>
      <c r="AR22" s="568">
        <f t="shared" si="4"/>
        <v>100000</v>
      </c>
      <c r="AS22" s="568">
        <f t="shared" si="4"/>
        <v>46000</v>
      </c>
      <c r="AT22" s="568">
        <f t="shared" si="4"/>
        <v>8623265</v>
      </c>
      <c r="AU22" s="568"/>
      <c r="AV22" s="568">
        <f t="shared" si="4"/>
        <v>9395311</v>
      </c>
    </row>
    <row r="23" spans="1:48" s="610" customFormat="1" ht="18" x14ac:dyDescent="0.25">
      <c r="A23" s="145" t="s">
        <v>170</v>
      </c>
      <c r="B23" s="155" t="s">
        <v>177</v>
      </c>
      <c r="C23" s="571">
        <f>SUM(C18,C22)</f>
        <v>0</v>
      </c>
      <c r="D23" s="572">
        <f>SUM(D18,D22)</f>
        <v>0</v>
      </c>
      <c r="E23" s="370">
        <f>SUM(E18,E22)</f>
        <v>0</v>
      </c>
      <c r="F23" s="806">
        <f t="shared" si="1"/>
        <v>36364378</v>
      </c>
      <c r="G23" s="806">
        <f>G18+G22</f>
        <v>36630879</v>
      </c>
      <c r="H23" s="806">
        <f>H18+H22</f>
        <v>45203032</v>
      </c>
      <c r="I23" s="806">
        <f>I18+I22</f>
        <v>44363986</v>
      </c>
      <c r="J23" s="571"/>
      <c r="K23" s="687"/>
      <c r="L23" s="687"/>
      <c r="M23" s="571">
        <f t="shared" ref="M23:AV23" si="5">SUM(M18,M22)</f>
        <v>0</v>
      </c>
      <c r="N23" s="571">
        <f t="shared" si="5"/>
        <v>0</v>
      </c>
      <c r="O23" s="571">
        <f t="shared" si="5"/>
        <v>0</v>
      </c>
      <c r="P23" s="571">
        <f t="shared" si="5"/>
        <v>25000</v>
      </c>
      <c r="Q23" s="571">
        <f t="shared" si="5"/>
        <v>0</v>
      </c>
      <c r="R23" s="571">
        <f t="shared" si="5"/>
        <v>0</v>
      </c>
      <c r="S23" s="571">
        <f t="shared" si="5"/>
        <v>0</v>
      </c>
      <c r="T23" s="571">
        <f t="shared" si="5"/>
        <v>5646748</v>
      </c>
      <c r="U23" s="571">
        <f t="shared" si="5"/>
        <v>50000</v>
      </c>
      <c r="V23" s="571">
        <f t="shared" si="5"/>
        <v>98410</v>
      </c>
      <c r="W23" s="571"/>
      <c r="X23" s="571"/>
      <c r="Y23" s="571"/>
      <c r="Z23" s="571">
        <f t="shared" si="5"/>
        <v>0</v>
      </c>
      <c r="AA23" s="571">
        <f t="shared" si="5"/>
        <v>960000</v>
      </c>
      <c r="AB23" s="571">
        <f t="shared" si="5"/>
        <v>3926049</v>
      </c>
      <c r="AC23" s="571">
        <f t="shared" si="5"/>
        <v>0</v>
      </c>
      <c r="AD23" s="571">
        <f t="shared" si="5"/>
        <v>2254795</v>
      </c>
      <c r="AE23" s="571">
        <f t="shared" si="5"/>
        <v>0</v>
      </c>
      <c r="AF23" s="571"/>
      <c r="AG23" s="571"/>
      <c r="AH23" s="571">
        <f t="shared" si="5"/>
        <v>618852</v>
      </c>
      <c r="AI23" s="571">
        <f t="shared" si="5"/>
        <v>0</v>
      </c>
      <c r="AJ23" s="571">
        <f t="shared" si="5"/>
        <v>251046</v>
      </c>
      <c r="AK23" s="571">
        <f t="shared" si="5"/>
        <v>0</v>
      </c>
      <c r="AL23" s="571">
        <f t="shared" si="5"/>
        <v>0</v>
      </c>
      <c r="AM23" s="571">
        <f t="shared" si="5"/>
        <v>0</v>
      </c>
      <c r="AN23" s="571">
        <f t="shared" si="5"/>
        <v>0</v>
      </c>
      <c r="AO23" s="571">
        <f t="shared" si="5"/>
        <v>300000</v>
      </c>
      <c r="AP23" s="571"/>
      <c r="AQ23" s="571"/>
      <c r="AR23" s="571">
        <f t="shared" si="5"/>
        <v>100000</v>
      </c>
      <c r="AS23" s="571">
        <f t="shared" si="5"/>
        <v>11913312</v>
      </c>
      <c r="AT23" s="571">
        <f t="shared" si="5"/>
        <v>10220166</v>
      </c>
      <c r="AU23" s="571"/>
      <c r="AV23" s="571">
        <f t="shared" si="5"/>
        <v>36364378</v>
      </c>
    </row>
    <row r="24" spans="1:48" s="559" customFormat="1" ht="18" x14ac:dyDescent="0.25">
      <c r="A24" s="1" t="s">
        <v>171</v>
      </c>
      <c r="B24" s="91" t="s">
        <v>76</v>
      </c>
      <c r="C24" s="363"/>
      <c r="D24" s="364"/>
      <c r="E24" s="564"/>
      <c r="F24" s="365">
        <f t="shared" si="1"/>
        <v>6634043</v>
      </c>
      <c r="G24" s="365"/>
      <c r="H24" s="365"/>
      <c r="I24" s="365"/>
      <c r="J24" s="564"/>
      <c r="K24" s="685"/>
      <c r="L24" s="685"/>
      <c r="M24" s="565"/>
      <c r="N24" s="565"/>
      <c r="O24" s="565"/>
      <c r="P24" s="781">
        <v>4875</v>
      </c>
      <c r="Q24" s="565"/>
      <c r="R24" s="565"/>
      <c r="S24" s="565"/>
      <c r="T24" s="781">
        <v>1058539</v>
      </c>
      <c r="U24" s="781">
        <v>11000</v>
      </c>
      <c r="V24" s="781">
        <v>19190</v>
      </c>
      <c r="W24" s="565"/>
      <c r="X24" s="565"/>
      <c r="Y24" s="565"/>
      <c r="Z24" s="565"/>
      <c r="AA24" s="781">
        <v>189200</v>
      </c>
      <c r="AB24" s="781">
        <v>723486</v>
      </c>
      <c r="AC24" s="565"/>
      <c r="AD24" s="781">
        <v>418606</v>
      </c>
      <c r="AE24" s="565"/>
      <c r="AF24" s="565"/>
      <c r="AG24" s="565"/>
      <c r="AH24" s="781">
        <v>114415</v>
      </c>
      <c r="AI24" s="565"/>
      <c r="AJ24" s="565">
        <v>48954</v>
      </c>
      <c r="AK24" s="565"/>
      <c r="AL24" s="565"/>
      <c r="AM24" s="565"/>
      <c r="AN24" s="565"/>
      <c r="AO24" s="781">
        <v>58500</v>
      </c>
      <c r="AP24" s="565"/>
      <c r="AQ24" s="565"/>
      <c r="AR24" s="781">
        <v>19500</v>
      </c>
      <c r="AS24" s="781">
        <v>2263987</v>
      </c>
      <c r="AT24" s="781">
        <v>1703791</v>
      </c>
      <c r="AU24" s="565"/>
      <c r="AV24" s="465">
        <f>SUM(M24:AT24)</f>
        <v>6634043</v>
      </c>
    </row>
    <row r="25" spans="1:48" s="559" customFormat="1" ht="18" x14ac:dyDescent="0.25">
      <c r="A25" s="1" t="s">
        <v>172</v>
      </c>
      <c r="B25" s="91" t="s">
        <v>77</v>
      </c>
      <c r="C25" s="363"/>
      <c r="D25" s="364"/>
      <c r="E25" s="564"/>
      <c r="F25" s="365">
        <f>AV25</f>
        <v>319000</v>
      </c>
      <c r="G25" s="365"/>
      <c r="H25" s="365"/>
      <c r="I25" s="365"/>
      <c r="J25" s="564"/>
      <c r="K25" s="685"/>
      <c r="L25" s="685"/>
      <c r="M25" s="565"/>
      <c r="N25" s="565"/>
      <c r="O25" s="565"/>
      <c r="P25" s="565"/>
      <c r="Q25" s="565"/>
      <c r="R25" s="565"/>
      <c r="S25" s="565"/>
      <c r="T25" s="781">
        <v>49233</v>
      </c>
      <c r="U25" s="565"/>
      <c r="V25" s="565"/>
      <c r="W25" s="565"/>
      <c r="X25" s="565"/>
      <c r="Y25" s="565"/>
      <c r="Z25" s="565"/>
      <c r="AA25" s="565"/>
      <c r="AB25" s="781">
        <v>48412</v>
      </c>
      <c r="AC25" s="565"/>
      <c r="AD25" s="781">
        <v>27693</v>
      </c>
      <c r="AE25" s="565"/>
      <c r="AF25" s="565"/>
      <c r="AG25" s="565"/>
      <c r="AH25" s="781">
        <v>6154</v>
      </c>
      <c r="AI25" s="565"/>
      <c r="AJ25" s="565"/>
      <c r="AK25" s="565"/>
      <c r="AL25" s="565"/>
      <c r="AM25" s="565"/>
      <c r="AN25" s="565"/>
      <c r="AO25" s="565"/>
      <c r="AP25" s="565"/>
      <c r="AQ25" s="565"/>
      <c r="AR25" s="565"/>
      <c r="AS25" s="781">
        <v>73849</v>
      </c>
      <c r="AT25" s="781">
        <v>113659</v>
      </c>
      <c r="AU25" s="565"/>
      <c r="AV25" s="465">
        <f>SUM(M25:AT25)</f>
        <v>319000</v>
      </c>
    </row>
    <row r="26" spans="1:48" s="559" customFormat="1" ht="18" x14ac:dyDescent="0.25">
      <c r="A26" s="1" t="s">
        <v>173</v>
      </c>
      <c r="B26" s="91" t="s">
        <v>68</v>
      </c>
      <c r="C26" s="363"/>
      <c r="D26" s="364"/>
      <c r="E26" s="564"/>
      <c r="F26" s="365">
        <f t="shared" si="1"/>
        <v>200000</v>
      </c>
      <c r="G26" s="365"/>
      <c r="H26" s="365"/>
      <c r="I26" s="365"/>
      <c r="J26" s="564"/>
      <c r="K26" s="685"/>
      <c r="L26" s="685"/>
      <c r="M26" s="565"/>
      <c r="N26" s="565"/>
      <c r="O26" s="565"/>
      <c r="P26" s="565"/>
      <c r="Q26" s="565"/>
      <c r="R26" s="565"/>
      <c r="S26" s="565"/>
      <c r="T26" s="781">
        <v>40000</v>
      </c>
      <c r="U26" s="565"/>
      <c r="V26" s="565"/>
      <c r="W26" s="565"/>
      <c r="X26" s="565"/>
      <c r="Y26" s="565"/>
      <c r="Z26" s="565"/>
      <c r="AA26" s="565"/>
      <c r="AB26" s="781">
        <v>50000</v>
      </c>
      <c r="AC26" s="565"/>
      <c r="AD26" s="781">
        <v>40000</v>
      </c>
      <c r="AE26" s="565"/>
      <c r="AF26" s="565"/>
      <c r="AG26" s="565"/>
      <c r="AH26" s="781"/>
      <c r="AI26" s="565"/>
      <c r="AJ26" s="565"/>
      <c r="AK26" s="565"/>
      <c r="AL26" s="565"/>
      <c r="AM26" s="565"/>
      <c r="AN26" s="565"/>
      <c r="AO26" s="565"/>
      <c r="AP26" s="565"/>
      <c r="AQ26" s="565"/>
      <c r="AR26" s="565"/>
      <c r="AS26" s="781">
        <v>50000</v>
      </c>
      <c r="AT26" s="781">
        <v>20000</v>
      </c>
      <c r="AU26" s="565"/>
      <c r="AV26" s="465">
        <f>SUM(M26:AT26)</f>
        <v>200000</v>
      </c>
    </row>
    <row r="27" spans="1:48" s="559" customFormat="1" ht="18" x14ac:dyDescent="0.25">
      <c r="A27" s="1" t="s">
        <v>174</v>
      </c>
      <c r="B27" s="91" t="s">
        <v>72</v>
      </c>
      <c r="C27" s="363"/>
      <c r="D27" s="364"/>
      <c r="E27" s="564"/>
      <c r="F27" s="365">
        <f t="shared" si="1"/>
        <v>361885</v>
      </c>
      <c r="G27" s="365"/>
      <c r="H27" s="365"/>
      <c r="I27" s="365"/>
      <c r="J27" s="564"/>
      <c r="K27" s="685"/>
      <c r="L27" s="685"/>
      <c r="M27" s="565"/>
      <c r="N27" s="565"/>
      <c r="O27" s="565"/>
      <c r="P27" s="565"/>
      <c r="Q27" s="565"/>
      <c r="R27" s="565"/>
      <c r="S27" s="565"/>
      <c r="T27" s="781">
        <v>52749</v>
      </c>
      <c r="U27" s="565"/>
      <c r="V27" s="565"/>
      <c r="W27" s="565"/>
      <c r="X27" s="565"/>
      <c r="Y27" s="565"/>
      <c r="Z27" s="565"/>
      <c r="AA27" s="565"/>
      <c r="AB27" s="781">
        <v>49905</v>
      </c>
      <c r="AC27" s="565"/>
      <c r="AD27" s="781">
        <v>29671</v>
      </c>
      <c r="AE27" s="565"/>
      <c r="AF27" s="565"/>
      <c r="AG27" s="565"/>
      <c r="AH27" s="781">
        <v>6594</v>
      </c>
      <c r="AI27" s="565"/>
      <c r="AJ27" s="565"/>
      <c r="AK27" s="565"/>
      <c r="AL27" s="565"/>
      <c r="AM27" s="565"/>
      <c r="AN27" s="565"/>
      <c r="AO27" s="565"/>
      <c r="AP27" s="565"/>
      <c r="AQ27" s="565"/>
      <c r="AR27" s="565"/>
      <c r="AS27" s="781">
        <v>79124</v>
      </c>
      <c r="AT27" s="781">
        <v>143842</v>
      </c>
      <c r="AU27" s="565"/>
      <c r="AV27" s="465">
        <f>SUM(M27:AT27)</f>
        <v>361885</v>
      </c>
    </row>
    <row r="28" spans="1:48" s="611" customFormat="1" ht="18" x14ac:dyDescent="0.25">
      <c r="A28" s="573" t="s">
        <v>175</v>
      </c>
      <c r="B28" s="574" t="s">
        <v>176</v>
      </c>
      <c r="C28" s="572">
        <f>SUM(C24:C27)</f>
        <v>0</v>
      </c>
      <c r="D28" s="370">
        <f>SUM(D24:D27)</f>
        <v>0</v>
      </c>
      <c r="E28" s="371">
        <f>SUM(E24:E27)</f>
        <v>0</v>
      </c>
      <c r="F28" s="806">
        <f t="shared" si="1"/>
        <v>7514928</v>
      </c>
      <c r="G28" s="806">
        <v>7568110</v>
      </c>
      <c r="H28" s="806">
        <v>8906657</v>
      </c>
      <c r="I28" s="806">
        <v>8667772</v>
      </c>
      <c r="J28" s="568"/>
      <c r="K28" s="688"/>
      <c r="L28" s="688"/>
      <c r="M28" s="568">
        <f t="shared" ref="M28:AV28" si="6">SUM(M24:M27)</f>
        <v>0</v>
      </c>
      <c r="N28" s="568">
        <f t="shared" si="6"/>
        <v>0</v>
      </c>
      <c r="O28" s="568">
        <f t="shared" si="6"/>
        <v>0</v>
      </c>
      <c r="P28" s="568">
        <f t="shared" si="6"/>
        <v>4875</v>
      </c>
      <c r="Q28" s="568">
        <f t="shared" si="6"/>
        <v>0</v>
      </c>
      <c r="R28" s="568">
        <f t="shared" si="6"/>
        <v>0</v>
      </c>
      <c r="S28" s="568">
        <f t="shared" si="6"/>
        <v>0</v>
      </c>
      <c r="T28" s="568">
        <f t="shared" si="6"/>
        <v>1200521</v>
      </c>
      <c r="U28" s="568">
        <f t="shared" si="6"/>
        <v>11000</v>
      </c>
      <c r="V28" s="568">
        <f t="shared" si="6"/>
        <v>19190</v>
      </c>
      <c r="W28" s="568"/>
      <c r="X28" s="568"/>
      <c r="Y28" s="568"/>
      <c r="Z28" s="568">
        <f t="shared" si="6"/>
        <v>0</v>
      </c>
      <c r="AA28" s="568">
        <f t="shared" si="6"/>
        <v>189200</v>
      </c>
      <c r="AB28" s="568">
        <f t="shared" si="6"/>
        <v>871803</v>
      </c>
      <c r="AC28" s="568">
        <f t="shared" si="6"/>
        <v>0</v>
      </c>
      <c r="AD28" s="568">
        <f t="shared" si="6"/>
        <v>515970</v>
      </c>
      <c r="AE28" s="568">
        <f t="shared" si="6"/>
        <v>0</v>
      </c>
      <c r="AF28" s="568"/>
      <c r="AG28" s="568"/>
      <c r="AH28" s="568">
        <f t="shared" si="6"/>
        <v>127163</v>
      </c>
      <c r="AI28" s="568">
        <f t="shared" si="6"/>
        <v>0</v>
      </c>
      <c r="AJ28" s="568">
        <f t="shared" si="6"/>
        <v>48954</v>
      </c>
      <c r="AK28" s="568">
        <f t="shared" si="6"/>
        <v>0</v>
      </c>
      <c r="AL28" s="568">
        <f t="shared" si="6"/>
        <v>0</v>
      </c>
      <c r="AM28" s="568">
        <f t="shared" si="6"/>
        <v>0</v>
      </c>
      <c r="AN28" s="568">
        <f t="shared" si="6"/>
        <v>0</v>
      </c>
      <c r="AO28" s="568">
        <f t="shared" si="6"/>
        <v>58500</v>
      </c>
      <c r="AP28" s="568"/>
      <c r="AQ28" s="568"/>
      <c r="AR28" s="568">
        <f t="shared" si="6"/>
        <v>19500</v>
      </c>
      <c r="AS28" s="568">
        <f t="shared" si="6"/>
        <v>2466960</v>
      </c>
      <c r="AT28" s="568">
        <f t="shared" si="6"/>
        <v>1981292</v>
      </c>
      <c r="AU28" s="568"/>
      <c r="AV28" s="370">
        <f t="shared" si="6"/>
        <v>7514928</v>
      </c>
    </row>
    <row r="29" spans="1:48" ht="18" x14ac:dyDescent="0.25">
      <c r="A29" s="1" t="s">
        <v>179</v>
      </c>
      <c r="B29" s="91" t="s">
        <v>96</v>
      </c>
      <c r="C29" s="363"/>
      <c r="D29" s="363"/>
      <c r="E29" s="363"/>
      <c r="F29" s="365">
        <f t="shared" si="1"/>
        <v>700000</v>
      </c>
      <c r="G29" s="365"/>
      <c r="H29" s="365"/>
      <c r="I29" s="365"/>
      <c r="J29" s="564"/>
      <c r="K29" s="685"/>
      <c r="L29" s="685"/>
      <c r="M29" s="565"/>
      <c r="N29" s="565"/>
      <c r="O29" s="565"/>
      <c r="P29" s="565"/>
      <c r="Q29" s="565"/>
      <c r="R29" s="565"/>
      <c r="S29" s="565"/>
      <c r="T29" s="781">
        <v>10000</v>
      </c>
      <c r="U29" s="781">
        <v>600000</v>
      </c>
      <c r="V29" s="565"/>
      <c r="W29" s="565"/>
      <c r="X29" s="565"/>
      <c r="Y29" s="565"/>
      <c r="Z29" s="565"/>
      <c r="AA29" s="565"/>
      <c r="AB29" s="781">
        <v>20000</v>
      </c>
      <c r="AC29" s="565"/>
      <c r="AD29" s="565"/>
      <c r="AE29" s="565"/>
      <c r="AF29" s="565"/>
      <c r="AG29" s="565"/>
      <c r="AH29" s="781">
        <v>10000</v>
      </c>
      <c r="AI29" s="565"/>
      <c r="AJ29" s="565"/>
      <c r="AK29" s="565"/>
      <c r="AL29" s="565"/>
      <c r="AM29" s="565"/>
      <c r="AN29" s="565"/>
      <c r="AO29" s="565"/>
      <c r="AP29" s="565"/>
      <c r="AQ29" s="565"/>
      <c r="AR29" s="565"/>
      <c r="AS29" s="781">
        <v>50000</v>
      </c>
      <c r="AT29" s="781">
        <v>10000</v>
      </c>
      <c r="AU29" s="565"/>
      <c r="AV29" s="565">
        <f>SUM(M29:AT29)</f>
        <v>700000</v>
      </c>
    </row>
    <row r="30" spans="1:48" ht="18" x14ac:dyDescent="0.25">
      <c r="A30" s="1" t="s">
        <v>180</v>
      </c>
      <c r="B30" s="83" t="s">
        <v>181</v>
      </c>
      <c r="C30" s="363"/>
      <c r="D30" s="364"/>
      <c r="E30" s="564"/>
      <c r="F30" s="365">
        <f t="shared" si="1"/>
        <v>470000</v>
      </c>
      <c r="G30" s="365"/>
      <c r="H30" s="365"/>
      <c r="I30" s="365"/>
      <c r="J30" s="564"/>
      <c r="K30" s="685"/>
      <c r="L30" s="685"/>
      <c r="M30" s="565"/>
      <c r="N30" s="565"/>
      <c r="O30" s="565"/>
      <c r="P30" s="565"/>
      <c r="Q30" s="565"/>
      <c r="R30" s="565"/>
      <c r="S30" s="565"/>
      <c r="T30" s="565"/>
      <c r="U30" s="565"/>
      <c r="V30" s="565"/>
      <c r="W30" s="565"/>
      <c r="X30" s="565"/>
      <c r="Y30" s="565"/>
      <c r="Z30" s="565"/>
      <c r="AA30" s="781">
        <v>20000</v>
      </c>
      <c r="AB30" s="565"/>
      <c r="AC30" s="565"/>
      <c r="AD30" s="565"/>
      <c r="AE30" s="565"/>
      <c r="AF30" s="565"/>
      <c r="AG30" s="565"/>
      <c r="AH30" s="565"/>
      <c r="AI30" s="565"/>
      <c r="AJ30" s="565"/>
      <c r="AK30" s="565"/>
      <c r="AL30" s="781">
        <v>190000</v>
      </c>
      <c r="AM30" s="565"/>
      <c r="AN30" s="565"/>
      <c r="AO30" s="565"/>
      <c r="AP30" s="565"/>
      <c r="AQ30" s="565"/>
      <c r="AR30" s="565"/>
      <c r="AS30" s="781">
        <v>60000</v>
      </c>
      <c r="AT30" s="781">
        <v>200000</v>
      </c>
      <c r="AU30" s="565"/>
      <c r="AV30" s="565">
        <f>SUM(M30:AT30)</f>
        <v>470000</v>
      </c>
    </row>
    <row r="31" spans="1:48" ht="18" x14ac:dyDescent="0.25">
      <c r="A31" s="1" t="s">
        <v>589</v>
      </c>
      <c r="B31" s="83" t="s">
        <v>590</v>
      </c>
      <c r="C31" s="363"/>
      <c r="D31" s="364"/>
      <c r="E31" s="564"/>
      <c r="F31" s="365">
        <f t="shared" si="1"/>
        <v>850000</v>
      </c>
      <c r="G31" s="365"/>
      <c r="H31" s="365"/>
      <c r="I31" s="365"/>
      <c r="J31" s="564"/>
      <c r="K31" s="685"/>
      <c r="L31" s="685"/>
      <c r="M31" s="565"/>
      <c r="N31" s="565"/>
      <c r="O31" s="565"/>
      <c r="P31" s="565"/>
      <c r="Q31" s="565"/>
      <c r="R31" s="565"/>
      <c r="S31" s="565"/>
      <c r="T31" s="565"/>
      <c r="U31" s="565"/>
      <c r="V31" s="565"/>
      <c r="W31" s="565"/>
      <c r="X31" s="565"/>
      <c r="Y31" s="565"/>
      <c r="Z31" s="565"/>
      <c r="AA31" s="565"/>
      <c r="AB31" s="781">
        <v>250000</v>
      </c>
      <c r="AC31" s="565"/>
      <c r="AD31" s="565"/>
      <c r="AE31" s="565"/>
      <c r="AF31" s="565"/>
      <c r="AG31" s="565"/>
      <c r="AH31" s="565"/>
      <c r="AI31" s="565"/>
      <c r="AJ31" s="565"/>
      <c r="AK31" s="565"/>
      <c r="AL31" s="565"/>
      <c r="AM31" s="565"/>
      <c r="AN31" s="565"/>
      <c r="AO31" s="565"/>
      <c r="AP31" s="565"/>
      <c r="AQ31" s="565"/>
      <c r="AR31" s="565"/>
      <c r="AS31" s="781">
        <v>500000</v>
      </c>
      <c r="AT31" s="781">
        <v>100000</v>
      </c>
      <c r="AU31" s="565"/>
      <c r="AV31" s="565">
        <f>SUM(M31:AT31)</f>
        <v>850000</v>
      </c>
    </row>
    <row r="32" spans="1:48" ht="18" x14ac:dyDescent="0.25">
      <c r="A32" s="372" t="s">
        <v>182</v>
      </c>
      <c r="B32" s="92" t="s">
        <v>183</v>
      </c>
      <c r="C32" s="364">
        <f>SUM(C29:C31)</f>
        <v>0</v>
      </c>
      <c r="D32" s="364">
        <f>SUM(D29:D31)</f>
        <v>0</v>
      </c>
      <c r="E32" s="364">
        <f>SUM(E29:E31)</f>
        <v>0</v>
      </c>
      <c r="F32" s="806">
        <f t="shared" si="1"/>
        <v>2020000</v>
      </c>
      <c r="G32" s="806">
        <v>2020000</v>
      </c>
      <c r="H32" s="806">
        <v>2020000</v>
      </c>
      <c r="I32" s="806">
        <v>1395798</v>
      </c>
      <c r="J32" s="634"/>
      <c r="K32" s="685"/>
      <c r="L32" s="685"/>
      <c r="M32" s="564">
        <f>SUM(M29:M31)</f>
        <v>0</v>
      </c>
      <c r="N32" s="564">
        <f t="shared" ref="N32:AT32" si="7">SUM(N29:N31)</f>
        <v>0</v>
      </c>
      <c r="O32" s="564">
        <f t="shared" si="7"/>
        <v>0</v>
      </c>
      <c r="P32" s="564">
        <f t="shared" si="7"/>
        <v>0</v>
      </c>
      <c r="Q32" s="564">
        <f t="shared" si="7"/>
        <v>0</v>
      </c>
      <c r="R32" s="564">
        <f t="shared" si="7"/>
        <v>0</v>
      </c>
      <c r="S32" s="564">
        <f t="shared" si="7"/>
        <v>0</v>
      </c>
      <c r="T32" s="564">
        <f t="shared" si="7"/>
        <v>10000</v>
      </c>
      <c r="U32" s="564">
        <f t="shared" si="7"/>
        <v>600000</v>
      </c>
      <c r="V32" s="564">
        <f t="shared" si="7"/>
        <v>0</v>
      </c>
      <c r="W32" s="564"/>
      <c r="X32" s="564"/>
      <c r="Y32" s="564"/>
      <c r="Z32" s="564">
        <f t="shared" si="7"/>
        <v>0</v>
      </c>
      <c r="AA32" s="564">
        <f t="shared" si="7"/>
        <v>20000</v>
      </c>
      <c r="AB32" s="564">
        <f t="shared" si="7"/>
        <v>270000</v>
      </c>
      <c r="AC32" s="564">
        <f t="shared" si="7"/>
        <v>0</v>
      </c>
      <c r="AD32" s="564">
        <f t="shared" si="7"/>
        <v>0</v>
      </c>
      <c r="AE32" s="564">
        <f t="shared" si="7"/>
        <v>0</v>
      </c>
      <c r="AF32" s="564"/>
      <c r="AG32" s="564"/>
      <c r="AH32" s="564">
        <f t="shared" si="7"/>
        <v>10000</v>
      </c>
      <c r="AI32" s="564">
        <f t="shared" si="7"/>
        <v>0</v>
      </c>
      <c r="AJ32" s="564">
        <f t="shared" si="7"/>
        <v>0</v>
      </c>
      <c r="AK32" s="564">
        <f t="shared" si="7"/>
        <v>0</v>
      </c>
      <c r="AL32" s="564">
        <f t="shared" si="7"/>
        <v>190000</v>
      </c>
      <c r="AM32" s="564">
        <f t="shared" si="7"/>
        <v>0</v>
      </c>
      <c r="AN32" s="564">
        <f t="shared" si="7"/>
        <v>0</v>
      </c>
      <c r="AO32" s="564">
        <f t="shared" si="7"/>
        <v>0</v>
      </c>
      <c r="AP32" s="564"/>
      <c r="AQ32" s="564"/>
      <c r="AR32" s="564">
        <f t="shared" si="7"/>
        <v>0</v>
      </c>
      <c r="AS32" s="564">
        <f t="shared" si="7"/>
        <v>610000</v>
      </c>
      <c r="AT32" s="564">
        <f t="shared" si="7"/>
        <v>310000</v>
      </c>
      <c r="AU32" s="564"/>
      <c r="AV32" s="564">
        <f>SUM(AV29:AV31)</f>
        <v>2020000</v>
      </c>
    </row>
    <row r="33" spans="1:48" ht="18" x14ac:dyDescent="0.25">
      <c r="A33" s="1" t="s">
        <v>187</v>
      </c>
      <c r="B33" s="83" t="s">
        <v>585</v>
      </c>
      <c r="C33" s="363"/>
      <c r="D33" s="373"/>
      <c r="E33" s="564"/>
      <c r="F33" s="365">
        <f t="shared" si="1"/>
        <v>1500000</v>
      </c>
      <c r="G33" s="365"/>
      <c r="H33" s="365"/>
      <c r="I33" s="365"/>
      <c r="J33" s="564"/>
      <c r="K33" s="685"/>
      <c r="L33" s="685"/>
      <c r="M33" s="565"/>
      <c r="N33" s="565"/>
      <c r="O33" s="565"/>
      <c r="P33" s="565"/>
      <c r="Q33" s="565"/>
      <c r="R33" s="565"/>
      <c r="S33" s="565"/>
      <c r="T33" s="565"/>
      <c r="U33" s="565"/>
      <c r="V33" s="565"/>
      <c r="W33" s="565"/>
      <c r="X33" s="565"/>
      <c r="Y33" s="565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565"/>
      <c r="AL33" s="781">
        <v>1500000</v>
      </c>
      <c r="AM33" s="565"/>
      <c r="AN33" s="565"/>
      <c r="AO33" s="565"/>
      <c r="AP33" s="565"/>
      <c r="AQ33" s="565"/>
      <c r="AR33" s="565"/>
      <c r="AS33" s="565"/>
      <c r="AT33" s="565"/>
      <c r="AU33" s="565"/>
      <c r="AV33" s="565">
        <f t="shared" ref="AV33:AV38" si="8">SUM(M33:AT33)</f>
        <v>1500000</v>
      </c>
    </row>
    <row r="34" spans="1:48" ht="18" x14ac:dyDescent="0.25">
      <c r="A34" s="1" t="s">
        <v>188</v>
      </c>
      <c r="B34" s="83" t="s">
        <v>184</v>
      </c>
      <c r="C34" s="363"/>
      <c r="D34" s="364"/>
      <c r="E34" s="564"/>
      <c r="F34" s="365">
        <f t="shared" si="1"/>
        <v>310000</v>
      </c>
      <c r="G34" s="365"/>
      <c r="H34" s="365"/>
      <c r="I34" s="365"/>
      <c r="J34" s="564"/>
      <c r="K34" s="685"/>
      <c r="L34" s="68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Y34" s="565"/>
      <c r="Z34" s="565"/>
      <c r="AA34" s="781">
        <v>30000</v>
      </c>
      <c r="AB34" s="781">
        <v>100000</v>
      </c>
      <c r="AC34" s="565"/>
      <c r="AD34" s="565"/>
      <c r="AE34" s="565"/>
      <c r="AF34" s="565"/>
      <c r="AG34" s="565"/>
      <c r="AH34" s="565"/>
      <c r="AI34" s="565"/>
      <c r="AJ34" s="565"/>
      <c r="AK34" s="565"/>
      <c r="AL34" s="565"/>
      <c r="AM34" s="565"/>
      <c r="AN34" s="565"/>
      <c r="AO34" s="565"/>
      <c r="AP34" s="565"/>
      <c r="AQ34" s="565"/>
      <c r="AR34" s="565"/>
      <c r="AS34" s="781">
        <v>80000</v>
      </c>
      <c r="AT34" s="781">
        <v>100000</v>
      </c>
      <c r="AU34" s="565"/>
      <c r="AV34" s="565">
        <f t="shared" si="8"/>
        <v>310000</v>
      </c>
    </row>
    <row r="35" spans="1:48" ht="18" x14ac:dyDescent="0.25">
      <c r="A35" s="1" t="s">
        <v>189</v>
      </c>
      <c r="B35" s="83" t="s">
        <v>185</v>
      </c>
      <c r="C35" s="363"/>
      <c r="D35" s="364"/>
      <c r="E35" s="564"/>
      <c r="F35" s="365">
        <f t="shared" si="1"/>
        <v>0</v>
      </c>
      <c r="G35" s="365"/>
      <c r="H35" s="365"/>
      <c r="I35" s="365"/>
      <c r="J35" s="564"/>
      <c r="K35" s="685"/>
      <c r="L35" s="68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5"/>
      <c r="Z35" s="565"/>
      <c r="AA35" s="565"/>
      <c r="AB35" s="565"/>
      <c r="AC35" s="565"/>
      <c r="AD35" s="565"/>
      <c r="AE35" s="565"/>
      <c r="AF35" s="565"/>
      <c r="AG35" s="565"/>
      <c r="AH35" s="565"/>
      <c r="AI35" s="565"/>
      <c r="AJ35" s="565"/>
      <c r="AK35" s="565"/>
      <c r="AL35" s="565"/>
      <c r="AM35" s="565"/>
      <c r="AN35" s="565"/>
      <c r="AO35" s="565"/>
      <c r="AP35" s="565"/>
      <c r="AQ35" s="565"/>
      <c r="AR35" s="565"/>
      <c r="AS35" s="565"/>
      <c r="AT35" s="565"/>
      <c r="AU35" s="565"/>
      <c r="AV35" s="565">
        <f t="shared" si="8"/>
        <v>0</v>
      </c>
    </row>
    <row r="36" spans="1:48" ht="18" x14ac:dyDescent="0.25">
      <c r="A36" s="1" t="s">
        <v>190</v>
      </c>
      <c r="B36" s="83" t="s">
        <v>70</v>
      </c>
      <c r="C36" s="363"/>
      <c r="D36" s="364"/>
      <c r="E36" s="564"/>
      <c r="F36" s="365">
        <f t="shared" si="1"/>
        <v>1060000</v>
      </c>
      <c r="G36" s="365"/>
      <c r="H36" s="365"/>
      <c r="I36" s="365"/>
      <c r="J36" s="564"/>
      <c r="K36" s="685"/>
      <c r="L36" s="685"/>
      <c r="M36" s="565"/>
      <c r="N36" s="565"/>
      <c r="O36" s="565"/>
      <c r="P36" s="565"/>
      <c r="Q36" s="565"/>
      <c r="R36" s="565"/>
      <c r="S36" s="565"/>
      <c r="T36" s="781">
        <v>1000000</v>
      </c>
      <c r="U36" s="565"/>
      <c r="V36" s="565"/>
      <c r="W36" s="565"/>
      <c r="X36" s="781">
        <v>60000</v>
      </c>
      <c r="Y36" s="565"/>
      <c r="Z36" s="565"/>
      <c r="AA36" s="565"/>
      <c r="AB36" s="565"/>
      <c r="AC36" s="565"/>
      <c r="AD36" s="565"/>
      <c r="AE36" s="565"/>
      <c r="AF36" s="565"/>
      <c r="AG36" s="565"/>
      <c r="AH36" s="565"/>
      <c r="AI36" s="565"/>
      <c r="AJ36" s="565"/>
      <c r="AK36" s="565"/>
      <c r="AL36" s="565"/>
      <c r="AM36" s="565"/>
      <c r="AN36" s="565"/>
      <c r="AO36" s="565"/>
      <c r="AP36" s="565"/>
      <c r="AQ36" s="565"/>
      <c r="AR36" s="565"/>
      <c r="AS36" s="565"/>
      <c r="AT36" s="565"/>
      <c r="AU36" s="565"/>
      <c r="AV36" s="565">
        <f t="shared" si="8"/>
        <v>1060000</v>
      </c>
    </row>
    <row r="37" spans="1:48" ht="18" x14ac:dyDescent="0.25">
      <c r="A37" s="1" t="s">
        <v>178</v>
      </c>
      <c r="B37" s="91" t="s">
        <v>78</v>
      </c>
      <c r="C37" s="363"/>
      <c r="D37" s="364"/>
      <c r="E37" s="564"/>
      <c r="F37" s="365">
        <f t="shared" si="1"/>
        <v>246870</v>
      </c>
      <c r="G37" s="365"/>
      <c r="H37" s="365"/>
      <c r="I37" s="365"/>
      <c r="J37" s="564"/>
      <c r="K37" s="685"/>
      <c r="L37" s="685"/>
      <c r="M37" s="565"/>
      <c r="N37" s="565"/>
      <c r="O37" s="565"/>
      <c r="P37" s="565"/>
      <c r="Q37" s="565"/>
      <c r="R37" s="565"/>
      <c r="S37" s="565"/>
      <c r="T37" s="781">
        <v>120000</v>
      </c>
      <c r="U37" s="565"/>
      <c r="V37" s="565"/>
      <c r="W37" s="565"/>
      <c r="X37" s="565"/>
      <c r="Y37" s="565"/>
      <c r="Z37" s="565"/>
      <c r="AA37" s="565"/>
      <c r="AB37" s="781">
        <v>12500</v>
      </c>
      <c r="AC37" s="565"/>
      <c r="AD37" s="781">
        <v>39370</v>
      </c>
      <c r="AE37" s="565"/>
      <c r="AF37" s="565"/>
      <c r="AG37" s="565"/>
      <c r="AH37" s="565"/>
      <c r="AI37" s="565"/>
      <c r="AJ37" s="565"/>
      <c r="AK37" s="565"/>
      <c r="AL37" s="565"/>
      <c r="AM37" s="565"/>
      <c r="AN37" s="565"/>
      <c r="AO37" s="565"/>
      <c r="AP37" s="565"/>
      <c r="AQ37" s="565"/>
      <c r="AR37" s="565"/>
      <c r="AS37" s="781">
        <v>50000</v>
      </c>
      <c r="AT37" s="781">
        <v>25000</v>
      </c>
      <c r="AU37" s="565"/>
      <c r="AV37" s="565">
        <f t="shared" si="8"/>
        <v>246870</v>
      </c>
    </row>
    <row r="38" spans="1:48" ht="18" x14ac:dyDescent="0.25">
      <c r="A38" s="1" t="s">
        <v>192</v>
      </c>
      <c r="B38" s="83" t="s">
        <v>565</v>
      </c>
      <c r="C38" s="363"/>
      <c r="D38" s="364"/>
      <c r="E38" s="564"/>
      <c r="F38" s="365">
        <f t="shared" si="1"/>
        <v>6929000</v>
      </c>
      <c r="G38" s="365"/>
      <c r="H38" s="365"/>
      <c r="I38" s="365"/>
      <c r="J38" s="564"/>
      <c r="K38" s="685"/>
      <c r="L38" s="685"/>
      <c r="M38" s="565"/>
      <c r="N38" s="565"/>
      <c r="O38" s="565"/>
      <c r="P38" s="565"/>
      <c r="Q38" s="565"/>
      <c r="R38" s="565"/>
      <c r="S38" s="781">
        <v>50000</v>
      </c>
      <c r="T38" s="781">
        <v>2794000</v>
      </c>
      <c r="U38" s="781">
        <v>30000</v>
      </c>
      <c r="V38" s="565"/>
      <c r="W38" s="565"/>
      <c r="X38" s="565"/>
      <c r="Y38" s="565"/>
      <c r="Z38" s="565"/>
      <c r="AA38" s="565"/>
      <c r="AB38" s="781">
        <v>550000</v>
      </c>
      <c r="AC38" s="565"/>
      <c r="AD38" s="781">
        <v>15000</v>
      </c>
      <c r="AE38" s="565"/>
      <c r="AF38" s="565"/>
      <c r="AG38" s="565"/>
      <c r="AH38" s="565"/>
      <c r="AI38" s="565"/>
      <c r="AJ38" s="565"/>
      <c r="AK38" s="565"/>
      <c r="AL38" s="781">
        <v>10000</v>
      </c>
      <c r="AM38" s="781">
        <v>150000</v>
      </c>
      <c r="AN38" s="565"/>
      <c r="AO38" s="781">
        <v>800000</v>
      </c>
      <c r="AP38" s="565"/>
      <c r="AQ38" s="565"/>
      <c r="AR38" s="781">
        <v>30000</v>
      </c>
      <c r="AS38" s="781">
        <v>500000</v>
      </c>
      <c r="AT38" s="781">
        <v>2000000</v>
      </c>
      <c r="AU38" s="565"/>
      <c r="AV38" s="565">
        <f t="shared" si="8"/>
        <v>6929000</v>
      </c>
    </row>
    <row r="39" spans="1:48" ht="18" x14ac:dyDescent="0.25">
      <c r="A39" s="1" t="s">
        <v>193</v>
      </c>
      <c r="B39" s="554" t="s">
        <v>194</v>
      </c>
      <c r="C39" s="807">
        <f>SUM(C33:C38)</f>
        <v>0</v>
      </c>
      <c r="D39" s="807">
        <f>SUM(D33:D38)</f>
        <v>0</v>
      </c>
      <c r="E39" s="807">
        <f>SUM(E33:E38)</f>
        <v>0</v>
      </c>
      <c r="F39" s="806">
        <f t="shared" si="1"/>
        <v>10045870</v>
      </c>
      <c r="G39" s="806">
        <v>10045870</v>
      </c>
      <c r="H39" s="806">
        <v>9294117</v>
      </c>
      <c r="I39" s="806">
        <v>8289536</v>
      </c>
      <c r="J39" s="634"/>
      <c r="K39" s="686"/>
      <c r="L39" s="686"/>
      <c r="M39" s="564">
        <f t="shared" ref="M39:AV39" si="9">SUM(M33:M38)</f>
        <v>0</v>
      </c>
      <c r="N39" s="564">
        <f t="shared" si="9"/>
        <v>0</v>
      </c>
      <c r="O39" s="564">
        <f t="shared" si="9"/>
        <v>0</v>
      </c>
      <c r="P39" s="564">
        <f t="shared" si="9"/>
        <v>0</v>
      </c>
      <c r="Q39" s="564">
        <f t="shared" si="9"/>
        <v>0</v>
      </c>
      <c r="R39" s="564">
        <f t="shared" si="9"/>
        <v>0</v>
      </c>
      <c r="S39" s="564">
        <f t="shared" si="9"/>
        <v>50000</v>
      </c>
      <c r="T39" s="564">
        <f t="shared" si="9"/>
        <v>3914000</v>
      </c>
      <c r="U39" s="564">
        <f t="shared" si="9"/>
        <v>30000</v>
      </c>
      <c r="V39" s="564">
        <f t="shared" si="9"/>
        <v>0</v>
      </c>
      <c r="W39" s="564">
        <f>SUM(W33:W38)</f>
        <v>0</v>
      </c>
      <c r="X39" s="564">
        <f>SUM(X33:X38)</f>
        <v>60000</v>
      </c>
      <c r="Y39" s="564">
        <f>SUM(Y33:Y38)</f>
        <v>0</v>
      </c>
      <c r="Z39" s="564">
        <f t="shared" si="9"/>
        <v>0</v>
      </c>
      <c r="AA39" s="564">
        <f t="shared" si="9"/>
        <v>30000</v>
      </c>
      <c r="AB39" s="564">
        <f t="shared" si="9"/>
        <v>662500</v>
      </c>
      <c r="AC39" s="564">
        <f t="shared" si="9"/>
        <v>0</v>
      </c>
      <c r="AD39" s="564">
        <f t="shared" si="9"/>
        <v>54370</v>
      </c>
      <c r="AE39" s="564">
        <f t="shared" si="9"/>
        <v>0</v>
      </c>
      <c r="AF39" s="564"/>
      <c r="AG39" s="564"/>
      <c r="AH39" s="564">
        <f t="shared" si="9"/>
        <v>0</v>
      </c>
      <c r="AI39" s="564">
        <f t="shared" si="9"/>
        <v>0</v>
      </c>
      <c r="AJ39" s="564">
        <f t="shared" si="9"/>
        <v>0</v>
      </c>
      <c r="AK39" s="564">
        <f t="shared" si="9"/>
        <v>0</v>
      </c>
      <c r="AL39" s="564">
        <f t="shared" si="9"/>
        <v>1510000</v>
      </c>
      <c r="AM39" s="564">
        <f t="shared" si="9"/>
        <v>150000</v>
      </c>
      <c r="AN39" s="564">
        <f t="shared" si="9"/>
        <v>0</v>
      </c>
      <c r="AO39" s="564">
        <f t="shared" si="9"/>
        <v>800000</v>
      </c>
      <c r="AP39" s="564"/>
      <c r="AQ39" s="564"/>
      <c r="AR39" s="564">
        <f t="shared" si="9"/>
        <v>30000</v>
      </c>
      <c r="AS39" s="564">
        <f t="shared" si="9"/>
        <v>630000</v>
      </c>
      <c r="AT39" s="564">
        <f t="shared" si="9"/>
        <v>2125000</v>
      </c>
      <c r="AU39" s="564"/>
      <c r="AV39" s="564">
        <f t="shared" si="9"/>
        <v>10045870</v>
      </c>
    </row>
    <row r="40" spans="1:48" s="559" customFormat="1" ht="18" x14ac:dyDescent="0.25">
      <c r="A40" s="145" t="s">
        <v>178</v>
      </c>
      <c r="B40" s="808" t="s">
        <v>197</v>
      </c>
      <c r="C40" s="608">
        <f>SUM(C39,C32)</f>
        <v>0</v>
      </c>
      <c r="D40" s="608">
        <f>SUM(D39,D32)</f>
        <v>0</v>
      </c>
      <c r="E40" s="608">
        <f>SUM(E39,E32)</f>
        <v>0</v>
      </c>
      <c r="F40" s="806">
        <f t="shared" si="1"/>
        <v>12065870</v>
      </c>
      <c r="G40" s="806">
        <f>G32+G39</f>
        <v>12065870</v>
      </c>
      <c r="H40" s="806">
        <f>H32+H39</f>
        <v>11314117</v>
      </c>
      <c r="I40" s="806">
        <f>I32+I39</f>
        <v>9685334</v>
      </c>
      <c r="J40" s="568"/>
      <c r="K40" s="685"/>
      <c r="L40" s="685"/>
      <c r="M40" s="370">
        <f t="shared" ref="M40:AV40" si="10">SUM(M39,M32)</f>
        <v>0</v>
      </c>
      <c r="N40" s="370">
        <f t="shared" si="10"/>
        <v>0</v>
      </c>
      <c r="O40" s="370">
        <f t="shared" si="10"/>
        <v>0</v>
      </c>
      <c r="P40" s="370">
        <f t="shared" si="10"/>
        <v>0</v>
      </c>
      <c r="Q40" s="370">
        <f t="shared" si="10"/>
        <v>0</v>
      </c>
      <c r="R40" s="370">
        <f t="shared" si="10"/>
        <v>0</v>
      </c>
      <c r="S40" s="370">
        <f t="shared" si="10"/>
        <v>50000</v>
      </c>
      <c r="T40" s="370">
        <f t="shared" si="10"/>
        <v>3924000</v>
      </c>
      <c r="U40" s="370">
        <f t="shared" si="10"/>
        <v>630000</v>
      </c>
      <c r="V40" s="370">
        <f t="shared" si="10"/>
        <v>0</v>
      </c>
      <c r="W40" s="370">
        <f>SUM(W39,W32)</f>
        <v>0</v>
      </c>
      <c r="X40" s="370">
        <f>SUM(X39,X32)</f>
        <v>60000</v>
      </c>
      <c r="Y40" s="370">
        <f>SUM(Y39,Y32)</f>
        <v>0</v>
      </c>
      <c r="Z40" s="370">
        <f t="shared" si="10"/>
        <v>0</v>
      </c>
      <c r="AA40" s="370">
        <f t="shared" si="10"/>
        <v>50000</v>
      </c>
      <c r="AB40" s="370">
        <f t="shared" si="10"/>
        <v>932500</v>
      </c>
      <c r="AC40" s="370">
        <f t="shared" si="10"/>
        <v>0</v>
      </c>
      <c r="AD40" s="370">
        <f t="shared" si="10"/>
        <v>54370</v>
      </c>
      <c r="AE40" s="370">
        <f t="shared" si="10"/>
        <v>0</v>
      </c>
      <c r="AF40" s="370"/>
      <c r="AG40" s="370"/>
      <c r="AH40" s="370">
        <f t="shared" si="10"/>
        <v>10000</v>
      </c>
      <c r="AI40" s="370">
        <f t="shared" si="10"/>
        <v>0</v>
      </c>
      <c r="AJ40" s="370">
        <f t="shared" si="10"/>
        <v>0</v>
      </c>
      <c r="AK40" s="370">
        <f t="shared" si="10"/>
        <v>0</v>
      </c>
      <c r="AL40" s="370">
        <f t="shared" si="10"/>
        <v>1700000</v>
      </c>
      <c r="AM40" s="370">
        <f t="shared" si="10"/>
        <v>150000</v>
      </c>
      <c r="AN40" s="370">
        <f t="shared" si="10"/>
        <v>0</v>
      </c>
      <c r="AO40" s="370">
        <f t="shared" si="10"/>
        <v>800000</v>
      </c>
      <c r="AP40" s="370"/>
      <c r="AQ40" s="370"/>
      <c r="AR40" s="370">
        <f t="shared" si="10"/>
        <v>30000</v>
      </c>
      <c r="AS40" s="370">
        <f t="shared" si="10"/>
        <v>1240000</v>
      </c>
      <c r="AT40" s="370">
        <f t="shared" si="10"/>
        <v>2435000</v>
      </c>
      <c r="AU40" s="370"/>
      <c r="AV40" s="370">
        <f t="shared" si="10"/>
        <v>12065870</v>
      </c>
    </row>
    <row r="41" spans="1:48" ht="18" x14ac:dyDescent="0.25">
      <c r="A41" s="1" t="s">
        <v>198</v>
      </c>
      <c r="B41" s="83" t="s">
        <v>199</v>
      </c>
      <c r="C41" s="363"/>
      <c r="D41" s="466"/>
      <c r="E41" s="363"/>
      <c r="F41" s="365">
        <f t="shared" si="1"/>
        <v>280000</v>
      </c>
      <c r="G41" s="365">
        <v>280000</v>
      </c>
      <c r="H41" s="365">
        <v>280000</v>
      </c>
      <c r="I41" s="365">
        <v>226693</v>
      </c>
      <c r="J41" s="564"/>
      <c r="K41" s="685"/>
      <c r="L41" s="685"/>
      <c r="M41" s="565"/>
      <c r="N41" s="565"/>
      <c r="O41" s="565"/>
      <c r="P41" s="565"/>
      <c r="Q41" s="565"/>
      <c r="R41" s="565"/>
      <c r="S41" s="565"/>
      <c r="T41" s="565"/>
      <c r="U41" s="565"/>
      <c r="V41" s="565"/>
      <c r="W41" s="565"/>
      <c r="X41" s="565"/>
      <c r="Y41" s="565"/>
      <c r="Z41" s="565"/>
      <c r="AA41" s="565"/>
      <c r="AB41" s="781">
        <v>280000</v>
      </c>
      <c r="AC41" s="565"/>
      <c r="AD41" s="565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565"/>
      <c r="AP41" s="565"/>
      <c r="AQ41" s="565"/>
      <c r="AR41" s="565"/>
      <c r="AS41" s="565"/>
      <c r="AT41" s="565"/>
      <c r="AU41" s="565"/>
      <c r="AV41" s="565">
        <f>SUM(M41:AT41)</f>
        <v>280000</v>
      </c>
    </row>
    <row r="42" spans="1:48" ht="18" customHeight="1" x14ac:dyDescent="0.25">
      <c r="A42" s="1" t="s">
        <v>200</v>
      </c>
      <c r="B42" s="83" t="s">
        <v>563</v>
      </c>
      <c r="C42" s="363"/>
      <c r="D42" s="364"/>
      <c r="E42" s="564"/>
      <c r="F42" s="365">
        <f t="shared" si="1"/>
        <v>940600</v>
      </c>
      <c r="G42" s="365">
        <v>940600</v>
      </c>
      <c r="H42" s="365">
        <v>986570</v>
      </c>
      <c r="I42" s="365">
        <v>799355</v>
      </c>
      <c r="J42" s="564"/>
      <c r="K42" s="685"/>
      <c r="L42" s="685"/>
      <c r="M42" s="565"/>
      <c r="N42" s="565"/>
      <c r="O42" s="565"/>
      <c r="P42" s="565"/>
      <c r="Q42" s="565"/>
      <c r="R42" s="565"/>
      <c r="S42" s="565"/>
      <c r="T42" s="781">
        <v>57000</v>
      </c>
      <c r="U42" s="565"/>
      <c r="V42" s="565"/>
      <c r="W42" s="565"/>
      <c r="X42" s="565"/>
      <c r="Y42" s="565"/>
      <c r="Z42" s="565"/>
      <c r="AA42" s="565"/>
      <c r="AB42" s="781">
        <v>155000</v>
      </c>
      <c r="AC42" s="565"/>
      <c r="AD42" s="565"/>
      <c r="AE42" s="565"/>
      <c r="AF42" s="565"/>
      <c r="AG42" s="565"/>
      <c r="AH42" s="565"/>
      <c r="AI42" s="565"/>
      <c r="AJ42" s="565"/>
      <c r="AK42" s="781">
        <v>93600</v>
      </c>
      <c r="AL42" s="781">
        <v>156000</v>
      </c>
      <c r="AM42" s="565"/>
      <c r="AN42" s="565"/>
      <c r="AO42" s="565"/>
      <c r="AP42" s="565"/>
      <c r="AQ42" s="565"/>
      <c r="AR42" s="565"/>
      <c r="AS42" s="781">
        <v>124000</v>
      </c>
      <c r="AT42" s="781">
        <v>355000</v>
      </c>
      <c r="AU42" s="565"/>
      <c r="AV42" s="565">
        <f>SUM(M42:AU42)</f>
        <v>940600</v>
      </c>
    </row>
    <row r="43" spans="1:48" ht="18" x14ac:dyDescent="0.25">
      <c r="A43" s="145" t="s">
        <v>201</v>
      </c>
      <c r="B43" s="809" t="s">
        <v>202</v>
      </c>
      <c r="C43" s="810">
        <f>SUM(C41:C42)</f>
        <v>0</v>
      </c>
      <c r="D43" s="810">
        <f>SUM(D41:D42)</f>
        <v>0</v>
      </c>
      <c r="E43" s="810">
        <f>SUM(E41:E42)</f>
        <v>0</v>
      </c>
      <c r="F43" s="806">
        <f t="shared" si="1"/>
        <v>1220600</v>
      </c>
      <c r="G43" s="806">
        <f>G41+G42</f>
        <v>1220600</v>
      </c>
      <c r="H43" s="806">
        <f>H41+H42</f>
        <v>1266570</v>
      </c>
      <c r="I43" s="806">
        <f>I41+I42</f>
        <v>1026048</v>
      </c>
      <c r="J43" s="568"/>
      <c r="K43" s="685"/>
      <c r="L43" s="685"/>
      <c r="M43" s="568">
        <f t="shared" ref="M43:AV43" si="11">SUM(M41:M42)</f>
        <v>0</v>
      </c>
      <c r="N43" s="568">
        <f t="shared" si="11"/>
        <v>0</v>
      </c>
      <c r="O43" s="568">
        <f t="shared" si="11"/>
        <v>0</v>
      </c>
      <c r="P43" s="568">
        <f t="shared" si="11"/>
        <v>0</v>
      </c>
      <c r="Q43" s="568">
        <f t="shared" si="11"/>
        <v>0</v>
      </c>
      <c r="R43" s="568">
        <f t="shared" si="11"/>
        <v>0</v>
      </c>
      <c r="S43" s="568">
        <f t="shared" si="11"/>
        <v>0</v>
      </c>
      <c r="T43" s="568">
        <f t="shared" si="11"/>
        <v>57000</v>
      </c>
      <c r="U43" s="568">
        <f t="shared" si="11"/>
        <v>0</v>
      </c>
      <c r="V43" s="568">
        <f t="shared" si="11"/>
        <v>0</v>
      </c>
      <c r="W43" s="568"/>
      <c r="X43" s="568"/>
      <c r="Y43" s="568"/>
      <c r="Z43" s="568">
        <f t="shared" si="11"/>
        <v>0</v>
      </c>
      <c r="AA43" s="568">
        <f t="shared" si="11"/>
        <v>0</v>
      </c>
      <c r="AB43" s="568">
        <f t="shared" si="11"/>
        <v>435000</v>
      </c>
      <c r="AC43" s="568">
        <f t="shared" si="11"/>
        <v>0</v>
      </c>
      <c r="AD43" s="568">
        <f t="shared" si="11"/>
        <v>0</v>
      </c>
      <c r="AE43" s="568">
        <f t="shared" si="11"/>
        <v>0</v>
      </c>
      <c r="AF43" s="568"/>
      <c r="AG43" s="568"/>
      <c r="AH43" s="568">
        <f t="shared" si="11"/>
        <v>0</v>
      </c>
      <c r="AI43" s="568">
        <f t="shared" si="11"/>
        <v>0</v>
      </c>
      <c r="AJ43" s="568">
        <f t="shared" si="11"/>
        <v>0</v>
      </c>
      <c r="AK43" s="568">
        <f t="shared" si="11"/>
        <v>93600</v>
      </c>
      <c r="AL43" s="568">
        <f t="shared" si="11"/>
        <v>156000</v>
      </c>
      <c r="AM43" s="568">
        <f t="shared" si="11"/>
        <v>0</v>
      </c>
      <c r="AN43" s="568">
        <f t="shared" si="11"/>
        <v>0</v>
      </c>
      <c r="AO43" s="568">
        <f t="shared" si="11"/>
        <v>0</v>
      </c>
      <c r="AP43" s="568"/>
      <c r="AQ43" s="568"/>
      <c r="AR43" s="568">
        <f t="shared" si="11"/>
        <v>0</v>
      </c>
      <c r="AS43" s="568">
        <f t="shared" si="11"/>
        <v>124000</v>
      </c>
      <c r="AT43" s="568">
        <f t="shared" si="11"/>
        <v>355000</v>
      </c>
      <c r="AU43" s="568"/>
      <c r="AV43" s="568">
        <f t="shared" si="11"/>
        <v>1220600</v>
      </c>
    </row>
    <row r="44" spans="1:48" ht="18" x14ac:dyDescent="0.25">
      <c r="A44" s="1" t="s">
        <v>203</v>
      </c>
      <c r="B44" s="83" t="s">
        <v>451</v>
      </c>
      <c r="C44" s="363"/>
      <c r="D44" s="364"/>
      <c r="E44" s="564"/>
      <c r="F44" s="365">
        <f t="shared" si="1"/>
        <v>7889000</v>
      </c>
      <c r="G44" s="365">
        <v>7894000</v>
      </c>
      <c r="H44" s="365">
        <v>8082886</v>
      </c>
      <c r="I44" s="365">
        <v>6248433</v>
      </c>
      <c r="J44" s="564"/>
      <c r="K44" s="685"/>
      <c r="L44" s="685"/>
      <c r="M44" s="565"/>
      <c r="N44" s="565"/>
      <c r="O44" s="565"/>
      <c r="P44" s="565"/>
      <c r="Q44" s="565"/>
      <c r="R44" s="565"/>
      <c r="S44" s="565"/>
      <c r="T44" s="781">
        <v>7000</v>
      </c>
      <c r="U44" s="565"/>
      <c r="V44" s="565"/>
      <c r="W44" s="565"/>
      <c r="X44" s="781">
        <v>12000</v>
      </c>
      <c r="Y44" s="565"/>
      <c r="Z44" s="565"/>
      <c r="AA44" s="565"/>
      <c r="AB44" s="781">
        <v>950000</v>
      </c>
      <c r="AC44" s="565"/>
      <c r="AD44" s="781">
        <v>30000</v>
      </c>
      <c r="AE44" s="781">
        <v>1800000</v>
      </c>
      <c r="AF44" s="565"/>
      <c r="AG44" s="565"/>
      <c r="AH44" s="565"/>
      <c r="AI44" s="565"/>
      <c r="AJ44" s="565"/>
      <c r="AK44" s="781">
        <v>3400000</v>
      </c>
      <c r="AL44" s="781">
        <v>527900</v>
      </c>
      <c r="AM44" s="565"/>
      <c r="AN44" s="565"/>
      <c r="AO44" s="781">
        <v>20000</v>
      </c>
      <c r="AP44" s="565"/>
      <c r="AQ44" s="565"/>
      <c r="AR44" s="565"/>
      <c r="AS44" s="781">
        <v>690000</v>
      </c>
      <c r="AT44" s="781">
        <v>452100</v>
      </c>
      <c r="AU44" s="565"/>
      <c r="AV44" s="565">
        <f>SUM(M44:AT44)</f>
        <v>7889000</v>
      </c>
    </row>
    <row r="45" spans="1:48" ht="18" x14ac:dyDescent="0.25">
      <c r="A45" s="1" t="s">
        <v>214</v>
      </c>
      <c r="B45" s="83" t="s">
        <v>215</v>
      </c>
      <c r="C45" s="363"/>
      <c r="D45" s="364"/>
      <c r="E45" s="564"/>
      <c r="F45" s="365">
        <f t="shared" si="1"/>
        <v>8316843</v>
      </c>
      <c r="G45" s="365">
        <v>8316843</v>
      </c>
      <c r="H45" s="365">
        <v>8316843</v>
      </c>
      <c r="I45" s="365">
        <v>7184600</v>
      </c>
      <c r="J45" s="564"/>
      <c r="K45" s="685"/>
      <c r="L45" s="685"/>
      <c r="M45" s="565"/>
      <c r="N45" s="565"/>
      <c r="O45" s="565"/>
      <c r="P45" s="565"/>
      <c r="Q45" s="781">
        <v>8316843</v>
      </c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781"/>
      <c r="AL45" s="565"/>
      <c r="AM45" s="565"/>
      <c r="AN45" s="565"/>
      <c r="AO45" s="565"/>
      <c r="AP45" s="565"/>
      <c r="AQ45" s="565"/>
      <c r="AR45" s="565"/>
      <c r="AS45" s="565"/>
      <c r="AT45" s="565"/>
      <c r="AU45" s="565"/>
      <c r="AV45" s="565">
        <f t="shared" ref="AV45:AV50" si="12">SUM(M45:AT45)</f>
        <v>8316843</v>
      </c>
    </row>
    <row r="46" spans="1:48" ht="18" x14ac:dyDescent="0.25">
      <c r="A46" s="1" t="s">
        <v>204</v>
      </c>
      <c r="B46" s="83" t="s">
        <v>564</v>
      </c>
      <c r="C46" s="363"/>
      <c r="D46" s="364"/>
      <c r="E46" s="564"/>
      <c r="F46" s="365">
        <f t="shared" si="1"/>
        <v>188000</v>
      </c>
      <c r="G46" s="365">
        <v>188000</v>
      </c>
      <c r="H46" s="365">
        <v>188000</v>
      </c>
      <c r="I46" s="365">
        <v>132692</v>
      </c>
      <c r="J46" s="564"/>
      <c r="K46" s="685"/>
      <c r="L46" s="685"/>
      <c r="M46" s="565"/>
      <c r="N46" s="565"/>
      <c r="O46" s="565"/>
      <c r="P46" s="565"/>
      <c r="Q46" s="565"/>
      <c r="R46" s="565"/>
      <c r="S46" s="565"/>
      <c r="T46" s="565"/>
      <c r="U46" s="565"/>
      <c r="V46" s="565"/>
      <c r="W46" s="565"/>
      <c r="X46" s="565"/>
      <c r="Y46" s="565"/>
      <c r="Z46" s="565"/>
      <c r="AA46" s="565"/>
      <c r="AB46" s="781">
        <v>48000</v>
      </c>
      <c r="AC46" s="565"/>
      <c r="AD46" s="781">
        <v>140000</v>
      </c>
      <c r="AE46" s="565"/>
      <c r="AF46" s="565"/>
      <c r="AG46" s="565"/>
      <c r="AH46" s="565"/>
      <c r="AI46" s="565"/>
      <c r="AJ46" s="565"/>
      <c r="AK46" s="781"/>
      <c r="AL46" s="565"/>
      <c r="AM46" s="565"/>
      <c r="AN46" s="565"/>
      <c r="AO46" s="565"/>
      <c r="AP46" s="565"/>
      <c r="AQ46" s="565"/>
      <c r="AR46" s="565"/>
      <c r="AS46" s="565"/>
      <c r="AT46" s="565"/>
      <c r="AU46" s="565"/>
      <c r="AV46" s="565">
        <f t="shared" si="12"/>
        <v>188000</v>
      </c>
    </row>
    <row r="47" spans="1:48" ht="18" x14ac:dyDescent="0.25">
      <c r="A47" s="1" t="s">
        <v>206</v>
      </c>
      <c r="B47" s="83" t="s">
        <v>207</v>
      </c>
      <c r="C47" s="363"/>
      <c r="D47" s="364"/>
      <c r="E47" s="564"/>
      <c r="F47" s="365">
        <f t="shared" si="1"/>
        <v>6445000</v>
      </c>
      <c r="G47" s="365">
        <v>6445000</v>
      </c>
      <c r="H47" s="365">
        <v>6445000</v>
      </c>
      <c r="I47" s="365">
        <v>5465665</v>
      </c>
      <c r="J47" s="564"/>
      <c r="K47" s="685"/>
      <c r="L47" s="685"/>
      <c r="M47" s="565"/>
      <c r="N47" s="781">
        <v>3200000</v>
      </c>
      <c r="O47" s="565"/>
      <c r="P47" s="565"/>
      <c r="Q47" s="565"/>
      <c r="R47" s="565"/>
      <c r="S47" s="565"/>
      <c r="T47" s="781">
        <v>200000</v>
      </c>
      <c r="U47" s="781">
        <v>25000</v>
      </c>
      <c r="V47" s="565"/>
      <c r="W47" s="565"/>
      <c r="X47" s="781">
        <v>500000</v>
      </c>
      <c r="Y47" s="565"/>
      <c r="Z47" s="565"/>
      <c r="AA47" s="781">
        <v>20000</v>
      </c>
      <c r="AB47" s="781">
        <v>1000000</v>
      </c>
      <c r="AC47" s="565"/>
      <c r="AD47" s="781">
        <v>200000</v>
      </c>
      <c r="AE47" s="781">
        <v>600000</v>
      </c>
      <c r="AF47" s="565"/>
      <c r="AG47" s="565"/>
      <c r="AH47" s="781">
        <v>100000</v>
      </c>
      <c r="AI47" s="565"/>
      <c r="AJ47" s="565"/>
      <c r="AK47" s="781"/>
      <c r="AL47" s="781">
        <v>100000</v>
      </c>
      <c r="AM47" s="781">
        <v>100000</v>
      </c>
      <c r="AN47" s="565"/>
      <c r="AO47" s="565"/>
      <c r="AP47" s="565"/>
      <c r="AQ47" s="565"/>
      <c r="AR47" s="565"/>
      <c r="AS47" s="781">
        <v>300000</v>
      </c>
      <c r="AT47" s="781">
        <v>100000</v>
      </c>
      <c r="AU47" s="565"/>
      <c r="AV47" s="565">
        <f t="shared" si="12"/>
        <v>6445000</v>
      </c>
    </row>
    <row r="48" spans="1:48" ht="18" x14ac:dyDescent="0.25">
      <c r="A48" s="1" t="s">
        <v>208</v>
      </c>
      <c r="B48" s="83" t="s">
        <v>209</v>
      </c>
      <c r="C48" s="363"/>
      <c r="D48" s="364"/>
      <c r="E48" s="564"/>
      <c r="F48" s="365">
        <f t="shared" si="1"/>
        <v>0</v>
      </c>
      <c r="G48" s="365"/>
      <c r="H48" s="365"/>
      <c r="I48" s="365"/>
      <c r="J48" s="564"/>
      <c r="K48" s="685"/>
      <c r="L48" s="685"/>
      <c r="M48" s="565"/>
      <c r="N48" s="565"/>
      <c r="O48" s="565"/>
      <c r="P48" s="565"/>
      <c r="Q48" s="565"/>
      <c r="R48" s="565"/>
      <c r="S48" s="565"/>
      <c r="T48" s="565"/>
      <c r="U48" s="565"/>
      <c r="V48" s="565"/>
      <c r="W48" s="565"/>
      <c r="X48" s="565"/>
      <c r="Y48" s="565"/>
      <c r="Z48" s="565"/>
      <c r="AA48" s="565"/>
      <c r="AB48" s="565"/>
      <c r="AC48" s="565"/>
      <c r="AD48" s="565"/>
      <c r="AE48" s="781"/>
      <c r="AF48" s="565"/>
      <c r="AG48" s="565"/>
      <c r="AH48" s="565"/>
      <c r="AI48" s="565"/>
      <c r="AJ48" s="565"/>
      <c r="AK48" s="781"/>
      <c r="AL48" s="565"/>
      <c r="AM48" s="565"/>
      <c r="AN48" s="565"/>
      <c r="AO48" s="565"/>
      <c r="AP48" s="565"/>
      <c r="AQ48" s="565"/>
      <c r="AR48" s="565"/>
      <c r="AS48" s="565"/>
      <c r="AT48" s="565"/>
      <c r="AU48" s="565"/>
      <c r="AV48" s="565">
        <f t="shared" si="12"/>
        <v>0</v>
      </c>
    </row>
    <row r="49" spans="1:48" ht="18" x14ac:dyDescent="0.25">
      <c r="A49" s="1" t="s">
        <v>210</v>
      </c>
      <c r="B49" s="83" t="s">
        <v>568</v>
      </c>
      <c r="C49" s="363"/>
      <c r="D49" s="364"/>
      <c r="E49" s="564"/>
      <c r="F49" s="365">
        <f t="shared" si="1"/>
        <v>665000</v>
      </c>
      <c r="G49" s="365">
        <v>665000</v>
      </c>
      <c r="H49" s="365">
        <v>1275000</v>
      </c>
      <c r="I49" s="365">
        <v>1197500</v>
      </c>
      <c r="J49" s="564"/>
      <c r="K49" s="685"/>
      <c r="L49" s="685"/>
      <c r="M49" s="565"/>
      <c r="N49" s="565"/>
      <c r="O49" s="565"/>
      <c r="P49" s="565"/>
      <c r="Q49" s="565"/>
      <c r="R49" s="565"/>
      <c r="S49" s="565"/>
      <c r="T49" s="565"/>
      <c r="U49" s="781">
        <v>650000</v>
      </c>
      <c r="V49" s="565"/>
      <c r="W49" s="565"/>
      <c r="X49" s="565"/>
      <c r="Y49" s="565"/>
      <c r="Z49" s="565"/>
      <c r="AA49" s="565"/>
      <c r="AB49" s="565"/>
      <c r="AC49" s="565"/>
      <c r="AD49" s="565"/>
      <c r="AE49" s="781"/>
      <c r="AF49" s="565"/>
      <c r="AG49" s="565"/>
      <c r="AH49" s="565"/>
      <c r="AI49" s="565"/>
      <c r="AJ49" s="565"/>
      <c r="AK49" s="781"/>
      <c r="AL49" s="565"/>
      <c r="AM49" s="565"/>
      <c r="AN49" s="781"/>
      <c r="AO49" s="565"/>
      <c r="AP49" s="565"/>
      <c r="AQ49" s="565"/>
      <c r="AR49" s="565"/>
      <c r="AS49" s="781">
        <v>15000</v>
      </c>
      <c r="AT49" s="565"/>
      <c r="AU49" s="565"/>
      <c r="AV49" s="565">
        <f t="shared" si="12"/>
        <v>665000</v>
      </c>
    </row>
    <row r="50" spans="1:48" s="559" customFormat="1" ht="18" x14ac:dyDescent="0.25">
      <c r="A50" s="1" t="s">
        <v>211</v>
      </c>
      <c r="B50" s="83" t="s">
        <v>566</v>
      </c>
      <c r="C50" s="363"/>
      <c r="D50" s="364"/>
      <c r="E50" s="564"/>
      <c r="F50" s="365">
        <f t="shared" si="1"/>
        <v>16806607</v>
      </c>
      <c r="G50" s="365">
        <v>17428584</v>
      </c>
      <c r="H50" s="365">
        <v>21488069</v>
      </c>
      <c r="I50" s="365">
        <v>20169764</v>
      </c>
      <c r="J50" s="564"/>
      <c r="K50" s="685"/>
      <c r="L50" s="685"/>
      <c r="M50" s="781">
        <v>1300000</v>
      </c>
      <c r="N50" s="565"/>
      <c r="O50" s="781">
        <v>360000</v>
      </c>
      <c r="P50" s="781">
        <v>350000</v>
      </c>
      <c r="Q50" s="565"/>
      <c r="R50" s="786">
        <v>1551585</v>
      </c>
      <c r="S50" s="752"/>
      <c r="T50" s="781">
        <v>842622</v>
      </c>
      <c r="U50" s="70"/>
      <c r="V50" s="70"/>
      <c r="W50" s="781">
        <v>160000</v>
      </c>
      <c r="X50" s="781">
        <v>60000</v>
      </c>
      <c r="Y50" s="70"/>
      <c r="Z50" s="781">
        <v>200000</v>
      </c>
      <c r="AA50" s="70"/>
      <c r="AB50" s="781">
        <v>500000</v>
      </c>
      <c r="AC50" s="70"/>
      <c r="AD50" s="781">
        <v>1350000</v>
      </c>
      <c r="AE50" s="781">
        <v>2200000</v>
      </c>
      <c r="AF50" s="70"/>
      <c r="AG50" s="70"/>
      <c r="AH50" s="70"/>
      <c r="AI50" s="70"/>
      <c r="AJ50" s="70"/>
      <c r="AK50" s="781">
        <v>10000</v>
      </c>
      <c r="AL50" s="781">
        <v>5000</v>
      </c>
      <c r="AM50" s="781">
        <v>200000</v>
      </c>
      <c r="AN50" s="781">
        <v>50000</v>
      </c>
      <c r="AO50" s="781">
        <v>2500000</v>
      </c>
      <c r="AP50" s="70"/>
      <c r="AQ50" s="70"/>
      <c r="AR50" s="70"/>
      <c r="AS50" s="781">
        <v>667400</v>
      </c>
      <c r="AT50" s="781">
        <v>4500000</v>
      </c>
      <c r="AU50" s="70"/>
      <c r="AV50" s="70">
        <f t="shared" si="12"/>
        <v>16806607</v>
      </c>
    </row>
    <row r="51" spans="1:48" ht="18" x14ac:dyDescent="0.25">
      <c r="A51" s="575" t="s">
        <v>212</v>
      </c>
      <c r="B51" s="576" t="s">
        <v>213</v>
      </c>
      <c r="C51" s="569">
        <f>SUM(C44:C50)</f>
        <v>0</v>
      </c>
      <c r="D51" s="368">
        <f>SUM(D44:D50)</f>
        <v>0</v>
      </c>
      <c r="E51" s="367">
        <f>SUM(E44:E50)</f>
        <v>0</v>
      </c>
      <c r="F51" s="806">
        <f t="shared" si="1"/>
        <v>40310450</v>
      </c>
      <c r="G51" s="806">
        <f>G44+G45+G46+G47+G48+G49+G50</f>
        <v>40937427</v>
      </c>
      <c r="H51" s="806">
        <f>H44+H45+H46+H47+H48+H49+H50</f>
        <v>45795798</v>
      </c>
      <c r="I51" s="806">
        <f>I44+I45+I46+I47+I48+I49+I50</f>
        <v>40398654</v>
      </c>
      <c r="J51" s="568"/>
      <c r="K51" s="685"/>
      <c r="L51" s="685"/>
      <c r="M51" s="568">
        <f t="shared" ref="M51:AV51" si="13">SUM(M44:M50)</f>
        <v>1300000</v>
      </c>
      <c r="N51" s="568">
        <f t="shared" si="13"/>
        <v>3200000</v>
      </c>
      <c r="O51" s="568">
        <f t="shared" si="13"/>
        <v>360000</v>
      </c>
      <c r="P51" s="568">
        <f t="shared" si="13"/>
        <v>350000</v>
      </c>
      <c r="Q51" s="568">
        <f t="shared" si="13"/>
        <v>8316843</v>
      </c>
      <c r="R51" s="568">
        <f t="shared" si="13"/>
        <v>1551585</v>
      </c>
      <c r="S51" s="568">
        <f t="shared" si="13"/>
        <v>0</v>
      </c>
      <c r="T51" s="568">
        <f t="shared" si="13"/>
        <v>1049622</v>
      </c>
      <c r="U51" s="568">
        <f t="shared" si="13"/>
        <v>675000</v>
      </c>
      <c r="V51" s="568">
        <f t="shared" si="13"/>
        <v>0</v>
      </c>
      <c r="W51" s="568">
        <f>SUM(W44:W50)</f>
        <v>160000</v>
      </c>
      <c r="X51" s="568">
        <f>SUM(X44:X50)</f>
        <v>572000</v>
      </c>
      <c r="Y51" s="568">
        <f>SUM(Y44:Y50)</f>
        <v>0</v>
      </c>
      <c r="Z51" s="568">
        <f t="shared" si="13"/>
        <v>200000</v>
      </c>
      <c r="AA51" s="568">
        <f t="shared" si="13"/>
        <v>20000</v>
      </c>
      <c r="AB51" s="568">
        <f t="shared" si="13"/>
        <v>2498000</v>
      </c>
      <c r="AC51" s="568">
        <f t="shared" si="13"/>
        <v>0</v>
      </c>
      <c r="AD51" s="568">
        <f t="shared" si="13"/>
        <v>1720000</v>
      </c>
      <c r="AE51" s="568">
        <f t="shared" si="13"/>
        <v>4600000</v>
      </c>
      <c r="AF51" s="568"/>
      <c r="AG51" s="568"/>
      <c r="AH51" s="568">
        <f t="shared" si="13"/>
        <v>100000</v>
      </c>
      <c r="AI51" s="568">
        <f t="shared" si="13"/>
        <v>0</v>
      </c>
      <c r="AJ51" s="568">
        <f t="shared" si="13"/>
        <v>0</v>
      </c>
      <c r="AK51" s="568">
        <f t="shared" si="13"/>
        <v>3410000</v>
      </c>
      <c r="AL51" s="568">
        <f t="shared" si="13"/>
        <v>632900</v>
      </c>
      <c r="AM51" s="568">
        <f t="shared" si="13"/>
        <v>300000</v>
      </c>
      <c r="AN51" s="568">
        <f t="shared" si="13"/>
        <v>50000</v>
      </c>
      <c r="AO51" s="568">
        <f t="shared" si="13"/>
        <v>2520000</v>
      </c>
      <c r="AP51" s="568"/>
      <c r="AQ51" s="568"/>
      <c r="AR51" s="568">
        <f t="shared" si="13"/>
        <v>0</v>
      </c>
      <c r="AS51" s="568">
        <f t="shared" si="13"/>
        <v>1672400</v>
      </c>
      <c r="AT51" s="568">
        <f t="shared" si="13"/>
        <v>5052100</v>
      </c>
      <c r="AU51" s="568"/>
      <c r="AV51" s="568">
        <f t="shared" si="13"/>
        <v>40310450</v>
      </c>
    </row>
    <row r="52" spans="1:48" ht="18" x14ac:dyDescent="0.25">
      <c r="A52" s="1" t="s">
        <v>216</v>
      </c>
      <c r="B52" s="83" t="s">
        <v>219</v>
      </c>
      <c r="C52" s="363"/>
      <c r="D52" s="364"/>
      <c r="E52" s="564"/>
      <c r="F52" s="365">
        <f t="shared" si="1"/>
        <v>230000</v>
      </c>
      <c r="G52" s="365">
        <v>230000</v>
      </c>
      <c r="H52" s="365">
        <v>230000</v>
      </c>
      <c r="I52" s="365">
        <v>62828</v>
      </c>
      <c r="J52" s="564"/>
      <c r="K52" s="685"/>
      <c r="L52" s="685"/>
      <c r="M52" s="565"/>
      <c r="N52" s="565"/>
      <c r="O52" s="565"/>
      <c r="P52" s="565"/>
      <c r="Q52" s="565"/>
      <c r="R52" s="565"/>
      <c r="S52" s="565"/>
      <c r="T52" s="565"/>
      <c r="U52" s="565"/>
      <c r="V52" s="565"/>
      <c r="W52" s="565"/>
      <c r="X52" s="565"/>
      <c r="Y52" s="565"/>
      <c r="Z52" s="565"/>
      <c r="AA52" s="565"/>
      <c r="AB52" s="781">
        <v>200000</v>
      </c>
      <c r="AC52" s="565"/>
      <c r="AD52" s="565"/>
      <c r="AE52" s="565"/>
      <c r="AF52" s="565"/>
      <c r="AG52" s="565"/>
      <c r="AH52" s="565"/>
      <c r="AI52" s="565"/>
      <c r="AJ52" s="565"/>
      <c r="AK52" s="565"/>
      <c r="AL52" s="565"/>
      <c r="AM52" s="565"/>
      <c r="AN52" s="565"/>
      <c r="AO52" s="565"/>
      <c r="AP52" s="565"/>
      <c r="AQ52" s="565"/>
      <c r="AR52" s="565"/>
      <c r="AS52" s="565"/>
      <c r="AT52" s="781">
        <v>30000</v>
      </c>
      <c r="AU52" s="565"/>
      <c r="AV52" s="565">
        <f>SUM(M52:AT52)</f>
        <v>230000</v>
      </c>
    </row>
    <row r="53" spans="1:48" ht="18" x14ac:dyDescent="0.25">
      <c r="A53" s="1" t="s">
        <v>217</v>
      </c>
      <c r="B53" s="83" t="s">
        <v>220</v>
      </c>
      <c r="C53" s="363"/>
      <c r="D53" s="364"/>
      <c r="E53" s="564"/>
      <c r="F53" s="365">
        <f t="shared" si="1"/>
        <v>50000</v>
      </c>
      <c r="G53" s="365">
        <v>50000</v>
      </c>
      <c r="H53" s="365">
        <v>50000</v>
      </c>
      <c r="I53" s="365">
        <v>0</v>
      </c>
      <c r="J53" s="564"/>
      <c r="K53" s="685"/>
      <c r="L53" s="685"/>
      <c r="M53" s="565"/>
      <c r="N53" s="565"/>
      <c r="O53" s="565"/>
      <c r="P53" s="565"/>
      <c r="Q53" s="565"/>
      <c r="R53" s="565"/>
      <c r="S53" s="565"/>
      <c r="T53" s="565"/>
      <c r="U53" s="565"/>
      <c r="V53" s="565"/>
      <c r="W53" s="565"/>
      <c r="X53" s="565"/>
      <c r="Y53" s="565"/>
      <c r="Z53" s="565"/>
      <c r="AA53" s="565"/>
      <c r="AB53" s="565"/>
      <c r="AC53" s="565"/>
      <c r="AD53" s="565"/>
      <c r="AE53" s="565"/>
      <c r="AF53" s="565"/>
      <c r="AG53" s="565"/>
      <c r="AH53" s="565"/>
      <c r="AI53" s="565"/>
      <c r="AJ53" s="565"/>
      <c r="AK53" s="565"/>
      <c r="AL53" s="565"/>
      <c r="AM53" s="565"/>
      <c r="AN53" s="565"/>
      <c r="AO53" s="781">
        <v>50000</v>
      </c>
      <c r="AP53" s="565"/>
      <c r="AQ53" s="565"/>
      <c r="AR53" s="565"/>
      <c r="AS53" s="565"/>
      <c r="AT53" s="565"/>
      <c r="AU53" s="565"/>
      <c r="AV53" s="565">
        <f>SUM(M53:AT53)</f>
        <v>50000</v>
      </c>
    </row>
    <row r="54" spans="1:48" ht="18" x14ac:dyDescent="0.25">
      <c r="A54" s="1"/>
      <c r="B54" s="83"/>
      <c r="C54" s="363"/>
      <c r="D54" s="364"/>
      <c r="E54" s="564"/>
      <c r="F54" s="365">
        <f t="shared" si="1"/>
        <v>0</v>
      </c>
      <c r="G54" s="365"/>
      <c r="H54" s="365"/>
      <c r="I54" s="365"/>
      <c r="J54" s="564"/>
      <c r="K54" s="685"/>
      <c r="L54" s="685"/>
      <c r="M54" s="565"/>
      <c r="N54" s="565"/>
      <c r="O54" s="565"/>
      <c r="P54" s="565"/>
      <c r="Q54" s="565"/>
      <c r="R54" s="565"/>
      <c r="S54" s="565"/>
      <c r="T54" s="565"/>
      <c r="U54" s="565"/>
      <c r="V54" s="565"/>
      <c r="W54" s="565"/>
      <c r="X54" s="565"/>
      <c r="Y54" s="565"/>
      <c r="Z54" s="565"/>
      <c r="AA54" s="565"/>
      <c r="AB54" s="565"/>
      <c r="AC54" s="565"/>
      <c r="AD54" s="565"/>
      <c r="AE54" s="565"/>
      <c r="AF54" s="565"/>
      <c r="AG54" s="565"/>
      <c r="AH54" s="565"/>
      <c r="AI54" s="565"/>
      <c r="AJ54" s="565"/>
      <c r="AK54" s="565"/>
      <c r="AL54" s="565"/>
      <c r="AM54" s="565"/>
      <c r="AN54" s="565"/>
      <c r="AO54" s="565"/>
      <c r="AP54" s="565"/>
      <c r="AQ54" s="565"/>
      <c r="AR54" s="565"/>
      <c r="AS54" s="565"/>
      <c r="AT54" s="565"/>
      <c r="AU54" s="565"/>
      <c r="AV54" s="565">
        <f>SUM(M54:AT54)</f>
        <v>0</v>
      </c>
    </row>
    <row r="55" spans="1:48" ht="18" x14ac:dyDescent="0.25">
      <c r="A55" s="145" t="s">
        <v>221</v>
      </c>
      <c r="B55" s="146" t="s">
        <v>222</v>
      </c>
      <c r="C55" s="367">
        <f>SUM(C52:C54)</f>
        <v>0</v>
      </c>
      <c r="D55" s="568">
        <f>SUM(D52:D54)</f>
        <v>0</v>
      </c>
      <c r="E55" s="569">
        <f>SUM(E52:E54)</f>
        <v>0</v>
      </c>
      <c r="F55" s="806">
        <f t="shared" si="1"/>
        <v>280000</v>
      </c>
      <c r="G55" s="806">
        <f>G52+G53+G54</f>
        <v>280000</v>
      </c>
      <c r="H55" s="806">
        <f>H52+H53+H54</f>
        <v>280000</v>
      </c>
      <c r="I55" s="806">
        <f>I52+I53+I54</f>
        <v>62828</v>
      </c>
      <c r="J55" s="568"/>
      <c r="K55" s="685"/>
      <c r="L55" s="685"/>
      <c r="M55" s="568">
        <f t="shared" ref="M55:AV55" si="14">SUM(M52:M54)</f>
        <v>0</v>
      </c>
      <c r="N55" s="568">
        <f t="shared" si="14"/>
        <v>0</v>
      </c>
      <c r="O55" s="568">
        <f t="shared" si="14"/>
        <v>0</v>
      </c>
      <c r="P55" s="568">
        <f t="shared" si="14"/>
        <v>0</v>
      </c>
      <c r="Q55" s="568">
        <f t="shared" si="14"/>
        <v>0</v>
      </c>
      <c r="R55" s="568">
        <f t="shared" si="14"/>
        <v>0</v>
      </c>
      <c r="S55" s="568">
        <f t="shared" si="14"/>
        <v>0</v>
      </c>
      <c r="T55" s="568">
        <f t="shared" si="14"/>
        <v>0</v>
      </c>
      <c r="U55" s="568">
        <f t="shared" si="14"/>
        <v>0</v>
      </c>
      <c r="V55" s="568">
        <f t="shared" si="14"/>
        <v>0</v>
      </c>
      <c r="W55" s="568">
        <f>SUM(W52:W54)</f>
        <v>0</v>
      </c>
      <c r="X55" s="568">
        <f>SUM(X52:X54)</f>
        <v>0</v>
      </c>
      <c r="Y55" s="568">
        <f>SUM(Y52:Y54)</f>
        <v>0</v>
      </c>
      <c r="Z55" s="568">
        <f t="shared" si="14"/>
        <v>0</v>
      </c>
      <c r="AA55" s="568">
        <f t="shared" si="14"/>
        <v>0</v>
      </c>
      <c r="AB55" s="568">
        <f t="shared" si="14"/>
        <v>200000</v>
      </c>
      <c r="AC55" s="568">
        <f t="shared" si="14"/>
        <v>0</v>
      </c>
      <c r="AD55" s="568">
        <f t="shared" si="14"/>
        <v>0</v>
      </c>
      <c r="AE55" s="568">
        <f t="shared" si="14"/>
        <v>0</v>
      </c>
      <c r="AF55" s="568"/>
      <c r="AG55" s="568"/>
      <c r="AH55" s="568">
        <f t="shared" si="14"/>
        <v>0</v>
      </c>
      <c r="AI55" s="568">
        <f t="shared" si="14"/>
        <v>0</v>
      </c>
      <c r="AJ55" s="568">
        <f t="shared" si="14"/>
        <v>0</v>
      </c>
      <c r="AK55" s="568">
        <f t="shared" si="14"/>
        <v>0</v>
      </c>
      <c r="AL55" s="568">
        <f t="shared" si="14"/>
        <v>0</v>
      </c>
      <c r="AM55" s="568">
        <f t="shared" si="14"/>
        <v>0</v>
      </c>
      <c r="AN55" s="568">
        <f t="shared" si="14"/>
        <v>0</v>
      </c>
      <c r="AO55" s="568">
        <f t="shared" si="14"/>
        <v>50000</v>
      </c>
      <c r="AP55" s="568"/>
      <c r="AQ55" s="568"/>
      <c r="AR55" s="568">
        <f t="shared" si="14"/>
        <v>0</v>
      </c>
      <c r="AS55" s="568">
        <f t="shared" si="14"/>
        <v>0</v>
      </c>
      <c r="AT55" s="568">
        <f t="shared" si="14"/>
        <v>30000</v>
      </c>
      <c r="AU55" s="568"/>
      <c r="AV55" s="568">
        <f t="shared" si="14"/>
        <v>280000</v>
      </c>
    </row>
    <row r="56" spans="1:48" ht="18" x14ac:dyDescent="0.25">
      <c r="A56" s="1" t="s">
        <v>223</v>
      </c>
      <c r="B56" s="83" t="s">
        <v>228</v>
      </c>
      <c r="C56" s="363"/>
      <c r="D56" s="364"/>
      <c r="E56" s="564"/>
      <c r="F56" s="365">
        <f t="shared" si="1"/>
        <v>14310056</v>
      </c>
      <c r="G56" s="365">
        <v>14310056</v>
      </c>
      <c r="H56" s="365">
        <v>14689700</v>
      </c>
      <c r="I56" s="365">
        <v>10131431</v>
      </c>
      <c r="J56" s="564"/>
      <c r="K56" s="685"/>
      <c r="L56" s="685"/>
      <c r="M56" s="781">
        <v>351000</v>
      </c>
      <c r="N56" s="781">
        <v>864000</v>
      </c>
      <c r="O56" s="781">
        <v>97200</v>
      </c>
      <c r="P56" s="781">
        <v>94500</v>
      </c>
      <c r="Q56" s="781">
        <v>2245547</v>
      </c>
      <c r="R56" s="781">
        <v>168407</v>
      </c>
      <c r="S56" s="781">
        <v>13500</v>
      </c>
      <c r="T56" s="781">
        <v>1358268</v>
      </c>
      <c r="U56" s="781">
        <v>49000</v>
      </c>
      <c r="V56" s="565"/>
      <c r="W56" s="781">
        <v>43200</v>
      </c>
      <c r="X56" s="781">
        <v>170640</v>
      </c>
      <c r="Y56" s="565"/>
      <c r="Z56" s="781">
        <v>54000</v>
      </c>
      <c r="AA56" s="781">
        <v>14500</v>
      </c>
      <c r="AB56" s="781">
        <v>1097685</v>
      </c>
      <c r="AC56" s="565"/>
      <c r="AD56" s="781">
        <v>1570000</v>
      </c>
      <c r="AE56" s="781">
        <v>650000</v>
      </c>
      <c r="AF56" s="565"/>
      <c r="AG56" s="565"/>
      <c r="AH56" s="781">
        <v>29700</v>
      </c>
      <c r="AI56" s="565"/>
      <c r="AJ56" s="565"/>
      <c r="AK56" s="781">
        <v>945000</v>
      </c>
      <c r="AL56" s="781">
        <v>640203</v>
      </c>
      <c r="AM56" s="781">
        <v>108000</v>
      </c>
      <c r="AN56" s="565"/>
      <c r="AO56" s="781">
        <v>909900</v>
      </c>
      <c r="AP56" s="565"/>
      <c r="AQ56" s="565"/>
      <c r="AR56" s="565"/>
      <c r="AS56" s="781">
        <v>823639</v>
      </c>
      <c r="AT56" s="781">
        <v>2012167</v>
      </c>
      <c r="AU56" s="565"/>
      <c r="AV56" s="565">
        <f>SUM(M56:AT56)</f>
        <v>14310056</v>
      </c>
    </row>
    <row r="57" spans="1:48" ht="18" x14ac:dyDescent="0.25">
      <c r="A57" s="1" t="s">
        <v>224</v>
      </c>
      <c r="B57" s="83" t="s">
        <v>229</v>
      </c>
      <c r="C57" s="363"/>
      <c r="D57" s="364"/>
      <c r="E57" s="564"/>
      <c r="F57" s="365">
        <f t="shared" si="1"/>
        <v>0</v>
      </c>
      <c r="G57" s="365">
        <v>1023</v>
      </c>
      <c r="H57" s="365">
        <v>888709</v>
      </c>
      <c r="I57" s="365">
        <v>887000</v>
      </c>
      <c r="J57" s="564"/>
      <c r="K57" s="685"/>
      <c r="L57" s="685"/>
      <c r="M57" s="565"/>
      <c r="N57" s="565"/>
      <c r="O57" s="565"/>
      <c r="P57" s="565"/>
      <c r="Q57" s="565"/>
      <c r="R57" s="565"/>
      <c r="S57" s="565"/>
      <c r="T57" s="565"/>
      <c r="U57" s="565"/>
      <c r="V57" s="565"/>
      <c r="W57" s="565"/>
      <c r="X57" s="565"/>
      <c r="Y57" s="565"/>
      <c r="Z57" s="565"/>
      <c r="AA57" s="565"/>
      <c r="AB57" s="565"/>
      <c r="AC57" s="565"/>
      <c r="AD57" s="565"/>
      <c r="AE57" s="565"/>
      <c r="AF57" s="565"/>
      <c r="AG57" s="565"/>
      <c r="AH57" s="565"/>
      <c r="AI57" s="565"/>
      <c r="AJ57" s="565"/>
      <c r="AK57" s="565"/>
      <c r="AL57" s="565"/>
      <c r="AM57" s="565"/>
      <c r="AN57" s="565"/>
      <c r="AO57" s="565"/>
      <c r="AP57" s="565"/>
      <c r="AQ57" s="565"/>
      <c r="AR57" s="565"/>
      <c r="AS57" s="565"/>
      <c r="AT57" s="565"/>
      <c r="AU57" s="565"/>
      <c r="AV57" s="565">
        <f>SUM(M57:AT57)</f>
        <v>0</v>
      </c>
    </row>
    <row r="58" spans="1:48" ht="18" x14ac:dyDescent="0.25">
      <c r="A58" s="1" t="s">
        <v>225</v>
      </c>
      <c r="B58" s="83" t="s">
        <v>230</v>
      </c>
      <c r="C58" s="363"/>
      <c r="D58" s="364"/>
      <c r="E58" s="564"/>
      <c r="F58" s="365">
        <f t="shared" si="1"/>
        <v>45396</v>
      </c>
      <c r="G58" s="365">
        <v>45396</v>
      </c>
      <c r="H58" s="365">
        <v>72796</v>
      </c>
      <c r="I58" s="365">
        <v>40874</v>
      </c>
      <c r="J58" s="564"/>
      <c r="K58" s="685"/>
      <c r="L58" s="685"/>
      <c r="M58" s="565"/>
      <c r="N58" s="565"/>
      <c r="O58" s="565"/>
      <c r="P58" s="565"/>
      <c r="Q58" s="565"/>
      <c r="R58" s="781">
        <v>45396</v>
      </c>
      <c r="S58" s="565"/>
      <c r="T58" s="565"/>
      <c r="U58" s="565"/>
      <c r="V58" s="565"/>
      <c r="W58" s="565"/>
      <c r="X58" s="565"/>
      <c r="Y58" s="565"/>
      <c r="Z58" s="565"/>
      <c r="AA58" s="565"/>
      <c r="AB58" s="565"/>
      <c r="AC58" s="565"/>
      <c r="AD58" s="565"/>
      <c r="AE58" s="565"/>
      <c r="AF58" s="565"/>
      <c r="AG58" s="565"/>
      <c r="AH58" s="565"/>
      <c r="AI58" s="565"/>
      <c r="AJ58" s="565"/>
      <c r="AK58" s="565"/>
      <c r="AL58" s="565"/>
      <c r="AM58" s="565"/>
      <c r="AN58" s="565"/>
      <c r="AO58" s="565"/>
      <c r="AP58" s="565"/>
      <c r="AQ58" s="565"/>
      <c r="AR58" s="565"/>
      <c r="AS58" s="565"/>
      <c r="AT58" s="565"/>
      <c r="AU58" s="565"/>
      <c r="AV58" s="565">
        <f>SUM(M58:AT58)</f>
        <v>45396</v>
      </c>
    </row>
    <row r="59" spans="1:48" ht="18" x14ac:dyDescent="0.25">
      <c r="A59" s="1" t="s">
        <v>226</v>
      </c>
      <c r="B59" s="91" t="s">
        <v>231</v>
      </c>
      <c r="C59" s="363"/>
      <c r="D59" s="364"/>
      <c r="E59" s="564"/>
      <c r="F59" s="365">
        <f t="shared" si="1"/>
        <v>0</v>
      </c>
      <c r="G59" s="365"/>
      <c r="H59" s="365"/>
      <c r="I59" s="365"/>
      <c r="J59" s="564"/>
      <c r="K59" s="685"/>
      <c r="L59" s="685"/>
      <c r="M59" s="565"/>
      <c r="N59" s="565"/>
      <c r="O59" s="565"/>
      <c r="P59" s="565"/>
      <c r="Q59" s="565"/>
      <c r="R59" s="565"/>
      <c r="S59" s="565"/>
      <c r="T59" s="565"/>
      <c r="U59" s="565"/>
      <c r="V59" s="565"/>
      <c r="W59" s="565"/>
      <c r="X59" s="565"/>
      <c r="Y59" s="565"/>
      <c r="Z59" s="565"/>
      <c r="AA59" s="565"/>
      <c r="AB59" s="565"/>
      <c r="AC59" s="565"/>
      <c r="AD59" s="565"/>
      <c r="AE59" s="565"/>
      <c r="AF59" s="565"/>
      <c r="AG59" s="565"/>
      <c r="AH59" s="565"/>
      <c r="AI59" s="565"/>
      <c r="AJ59" s="565"/>
      <c r="AK59" s="565"/>
      <c r="AL59" s="565"/>
      <c r="AM59" s="565"/>
      <c r="AN59" s="565"/>
      <c r="AO59" s="565"/>
      <c r="AP59" s="565"/>
      <c r="AQ59" s="565"/>
      <c r="AR59" s="565"/>
      <c r="AS59" s="565"/>
      <c r="AT59" s="565"/>
      <c r="AU59" s="565"/>
      <c r="AV59" s="565">
        <f>SUM(M59:AT59)</f>
        <v>0</v>
      </c>
    </row>
    <row r="60" spans="1:48" ht="18" x14ac:dyDescent="0.25">
      <c r="A60" s="1" t="s">
        <v>227</v>
      </c>
      <c r="B60" s="83" t="s">
        <v>232</v>
      </c>
      <c r="C60" s="363"/>
      <c r="D60" s="364"/>
      <c r="E60" s="564"/>
      <c r="F60" s="365">
        <f t="shared" si="1"/>
        <v>600000</v>
      </c>
      <c r="G60" s="365">
        <v>600000</v>
      </c>
      <c r="H60" s="365">
        <v>600000</v>
      </c>
      <c r="I60" s="365">
        <v>18549</v>
      </c>
      <c r="J60" s="564"/>
      <c r="K60" s="685"/>
      <c r="L60" s="685"/>
      <c r="M60" s="565"/>
      <c r="N60" s="565"/>
      <c r="O60" s="565"/>
      <c r="P60" s="565"/>
      <c r="Q60" s="565"/>
      <c r="R60" s="565"/>
      <c r="S60" s="565"/>
      <c r="T60" s="565"/>
      <c r="U60" s="565"/>
      <c r="V60" s="565"/>
      <c r="W60" s="565"/>
      <c r="X60" s="565"/>
      <c r="Y60" s="565"/>
      <c r="Z60" s="565"/>
      <c r="AA60" s="565"/>
      <c r="AB60" s="565"/>
      <c r="AC60" s="565"/>
      <c r="AD60" s="565"/>
      <c r="AE60" s="565"/>
      <c r="AF60" s="565"/>
      <c r="AG60" s="565"/>
      <c r="AH60" s="565"/>
      <c r="AI60" s="565"/>
      <c r="AJ60" s="565"/>
      <c r="AK60" s="565"/>
      <c r="AL60" s="565"/>
      <c r="AM60" s="565"/>
      <c r="AN60" s="565"/>
      <c r="AO60" s="565"/>
      <c r="AP60" s="565"/>
      <c r="AQ60" s="565"/>
      <c r="AR60" s="565"/>
      <c r="AS60" s="565"/>
      <c r="AT60" s="781">
        <v>600000</v>
      </c>
      <c r="AU60" s="565"/>
      <c r="AV60" s="565">
        <f>SUM(M60:AT60)</f>
        <v>600000</v>
      </c>
    </row>
    <row r="61" spans="1:48" ht="18" x14ac:dyDescent="0.25">
      <c r="A61" s="8" t="s">
        <v>233</v>
      </c>
      <c r="B61" s="143" t="s">
        <v>234</v>
      </c>
      <c r="C61" s="375">
        <f>SUM(C56:C60)</f>
        <v>0</v>
      </c>
      <c r="D61" s="577">
        <f>SUM(D56:D60)</f>
        <v>0</v>
      </c>
      <c r="E61" s="577">
        <f>SUM(E56:E60)</f>
        <v>0</v>
      </c>
      <c r="F61" s="806">
        <f t="shared" si="1"/>
        <v>14955452</v>
      </c>
      <c r="G61" s="806">
        <f>G56+G57+G58+G59+G60</f>
        <v>14956475</v>
      </c>
      <c r="H61" s="806">
        <f>H56+H57+H58+H59+H60</f>
        <v>16251205</v>
      </c>
      <c r="I61" s="806">
        <f>I56+I57+I58+I59+I60</f>
        <v>11077854</v>
      </c>
      <c r="J61" s="577"/>
      <c r="K61" s="685"/>
      <c r="L61" s="685"/>
      <c r="M61" s="577">
        <f t="shared" ref="M61:AV61" si="15">SUM(M56:M60)</f>
        <v>351000</v>
      </c>
      <c r="N61" s="577">
        <f t="shared" si="15"/>
        <v>864000</v>
      </c>
      <c r="O61" s="577">
        <f t="shared" si="15"/>
        <v>97200</v>
      </c>
      <c r="P61" s="577">
        <f t="shared" si="15"/>
        <v>94500</v>
      </c>
      <c r="Q61" s="577">
        <f t="shared" si="15"/>
        <v>2245547</v>
      </c>
      <c r="R61" s="577">
        <f t="shared" si="15"/>
        <v>213803</v>
      </c>
      <c r="S61" s="577">
        <f t="shared" si="15"/>
        <v>13500</v>
      </c>
      <c r="T61" s="577">
        <f t="shared" si="15"/>
        <v>1358268</v>
      </c>
      <c r="U61" s="577">
        <f t="shared" si="15"/>
        <v>49000</v>
      </c>
      <c r="V61" s="577">
        <f t="shared" si="15"/>
        <v>0</v>
      </c>
      <c r="W61" s="577">
        <f>SUM(W56:W60)</f>
        <v>43200</v>
      </c>
      <c r="X61" s="577">
        <f>SUM(X56:X60)</f>
        <v>170640</v>
      </c>
      <c r="Y61" s="577">
        <f>SUM(Y56:Y60)</f>
        <v>0</v>
      </c>
      <c r="Z61" s="577">
        <f t="shared" si="15"/>
        <v>54000</v>
      </c>
      <c r="AA61" s="577">
        <f t="shared" si="15"/>
        <v>14500</v>
      </c>
      <c r="AB61" s="577">
        <f t="shared" si="15"/>
        <v>1097685</v>
      </c>
      <c r="AC61" s="577">
        <f t="shared" si="15"/>
        <v>0</v>
      </c>
      <c r="AD61" s="577">
        <f t="shared" si="15"/>
        <v>1570000</v>
      </c>
      <c r="AE61" s="577">
        <f t="shared" si="15"/>
        <v>650000</v>
      </c>
      <c r="AF61" s="577"/>
      <c r="AG61" s="577"/>
      <c r="AH61" s="577">
        <f t="shared" si="15"/>
        <v>29700</v>
      </c>
      <c r="AI61" s="577">
        <f t="shared" si="15"/>
        <v>0</v>
      </c>
      <c r="AJ61" s="577">
        <f t="shared" si="15"/>
        <v>0</v>
      </c>
      <c r="AK61" s="577">
        <f t="shared" si="15"/>
        <v>945000</v>
      </c>
      <c r="AL61" s="577">
        <f t="shared" si="15"/>
        <v>640203</v>
      </c>
      <c r="AM61" s="577">
        <f t="shared" si="15"/>
        <v>108000</v>
      </c>
      <c r="AN61" s="577">
        <f t="shared" si="15"/>
        <v>0</v>
      </c>
      <c r="AO61" s="577">
        <f t="shared" si="15"/>
        <v>909900</v>
      </c>
      <c r="AP61" s="577"/>
      <c r="AQ61" s="577"/>
      <c r="AR61" s="577">
        <f t="shared" si="15"/>
        <v>0</v>
      </c>
      <c r="AS61" s="577">
        <f t="shared" si="15"/>
        <v>823639</v>
      </c>
      <c r="AT61" s="577">
        <f>SUM(AT56:AT60)</f>
        <v>2612167</v>
      </c>
      <c r="AU61" s="577"/>
      <c r="AV61" s="577">
        <f t="shared" si="15"/>
        <v>14955452</v>
      </c>
    </row>
    <row r="62" spans="1:48" s="610" customFormat="1" ht="18" x14ac:dyDescent="0.25">
      <c r="A62" s="157" t="s">
        <v>235</v>
      </c>
      <c r="B62" s="155" t="s">
        <v>236</v>
      </c>
      <c r="C62" s="571">
        <f>SUM(C40,C43,C51,C55,C61)</f>
        <v>0</v>
      </c>
      <c r="D62" s="572">
        <f>SUM(D40,D43,D51,D55,D61)</f>
        <v>0</v>
      </c>
      <c r="E62" s="370">
        <f>SUM(E40,E43,E51,E55,E61)</f>
        <v>0</v>
      </c>
      <c r="F62" s="369">
        <f>SUM(F40,F43,F51,F55,F61)</f>
        <v>68832372</v>
      </c>
      <c r="G62" s="369">
        <f>G40+G43+G51+G55+G61</f>
        <v>69460372</v>
      </c>
      <c r="H62" s="369">
        <f>H40+H43+H51+H55+H61</f>
        <v>74907690</v>
      </c>
      <c r="I62" s="369">
        <f>I40+I43+I51+I55+I61</f>
        <v>62250718</v>
      </c>
      <c r="J62" s="578"/>
      <c r="K62" s="689"/>
      <c r="L62" s="689"/>
      <c r="M62" s="578">
        <f t="shared" ref="M62:AV62" si="16">SUM(M40,M43,M51,M55,M61)</f>
        <v>1651000</v>
      </c>
      <c r="N62" s="578">
        <f t="shared" si="16"/>
        <v>4064000</v>
      </c>
      <c r="O62" s="578">
        <f t="shared" si="16"/>
        <v>457200</v>
      </c>
      <c r="P62" s="578">
        <f t="shared" si="16"/>
        <v>444500</v>
      </c>
      <c r="Q62" s="578">
        <f t="shared" si="16"/>
        <v>10562390</v>
      </c>
      <c r="R62" s="578">
        <f t="shared" si="16"/>
        <v>1765388</v>
      </c>
      <c r="S62" s="578">
        <f t="shared" si="16"/>
        <v>63500</v>
      </c>
      <c r="T62" s="578">
        <f t="shared" si="16"/>
        <v>6388890</v>
      </c>
      <c r="U62" s="578">
        <f t="shared" si="16"/>
        <v>1354000</v>
      </c>
      <c r="V62" s="578">
        <f t="shared" si="16"/>
        <v>0</v>
      </c>
      <c r="W62" s="578">
        <f>SUM(W40,W43,W51,W55,W61)</f>
        <v>203200</v>
      </c>
      <c r="X62" s="578">
        <f>SUM(X40,X43,X51,X55,X61)</f>
        <v>802640</v>
      </c>
      <c r="Y62" s="578">
        <f>SUM(Y40,Y43,Y51,Y55,Y61)</f>
        <v>0</v>
      </c>
      <c r="Z62" s="578">
        <f t="shared" si="16"/>
        <v>254000</v>
      </c>
      <c r="AA62" s="578">
        <f t="shared" si="16"/>
        <v>84500</v>
      </c>
      <c r="AB62" s="578">
        <f t="shared" si="16"/>
        <v>5163185</v>
      </c>
      <c r="AC62" s="578">
        <f t="shared" si="16"/>
        <v>0</v>
      </c>
      <c r="AD62" s="578">
        <f t="shared" si="16"/>
        <v>3344370</v>
      </c>
      <c r="AE62" s="578">
        <f t="shared" si="16"/>
        <v>5250000</v>
      </c>
      <c r="AF62" s="578"/>
      <c r="AG62" s="578"/>
      <c r="AH62" s="578">
        <f t="shared" si="16"/>
        <v>139700</v>
      </c>
      <c r="AI62" s="578">
        <f t="shared" si="16"/>
        <v>0</v>
      </c>
      <c r="AJ62" s="578">
        <f t="shared" si="16"/>
        <v>0</v>
      </c>
      <c r="AK62" s="578">
        <f t="shared" si="16"/>
        <v>4448600</v>
      </c>
      <c r="AL62" s="578">
        <f t="shared" si="16"/>
        <v>3129103</v>
      </c>
      <c r="AM62" s="578">
        <f t="shared" si="16"/>
        <v>558000</v>
      </c>
      <c r="AN62" s="578">
        <f t="shared" si="16"/>
        <v>50000</v>
      </c>
      <c r="AO62" s="578">
        <f t="shared" si="16"/>
        <v>4279900</v>
      </c>
      <c r="AP62" s="578"/>
      <c r="AQ62" s="578"/>
      <c r="AR62" s="578">
        <f t="shared" si="16"/>
        <v>30000</v>
      </c>
      <c r="AS62" s="578">
        <f t="shared" si="16"/>
        <v>3860039</v>
      </c>
      <c r="AT62" s="578">
        <f t="shared" si="16"/>
        <v>10484267</v>
      </c>
      <c r="AU62" s="578"/>
      <c r="AV62" s="608">
        <f t="shared" si="16"/>
        <v>68832372</v>
      </c>
    </row>
    <row r="63" spans="1:48" s="611" customFormat="1" ht="18" x14ac:dyDescent="0.25">
      <c r="A63" s="182" t="s">
        <v>267</v>
      </c>
      <c r="B63" s="155" t="s">
        <v>309</v>
      </c>
      <c r="C63" s="228" t="e">
        <f>SUM('Szoc.jutt.'!C38,-#REF!)</f>
        <v>#REF!</v>
      </c>
      <c r="D63" s="228" t="e">
        <f>SUM('Szoc.jutt.'!D38,-#REF!)</f>
        <v>#REF!</v>
      </c>
      <c r="E63" s="228" t="e">
        <f>SUM('Szoc.jutt.'!E38,-#REF!)</f>
        <v>#REF!</v>
      </c>
      <c r="F63" s="229">
        <f>SUM('Szoc.jutt.'!F38)</f>
        <v>4736800</v>
      </c>
      <c r="G63" s="229">
        <v>4736800</v>
      </c>
      <c r="H63" s="229">
        <v>7236521</v>
      </c>
      <c r="I63" s="229">
        <v>5277520</v>
      </c>
      <c r="J63" s="144"/>
      <c r="K63" s="690"/>
      <c r="L63" s="690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>
        <v>4336800</v>
      </c>
      <c r="X63" s="144"/>
      <c r="Y63" s="144">
        <v>400000</v>
      </c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606"/>
      <c r="AV63" s="144">
        <f>SUM(M63:AU63)</f>
        <v>4736800</v>
      </c>
    </row>
    <row r="64" spans="1:48" s="600" customFormat="1" ht="18" x14ac:dyDescent="0.25">
      <c r="A64" s="602" t="s">
        <v>606</v>
      </c>
      <c r="B64" s="603" t="s">
        <v>269</v>
      </c>
      <c r="C64" s="242"/>
      <c r="D64" s="242"/>
      <c r="E64" s="242"/>
      <c r="F64" s="604">
        <f>SUM(Pénze.átadás!F4)</f>
        <v>10555551</v>
      </c>
      <c r="G64" s="604">
        <v>10555551</v>
      </c>
      <c r="H64" s="604">
        <v>10555551</v>
      </c>
      <c r="I64" s="604">
        <v>10555551</v>
      </c>
      <c r="J64" s="160"/>
      <c r="K64" s="691"/>
      <c r="L64" s="691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605"/>
      <c r="AS64" s="160"/>
      <c r="AT64" s="160"/>
      <c r="AU64" s="787">
        <v>10555551</v>
      </c>
      <c r="AV64" s="160">
        <f>SUM(M64:AU64)</f>
        <v>10555551</v>
      </c>
    </row>
    <row r="65" spans="1:49" s="559" customFormat="1" ht="18" x14ac:dyDescent="0.25">
      <c r="A65" s="579" t="s">
        <v>270</v>
      </c>
      <c r="B65" s="580" t="s">
        <v>306</v>
      </c>
      <c r="C65" s="242">
        <f>SUM(Pénze.átadás!C15)</f>
        <v>0</v>
      </c>
      <c r="D65" s="581">
        <f>SUM(Pénze.átadás!D15)</f>
        <v>0</v>
      </c>
      <c r="E65" s="160">
        <f>SUM(Pénze.átadás!E15)</f>
        <v>0</v>
      </c>
      <c r="F65" s="468">
        <f>SUM(Pénze.átadás!F15)</f>
        <v>15567267</v>
      </c>
      <c r="G65" s="468">
        <v>15577267</v>
      </c>
      <c r="H65" s="468">
        <v>17440719</v>
      </c>
      <c r="I65" s="468">
        <v>16424921</v>
      </c>
      <c r="J65" s="75"/>
      <c r="K65" s="692"/>
      <c r="L65" s="692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81">
        <v>3000000</v>
      </c>
      <c r="AO65" s="70"/>
      <c r="AP65" s="70"/>
      <c r="AQ65" s="70"/>
      <c r="AR65" s="70"/>
      <c r="AS65" s="70"/>
      <c r="AT65" s="781">
        <v>12567267</v>
      </c>
      <c r="AU65" s="70"/>
      <c r="AV65" s="160">
        <f t="shared" ref="AV65:AV75" si="17">SUM(M65:AT65)</f>
        <v>15567267</v>
      </c>
    </row>
    <row r="66" spans="1:49" s="559" customFormat="1" ht="29.25" x14ac:dyDescent="0.25">
      <c r="A66" s="178" t="s">
        <v>737</v>
      </c>
      <c r="B66" s="811" t="s">
        <v>738</v>
      </c>
      <c r="C66" s="242">
        <f>SUM(Pénze.átadás!C18)</f>
        <v>0</v>
      </c>
      <c r="D66" s="581">
        <f>SUM(Pénze.átadás!D18)</f>
        <v>0</v>
      </c>
      <c r="E66" s="160">
        <f>SUM(Pénze.átadás!E18)</f>
        <v>0</v>
      </c>
      <c r="F66" s="468">
        <f>SUM(Pénze.átadás!F18)</f>
        <v>0</v>
      </c>
      <c r="G66" s="468">
        <v>75072</v>
      </c>
      <c r="H66" s="468">
        <v>75072</v>
      </c>
      <c r="I66" s="468">
        <v>75072</v>
      </c>
      <c r="J66" s="75"/>
      <c r="K66" s="692"/>
      <c r="L66" s="692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160">
        <f t="shared" si="17"/>
        <v>0</v>
      </c>
    </row>
    <row r="67" spans="1:49" s="559" customFormat="1" ht="18" x14ac:dyDescent="0.25">
      <c r="A67" s="579" t="s">
        <v>274</v>
      </c>
      <c r="B67" s="580" t="s">
        <v>308</v>
      </c>
      <c r="C67" s="242">
        <f>SUM(Pénze.átadás!C51)</f>
        <v>0</v>
      </c>
      <c r="D67" s="581">
        <f>SUM(Pénze.átadás!D51)</f>
        <v>0</v>
      </c>
      <c r="E67" s="160">
        <f>SUM(Pénze.átadás!E51)</f>
        <v>0</v>
      </c>
      <c r="F67" s="468">
        <f>SUM(Pénze.átadás!F51)</f>
        <v>13569268</v>
      </c>
      <c r="G67" s="468">
        <v>13664518</v>
      </c>
      <c r="H67" s="468">
        <v>17017445</v>
      </c>
      <c r="I67" s="468">
        <v>16062867</v>
      </c>
      <c r="J67" s="75"/>
      <c r="K67" s="692"/>
      <c r="L67" s="692"/>
      <c r="M67" s="781">
        <v>250000</v>
      </c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81">
        <v>6641125</v>
      </c>
      <c r="AD67" s="70"/>
      <c r="AE67" s="70"/>
      <c r="AF67" s="781">
        <v>4423143</v>
      </c>
      <c r="AG67" s="781">
        <v>105000</v>
      </c>
      <c r="AH67" s="70"/>
      <c r="AI67" s="781">
        <v>2150000</v>
      </c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160">
        <f t="shared" si="17"/>
        <v>13569268</v>
      </c>
    </row>
    <row r="68" spans="1:49" s="559" customFormat="1" ht="18" x14ac:dyDescent="0.25">
      <c r="A68" s="579" t="s">
        <v>276</v>
      </c>
      <c r="B68" s="580" t="s">
        <v>277</v>
      </c>
      <c r="C68" s="242">
        <f>SUM(Pénze.átadás!C59)</f>
        <v>0</v>
      </c>
      <c r="D68" s="581">
        <f>SUM(Pénze.átadás!D59)</f>
        <v>0</v>
      </c>
      <c r="E68" s="160">
        <f>SUM(Pénze.átadás!E59)</f>
        <v>0</v>
      </c>
      <c r="F68" s="468">
        <f>SUM(Pénze.átadás!F59)</f>
        <v>99231341</v>
      </c>
      <c r="G68" s="468">
        <v>85626378</v>
      </c>
      <c r="H68" s="468">
        <v>60729559</v>
      </c>
      <c r="I68" s="468"/>
      <c r="J68" s="75"/>
      <c r="K68" s="692"/>
      <c r="L68" s="692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81">
        <v>99231341</v>
      </c>
      <c r="AQ68" s="70"/>
      <c r="AR68" s="70"/>
      <c r="AS68" s="70"/>
      <c r="AT68" s="70"/>
      <c r="AU68" s="70"/>
      <c r="AV68" s="160">
        <f t="shared" si="17"/>
        <v>99231341</v>
      </c>
    </row>
    <row r="69" spans="1:49" s="610" customFormat="1" ht="18" x14ac:dyDescent="0.25">
      <c r="A69" s="582" t="s">
        <v>278</v>
      </c>
      <c r="B69" s="583" t="s">
        <v>279</v>
      </c>
      <c r="C69" s="144">
        <f>SUM(C65:C68)</f>
        <v>0</v>
      </c>
      <c r="D69" s="144">
        <f>SUM(D65:D68)</f>
        <v>0</v>
      </c>
      <c r="E69" s="144">
        <f>SUM(E65:E68)</f>
        <v>0</v>
      </c>
      <c r="F69" s="81">
        <f>SUM(F64:F68)</f>
        <v>138923427</v>
      </c>
      <c r="G69" s="81">
        <f>G64+G65+G66+G67+G68</f>
        <v>125498786</v>
      </c>
      <c r="H69" s="81">
        <f>H64+H65+H66+H67+H68</f>
        <v>105818346</v>
      </c>
      <c r="I69" s="81">
        <f>I64+I65+I66+I67+I68</f>
        <v>43118411</v>
      </c>
      <c r="J69" s="245"/>
      <c r="K69" s="693"/>
      <c r="L69" s="693"/>
      <c r="M69" s="245">
        <f t="shared" ref="M69:AT69" si="18">SUM(M65:M68)</f>
        <v>250000</v>
      </c>
      <c r="N69" s="245">
        <f t="shared" ref="N69:U69" si="19">SUM(N65:N68)</f>
        <v>0</v>
      </c>
      <c r="O69" s="245">
        <f t="shared" si="19"/>
        <v>0</v>
      </c>
      <c r="P69" s="245">
        <f t="shared" si="19"/>
        <v>0</v>
      </c>
      <c r="Q69" s="245">
        <f t="shared" si="19"/>
        <v>0</v>
      </c>
      <c r="R69" s="245">
        <f t="shared" si="19"/>
        <v>0</v>
      </c>
      <c r="S69" s="245">
        <f t="shared" si="19"/>
        <v>0</v>
      </c>
      <c r="T69" s="245">
        <f t="shared" si="19"/>
        <v>0</v>
      </c>
      <c r="U69" s="245">
        <f t="shared" si="19"/>
        <v>0</v>
      </c>
      <c r="V69" s="245">
        <f t="shared" si="18"/>
        <v>0</v>
      </c>
      <c r="W69" s="245">
        <f>SUM(W65:W68)</f>
        <v>0</v>
      </c>
      <c r="X69" s="245">
        <f>SUM(X65:X68)</f>
        <v>0</v>
      </c>
      <c r="Y69" s="245">
        <f>SUM(Y65:Y68)</f>
        <v>0</v>
      </c>
      <c r="Z69" s="245">
        <f t="shared" si="18"/>
        <v>0</v>
      </c>
      <c r="AA69" s="245">
        <f t="shared" si="18"/>
        <v>0</v>
      </c>
      <c r="AB69" s="245">
        <f t="shared" si="18"/>
        <v>0</v>
      </c>
      <c r="AC69" s="245">
        <f t="shared" si="18"/>
        <v>6641125</v>
      </c>
      <c r="AD69" s="245">
        <f t="shared" si="18"/>
        <v>0</v>
      </c>
      <c r="AE69" s="245">
        <f t="shared" si="18"/>
        <v>0</v>
      </c>
      <c r="AF69" s="245">
        <f>SUM(AF65:AF68)</f>
        <v>4423143</v>
      </c>
      <c r="AG69" s="245">
        <f>SUM(AG65:AG68)</f>
        <v>105000</v>
      </c>
      <c r="AH69" s="245">
        <f>SUM(AH65:AH68)</f>
        <v>0</v>
      </c>
      <c r="AI69" s="245">
        <f t="shared" si="18"/>
        <v>2150000</v>
      </c>
      <c r="AJ69" s="245">
        <f t="shared" si="18"/>
        <v>0</v>
      </c>
      <c r="AK69" s="245">
        <f t="shared" si="18"/>
        <v>0</v>
      </c>
      <c r="AL69" s="245">
        <f t="shared" si="18"/>
        <v>0</v>
      </c>
      <c r="AM69" s="245">
        <f t="shared" si="18"/>
        <v>0</v>
      </c>
      <c r="AN69" s="245">
        <f t="shared" si="18"/>
        <v>3000000</v>
      </c>
      <c r="AO69" s="245">
        <f t="shared" si="18"/>
        <v>0</v>
      </c>
      <c r="AP69" s="245">
        <f t="shared" si="18"/>
        <v>99231341</v>
      </c>
      <c r="AQ69" s="245">
        <f>SUM(AQ65:AQ68)</f>
        <v>0</v>
      </c>
      <c r="AR69" s="245">
        <f>SUM(AR64:AR68)</f>
        <v>0</v>
      </c>
      <c r="AS69" s="245">
        <f t="shared" si="18"/>
        <v>0</v>
      </c>
      <c r="AT69" s="782">
        <f t="shared" si="18"/>
        <v>12567267</v>
      </c>
      <c r="AU69" s="245">
        <f>SUM(AU64:AU68)</f>
        <v>10555551</v>
      </c>
      <c r="AV69" s="245">
        <f>SUM(M69:AU69)</f>
        <v>138923427</v>
      </c>
    </row>
    <row r="70" spans="1:49" s="610" customFormat="1" ht="18" x14ac:dyDescent="0.25">
      <c r="A70" s="157" t="s">
        <v>249</v>
      </c>
      <c r="B70" s="155" t="s">
        <v>310</v>
      </c>
      <c r="C70" s="228" t="e">
        <f>SUM('Ber.-felú.'!C66,-#REF!)</f>
        <v>#REF!</v>
      </c>
      <c r="D70" s="228" t="e">
        <f>SUM('Ber.-felú.'!D66,-#REF!)</f>
        <v>#REF!</v>
      </c>
      <c r="E70" s="228" t="e">
        <f>SUM('Ber.-felú.'!E66,-#REF!)</f>
        <v>#REF!</v>
      </c>
      <c r="F70" s="229">
        <f>SUM('Ber.-felú.'!F66)</f>
        <v>29415961</v>
      </c>
      <c r="G70" s="229">
        <v>42475162</v>
      </c>
      <c r="H70" s="229">
        <v>40353283</v>
      </c>
      <c r="I70" s="229">
        <v>14948674</v>
      </c>
      <c r="J70" s="245"/>
      <c r="K70" s="693"/>
      <c r="L70" s="693"/>
      <c r="M70" s="245"/>
      <c r="N70" s="245"/>
      <c r="O70" s="245"/>
      <c r="P70" s="245"/>
      <c r="Q70" s="245"/>
      <c r="R70" s="782">
        <v>28615861</v>
      </c>
      <c r="S70" s="245"/>
      <c r="T70" s="245"/>
      <c r="U70" s="245">
        <v>165100</v>
      </c>
      <c r="V70" s="245">
        <f>SUM('Ber.-felú.'!T66)</f>
        <v>0</v>
      </c>
      <c r="W70" s="245">
        <f>SUM('Ber.-felú.'!U66)</f>
        <v>0</v>
      </c>
      <c r="X70" s="245">
        <f>SUM('Ber.-felú.'!V66)</f>
        <v>0</v>
      </c>
      <c r="Y70" s="245">
        <f>SUM('Ber.-felú.'!W66)</f>
        <v>0</v>
      </c>
      <c r="Z70" s="245">
        <f>SUM('Ber.-felú.'!X66)</f>
        <v>0</v>
      </c>
      <c r="AA70" s="245">
        <f>SUM('Ber.-felú.'!Y66)</f>
        <v>0</v>
      </c>
      <c r="AB70" s="245">
        <v>635000</v>
      </c>
      <c r="AC70" s="245">
        <f>SUM('Ber.-felú.'!AA66)</f>
        <v>0</v>
      </c>
      <c r="AD70" s="245"/>
      <c r="AE70" s="245"/>
      <c r="AF70" s="245"/>
      <c r="AG70" s="245"/>
      <c r="AH70" s="245"/>
      <c r="AI70" s="245"/>
      <c r="AJ70" s="245"/>
      <c r="AK70" s="245"/>
      <c r="AL70" s="245"/>
      <c r="AM70" s="245"/>
      <c r="AN70" s="245"/>
      <c r="AO70" s="245"/>
      <c r="AP70" s="245"/>
      <c r="AQ70" s="245"/>
      <c r="AR70" s="245"/>
      <c r="AS70" s="245"/>
      <c r="AT70" s="245"/>
      <c r="AU70" s="245"/>
      <c r="AV70" s="245">
        <f t="shared" si="17"/>
        <v>29415961</v>
      </c>
    </row>
    <row r="71" spans="1:49" s="610" customFormat="1" ht="18" x14ac:dyDescent="0.25">
      <c r="A71" s="157" t="s">
        <v>255</v>
      </c>
      <c r="B71" s="155" t="s">
        <v>311</v>
      </c>
      <c r="C71" s="228">
        <f>SUM('Ber.-felú.'!C91)</f>
        <v>0</v>
      </c>
      <c r="D71" s="228">
        <f>SUM('Ber.-felú.'!D91)</f>
        <v>0</v>
      </c>
      <c r="E71" s="228">
        <f>SUM('Ber.-felú.'!E91)</f>
        <v>0</v>
      </c>
      <c r="F71" s="229">
        <f>SUM('Ber.-felú.'!F91)</f>
        <v>72211298</v>
      </c>
      <c r="G71" s="229">
        <v>72465298</v>
      </c>
      <c r="H71" s="229">
        <v>80080023</v>
      </c>
      <c r="I71" s="229">
        <v>79750466</v>
      </c>
      <c r="J71" s="245"/>
      <c r="K71" s="693"/>
      <c r="L71" s="693"/>
      <c r="M71" s="245"/>
      <c r="N71" s="782">
        <v>27259631</v>
      </c>
      <c r="O71" s="245"/>
      <c r="P71" s="245"/>
      <c r="Q71" s="245"/>
      <c r="R71" s="782">
        <v>44951667</v>
      </c>
      <c r="S71" s="245"/>
      <c r="T71" s="245"/>
      <c r="U71" s="245"/>
      <c r="V71" s="245">
        <f>SUM('Ber.-felú.'!T91)</f>
        <v>0</v>
      </c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>
        <f t="shared" si="17"/>
        <v>72211298</v>
      </c>
      <c r="AW71" s="609"/>
    </row>
    <row r="72" spans="1:49" ht="18" x14ac:dyDescent="0.25">
      <c r="A72" s="5" t="s">
        <v>257</v>
      </c>
      <c r="B72" s="142" t="s">
        <v>313</v>
      </c>
      <c r="C72" s="67">
        <f>SUM('Ber.-felú.'!C92)</f>
        <v>0</v>
      </c>
      <c r="D72" s="67">
        <f>SUM('Ber.-felú.'!D92)</f>
        <v>0</v>
      </c>
      <c r="E72" s="67">
        <f>SUM('Ber.-felú.'!E92)</f>
        <v>0</v>
      </c>
      <c r="F72" s="469">
        <f>SUM('Ber.-felú.'!F92)</f>
        <v>0</v>
      </c>
      <c r="G72" s="469"/>
      <c r="H72" s="469"/>
      <c r="I72" s="469"/>
      <c r="J72" s="227"/>
      <c r="K72" s="694"/>
      <c r="L72" s="694"/>
      <c r="M72" s="565"/>
      <c r="N72" s="565"/>
      <c r="O72" s="565"/>
      <c r="P72" s="565"/>
      <c r="Q72" s="565"/>
      <c r="R72" s="565"/>
      <c r="S72" s="565"/>
      <c r="T72" s="565"/>
      <c r="U72" s="565"/>
      <c r="V72" s="565"/>
      <c r="W72" s="565"/>
      <c r="X72" s="565"/>
      <c r="Y72" s="565"/>
      <c r="Z72" s="565"/>
      <c r="AA72" s="565"/>
      <c r="AB72" s="565"/>
      <c r="AC72" s="565"/>
      <c r="AD72" s="565"/>
      <c r="AE72" s="565"/>
      <c r="AF72" s="565"/>
      <c r="AG72" s="565"/>
      <c r="AH72" s="565"/>
      <c r="AI72" s="565"/>
      <c r="AJ72" s="565"/>
      <c r="AK72" s="565"/>
      <c r="AL72" s="565"/>
      <c r="AM72" s="565"/>
      <c r="AN72" s="565"/>
      <c r="AO72" s="565"/>
      <c r="AP72" s="565"/>
      <c r="AQ72" s="565"/>
      <c r="AR72" s="565"/>
      <c r="AS72" s="565"/>
      <c r="AT72" s="565"/>
      <c r="AU72" s="565"/>
      <c r="AV72" s="565">
        <f t="shared" si="17"/>
        <v>0</v>
      </c>
    </row>
    <row r="73" spans="1:49" ht="18" x14ac:dyDescent="0.25">
      <c r="A73" s="5" t="s">
        <v>258</v>
      </c>
      <c r="B73" s="142" t="s">
        <v>314</v>
      </c>
      <c r="C73" s="67">
        <f>SUM('Ber.-felú.'!C93)</f>
        <v>0</v>
      </c>
      <c r="D73" s="67">
        <f>SUM('Ber.-felú.'!D93)</f>
        <v>0</v>
      </c>
      <c r="E73" s="67">
        <f>SUM('Ber.-felú.'!E93)</f>
        <v>0</v>
      </c>
      <c r="F73" s="469">
        <f>SUM('Ber.-felú.'!F93)</f>
        <v>0</v>
      </c>
      <c r="G73" s="469"/>
      <c r="H73" s="469"/>
      <c r="I73" s="469"/>
      <c r="J73" s="227"/>
      <c r="K73" s="694"/>
      <c r="L73" s="694"/>
      <c r="M73" s="565"/>
      <c r="N73" s="565"/>
      <c r="O73" s="565"/>
      <c r="P73" s="565"/>
      <c r="Q73" s="565"/>
      <c r="R73" s="565"/>
      <c r="S73" s="565"/>
      <c r="T73" s="565"/>
      <c r="U73" s="565"/>
      <c r="V73" s="565"/>
      <c r="W73" s="565"/>
      <c r="X73" s="565"/>
      <c r="Y73" s="565"/>
      <c r="Z73" s="565"/>
      <c r="AA73" s="565"/>
      <c r="AB73" s="565"/>
      <c r="AC73" s="565"/>
      <c r="AD73" s="565"/>
      <c r="AE73" s="565"/>
      <c r="AF73" s="565"/>
      <c r="AG73" s="565"/>
      <c r="AH73" s="565"/>
      <c r="AI73" s="565"/>
      <c r="AJ73" s="565"/>
      <c r="AK73" s="565"/>
      <c r="AL73" s="565"/>
      <c r="AM73" s="565"/>
      <c r="AN73" s="565"/>
      <c r="AO73" s="565"/>
      <c r="AP73" s="565"/>
      <c r="AQ73" s="565"/>
      <c r="AR73" s="565"/>
      <c r="AS73" s="565"/>
      <c r="AT73" s="565"/>
      <c r="AU73" s="565"/>
      <c r="AV73" s="565">
        <f t="shared" si="17"/>
        <v>0</v>
      </c>
    </row>
    <row r="74" spans="1:49" ht="18" x14ac:dyDescent="0.25">
      <c r="A74" s="5" t="s">
        <v>259</v>
      </c>
      <c r="B74" s="142" t="s">
        <v>315</v>
      </c>
      <c r="C74" s="67">
        <f>SUM('Ber.-felú.'!C97)</f>
        <v>0</v>
      </c>
      <c r="D74" s="67">
        <f>SUM('Ber.-felú.'!D97)</f>
        <v>0</v>
      </c>
      <c r="E74" s="67">
        <f>SUM('Ber.-felú.'!E97)</f>
        <v>0</v>
      </c>
      <c r="F74" s="469">
        <f>AV74</f>
        <v>0</v>
      </c>
      <c r="G74" s="469"/>
      <c r="H74" s="469"/>
      <c r="I74" s="469"/>
      <c r="J74" s="227"/>
      <c r="K74" s="694"/>
      <c r="L74" s="694"/>
      <c r="M74" s="565"/>
      <c r="N74" s="565"/>
      <c r="O74" s="565"/>
      <c r="P74" s="565"/>
      <c r="Q74" s="565"/>
      <c r="R74" s="565"/>
      <c r="S74" s="565"/>
      <c r="T74" s="565"/>
      <c r="U74" s="565"/>
      <c r="V74" s="565"/>
      <c r="W74" s="565"/>
      <c r="X74" s="565"/>
      <c r="Y74" s="565"/>
      <c r="Z74" s="565"/>
      <c r="AA74" s="565"/>
      <c r="AB74" s="565"/>
      <c r="AC74" s="565"/>
      <c r="AD74" s="565"/>
      <c r="AE74" s="565"/>
      <c r="AF74" s="565"/>
      <c r="AG74" s="565"/>
      <c r="AH74" s="565"/>
      <c r="AI74" s="565"/>
      <c r="AJ74" s="565"/>
      <c r="AK74" s="565"/>
      <c r="AL74" s="565"/>
      <c r="AM74" s="565"/>
      <c r="AN74" s="565"/>
      <c r="AO74" s="565"/>
      <c r="AP74" s="565"/>
      <c r="AQ74" s="565"/>
      <c r="AR74" s="565"/>
      <c r="AS74" s="565"/>
      <c r="AT74" s="565"/>
      <c r="AU74" s="565"/>
      <c r="AV74" s="565">
        <f t="shared" si="17"/>
        <v>0</v>
      </c>
    </row>
    <row r="75" spans="1:49" s="610" customFormat="1" ht="18" x14ac:dyDescent="0.25">
      <c r="A75" s="157" t="s">
        <v>261</v>
      </c>
      <c r="B75" s="155" t="s">
        <v>312</v>
      </c>
      <c r="C75" s="228">
        <f>SUM(C72:C74)</f>
        <v>0</v>
      </c>
      <c r="D75" s="228">
        <f>SUM(D72:D74)</f>
        <v>0</v>
      </c>
      <c r="E75" s="228">
        <f>SUM(E72:E74)</f>
        <v>0</v>
      </c>
      <c r="F75" s="229">
        <f>SUM(F72:F74)</f>
        <v>0</v>
      </c>
      <c r="G75" s="229"/>
      <c r="H75" s="229"/>
      <c r="I75" s="229"/>
      <c r="J75" s="245"/>
      <c r="K75" s="693"/>
      <c r="L75" s="693"/>
      <c r="M75" s="245">
        <f t="shared" ref="M75:AU75" si="20">SUM(M72:M74)</f>
        <v>0</v>
      </c>
      <c r="N75" s="245">
        <f t="shared" si="20"/>
        <v>0</v>
      </c>
      <c r="O75" s="245">
        <f t="shared" si="20"/>
        <v>0</v>
      </c>
      <c r="P75" s="245">
        <f t="shared" si="20"/>
        <v>0</v>
      </c>
      <c r="Q75" s="245">
        <f t="shared" si="20"/>
        <v>0</v>
      </c>
      <c r="R75" s="245">
        <f t="shared" si="20"/>
        <v>0</v>
      </c>
      <c r="S75" s="245">
        <f t="shared" si="20"/>
        <v>0</v>
      </c>
      <c r="T75" s="245">
        <f t="shared" si="20"/>
        <v>0</v>
      </c>
      <c r="U75" s="245">
        <f t="shared" si="20"/>
        <v>0</v>
      </c>
      <c r="V75" s="245">
        <f t="shared" si="20"/>
        <v>0</v>
      </c>
      <c r="W75" s="245">
        <f>SUM(W72:W74)</f>
        <v>0</v>
      </c>
      <c r="X75" s="245">
        <f>SUM(X72:X74)</f>
        <v>0</v>
      </c>
      <c r="Y75" s="245">
        <f>SUM(Y72:Y74)</f>
        <v>0</v>
      </c>
      <c r="Z75" s="245">
        <f t="shared" si="20"/>
        <v>0</v>
      </c>
      <c r="AA75" s="245">
        <f t="shared" si="20"/>
        <v>0</v>
      </c>
      <c r="AB75" s="245">
        <f t="shared" si="20"/>
        <v>0</v>
      </c>
      <c r="AC75" s="245">
        <f t="shared" si="20"/>
        <v>0</v>
      </c>
      <c r="AD75" s="245">
        <f t="shared" si="20"/>
        <v>0</v>
      </c>
      <c r="AE75" s="245">
        <f t="shared" si="20"/>
        <v>0</v>
      </c>
      <c r="AF75" s="245">
        <f>SUM(AF72:AF74)</f>
        <v>0</v>
      </c>
      <c r="AG75" s="245">
        <f>SUM(AG72:AG74)</f>
        <v>0</v>
      </c>
      <c r="AH75" s="245">
        <f t="shared" si="20"/>
        <v>0</v>
      </c>
      <c r="AI75" s="245">
        <f t="shared" si="20"/>
        <v>0</v>
      </c>
      <c r="AJ75" s="245">
        <f t="shared" si="20"/>
        <v>0</v>
      </c>
      <c r="AK75" s="245">
        <f t="shared" si="20"/>
        <v>0</v>
      </c>
      <c r="AL75" s="245">
        <f t="shared" si="20"/>
        <v>0</v>
      </c>
      <c r="AM75" s="245">
        <f t="shared" si="20"/>
        <v>0</v>
      </c>
      <c r="AN75" s="245">
        <f t="shared" si="20"/>
        <v>0</v>
      </c>
      <c r="AO75" s="245">
        <f t="shared" si="20"/>
        <v>0</v>
      </c>
      <c r="AP75" s="245"/>
      <c r="AQ75" s="245"/>
      <c r="AR75" s="245">
        <f t="shared" si="20"/>
        <v>0</v>
      </c>
      <c r="AS75" s="245">
        <f t="shared" si="20"/>
        <v>0</v>
      </c>
      <c r="AT75" s="245">
        <f t="shared" si="20"/>
        <v>0</v>
      </c>
      <c r="AU75" s="245">
        <f t="shared" si="20"/>
        <v>0</v>
      </c>
      <c r="AV75" s="245">
        <f t="shared" si="17"/>
        <v>0</v>
      </c>
    </row>
    <row r="76" spans="1:49" ht="18" x14ac:dyDescent="0.25">
      <c r="A76" s="157"/>
      <c r="B76" s="155" t="s">
        <v>316</v>
      </c>
      <c r="C76" s="228" t="e">
        <f>SUM(C23,C28,C62,C63,C69,C70,C71,C75)</f>
        <v>#REF!</v>
      </c>
      <c r="D76" s="456" t="e">
        <f>SUM(D23,D28,D62,D63,D69,D70,D71,D75)</f>
        <v>#REF!</v>
      </c>
      <c r="E76" s="228" t="e">
        <f>SUM(E23,E28,E62,E63,E69,E70,E71,E75)</f>
        <v>#REF!</v>
      </c>
      <c r="F76" s="229">
        <f>SUM(F23,F28,F62,F63,F69,F70,F71,F75)</f>
        <v>357999164</v>
      </c>
      <c r="G76" s="229">
        <f t="shared" ref="G76:I76" si="21">SUM(G23,G28,G62,G63,G69,G70,G71,G75)</f>
        <v>358835407</v>
      </c>
      <c r="H76" s="229">
        <f t="shared" si="21"/>
        <v>362505552</v>
      </c>
      <c r="I76" s="229">
        <f t="shared" si="21"/>
        <v>258377547</v>
      </c>
      <c r="J76" s="456"/>
      <c r="K76" s="695"/>
      <c r="L76" s="695"/>
      <c r="M76" s="221">
        <f t="shared" ref="M76:AU76" si="22">SUM(M23,M28,M62,M63,M69,M70,M71,M75)</f>
        <v>1901000</v>
      </c>
      <c r="N76" s="221">
        <f t="shared" si="22"/>
        <v>31323631</v>
      </c>
      <c r="O76" s="221">
        <f t="shared" si="22"/>
        <v>457200</v>
      </c>
      <c r="P76" s="221">
        <f t="shared" si="22"/>
        <v>474375</v>
      </c>
      <c r="Q76" s="221">
        <f t="shared" si="22"/>
        <v>10562390</v>
      </c>
      <c r="R76" s="221">
        <f t="shared" si="22"/>
        <v>75332916</v>
      </c>
      <c r="S76" s="221">
        <f t="shared" si="22"/>
        <v>63500</v>
      </c>
      <c r="T76" s="221">
        <f t="shared" si="22"/>
        <v>13236159</v>
      </c>
      <c r="U76" s="221">
        <f t="shared" si="22"/>
        <v>1580100</v>
      </c>
      <c r="V76" s="221">
        <f t="shared" si="22"/>
        <v>117600</v>
      </c>
      <c r="W76" s="221">
        <f t="shared" si="22"/>
        <v>4540000</v>
      </c>
      <c r="X76" s="221">
        <f t="shared" si="22"/>
        <v>802640</v>
      </c>
      <c r="Y76" s="221">
        <f t="shared" si="22"/>
        <v>400000</v>
      </c>
      <c r="Z76" s="221">
        <f t="shared" si="22"/>
        <v>254000</v>
      </c>
      <c r="AA76" s="221">
        <f t="shared" si="22"/>
        <v>1233700</v>
      </c>
      <c r="AB76" s="221">
        <f t="shared" si="22"/>
        <v>10596037</v>
      </c>
      <c r="AC76" s="221">
        <f t="shared" si="22"/>
        <v>6641125</v>
      </c>
      <c r="AD76" s="221">
        <f t="shared" si="22"/>
        <v>6115135</v>
      </c>
      <c r="AE76" s="221">
        <f t="shared" si="22"/>
        <v>5250000</v>
      </c>
      <c r="AF76" s="221">
        <f>SUM(AF23,AF28,AF62,AF63,AF69,AF70,AF71,AF75)</f>
        <v>4423143</v>
      </c>
      <c r="AG76" s="221">
        <f>SUM(AG23,AG28,AG62,AG63,AG69,AG70,AG71,AG75)</f>
        <v>105000</v>
      </c>
      <c r="AH76" s="221">
        <f t="shared" si="22"/>
        <v>885715</v>
      </c>
      <c r="AI76" s="221">
        <f t="shared" si="22"/>
        <v>2150000</v>
      </c>
      <c r="AJ76" s="221">
        <f t="shared" si="22"/>
        <v>300000</v>
      </c>
      <c r="AK76" s="221">
        <f t="shared" si="22"/>
        <v>4448600</v>
      </c>
      <c r="AL76" s="221">
        <f t="shared" si="22"/>
        <v>3129103</v>
      </c>
      <c r="AM76" s="221">
        <f t="shared" si="22"/>
        <v>558000</v>
      </c>
      <c r="AN76" s="221">
        <f t="shared" si="22"/>
        <v>3050000</v>
      </c>
      <c r="AO76" s="221">
        <f t="shared" si="22"/>
        <v>4638400</v>
      </c>
      <c r="AP76" s="221">
        <f t="shared" si="22"/>
        <v>99231341</v>
      </c>
      <c r="AQ76" s="221">
        <f t="shared" si="22"/>
        <v>0</v>
      </c>
      <c r="AR76" s="221">
        <f t="shared" si="22"/>
        <v>149500</v>
      </c>
      <c r="AS76" s="221">
        <f t="shared" si="22"/>
        <v>18240311</v>
      </c>
      <c r="AT76" s="221">
        <f t="shared" si="22"/>
        <v>35252992</v>
      </c>
      <c r="AU76" s="221">
        <f t="shared" si="22"/>
        <v>10555551</v>
      </c>
      <c r="AV76" s="221">
        <f>SUM(AV23+AV28+AV62+AV63+AV69+AV70+AV71+AV75)</f>
        <v>357999164</v>
      </c>
      <c r="AW76" s="609"/>
    </row>
    <row r="77" spans="1:49" ht="18" x14ac:dyDescent="0.25">
      <c r="A77" s="5" t="s">
        <v>654</v>
      </c>
      <c r="B77" s="183" t="s">
        <v>655</v>
      </c>
      <c r="C77" s="67"/>
      <c r="D77" s="13"/>
      <c r="E77" s="13"/>
      <c r="F77" s="604">
        <f>AV77</f>
        <v>1309508</v>
      </c>
      <c r="G77" s="604">
        <v>1309508</v>
      </c>
      <c r="H77" s="604">
        <v>1309508</v>
      </c>
      <c r="I77" s="604">
        <v>1307152</v>
      </c>
      <c r="J77" s="241"/>
      <c r="K77" s="696"/>
      <c r="L77" s="696"/>
      <c r="M77" s="565"/>
      <c r="N77" s="565"/>
      <c r="O77" s="565"/>
      <c r="P77" s="565"/>
      <c r="Q77" s="565"/>
      <c r="R77" s="781">
        <v>1309508</v>
      </c>
      <c r="S77" s="565"/>
      <c r="T77" s="565"/>
      <c r="U77" s="565"/>
      <c r="V77" s="565"/>
      <c r="W77" s="565"/>
      <c r="X77" s="565"/>
      <c r="Y77" s="565"/>
      <c r="Z77" s="565"/>
      <c r="AA77" s="565"/>
      <c r="AB77" s="565"/>
      <c r="AC77" s="565"/>
      <c r="AD77" s="565"/>
      <c r="AE77" s="565"/>
      <c r="AF77" s="565"/>
      <c r="AG77" s="565"/>
      <c r="AH77" s="565"/>
      <c r="AI77" s="565"/>
      <c r="AJ77" s="565"/>
      <c r="AK77" s="565"/>
      <c r="AL77" s="565"/>
      <c r="AM77" s="565"/>
      <c r="AN77" s="565"/>
      <c r="AO77" s="565"/>
      <c r="AP77" s="565"/>
      <c r="AQ77" s="565"/>
      <c r="AR77" s="565"/>
      <c r="AS77" s="565"/>
      <c r="AT77" s="565"/>
      <c r="AU77" s="565"/>
      <c r="AV77" s="565">
        <f>SUM(M77:AU77)</f>
        <v>1309508</v>
      </c>
    </row>
    <row r="78" spans="1:49" s="559" customFormat="1" ht="18" x14ac:dyDescent="0.25">
      <c r="A78" s="5" t="s">
        <v>305</v>
      </c>
      <c r="B78" s="183" t="s">
        <v>79</v>
      </c>
      <c r="C78" s="241" t="e">
        <f>SUM(#REF!,Óvoda!C128,#REF!)</f>
        <v>#REF!</v>
      </c>
      <c r="D78" s="584" t="e">
        <f>SUM(#REF!,Óvoda!D128,#REF!)</f>
        <v>#REF!</v>
      </c>
      <c r="E78" s="75" t="e">
        <f>SUM(#REF!,Óvoda!E128,#REF!)</f>
        <v>#REF!</v>
      </c>
      <c r="F78" s="604">
        <f>SUM(Óvoda!F128)</f>
        <v>62937550</v>
      </c>
      <c r="G78" s="604">
        <v>62940179</v>
      </c>
      <c r="H78" s="604">
        <v>62950691</v>
      </c>
      <c r="I78" s="604">
        <v>58880598</v>
      </c>
      <c r="J78" s="67"/>
      <c r="K78" s="697"/>
      <c r="L78" s="697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81">
        <v>62937550</v>
      </c>
      <c r="AR78" s="70"/>
      <c r="AS78" s="70"/>
      <c r="AT78" s="70"/>
      <c r="AU78" s="70"/>
      <c r="AV78" s="70">
        <f>SUM(M78:AU78)</f>
        <v>62937550</v>
      </c>
    </row>
    <row r="79" spans="1:49" ht="18" x14ac:dyDescent="0.25">
      <c r="A79" s="612" t="s">
        <v>659</v>
      </c>
      <c r="B79" s="613" t="s">
        <v>660</v>
      </c>
      <c r="C79" s="614"/>
      <c r="D79" s="615"/>
      <c r="E79" s="615"/>
      <c r="F79" s="812">
        <f>AV79</f>
        <v>1578635</v>
      </c>
      <c r="G79" s="812">
        <v>1578635</v>
      </c>
      <c r="H79" s="812">
        <v>1578635</v>
      </c>
      <c r="I79" s="812">
        <v>1578635</v>
      </c>
      <c r="J79" s="709"/>
      <c r="K79" s="696"/>
      <c r="L79" s="696"/>
      <c r="M79" s="617"/>
      <c r="N79" s="617"/>
      <c r="O79" s="617"/>
      <c r="P79" s="617"/>
      <c r="Q79" s="617"/>
      <c r="R79" s="617"/>
      <c r="S79" s="617"/>
      <c r="T79" s="617"/>
      <c r="U79" s="617"/>
      <c r="V79" s="617"/>
      <c r="W79" s="617"/>
      <c r="X79" s="617"/>
      <c r="Y79" s="617"/>
      <c r="Z79" s="617"/>
      <c r="AA79" s="617"/>
      <c r="AB79" s="617"/>
      <c r="AC79" s="617"/>
      <c r="AD79" s="617"/>
      <c r="AE79" s="617"/>
      <c r="AF79" s="617"/>
      <c r="AG79" s="617"/>
      <c r="AH79" s="617"/>
      <c r="AI79" s="617"/>
      <c r="AJ79" s="617"/>
      <c r="AK79" s="617"/>
      <c r="AL79" s="617"/>
      <c r="AM79" s="617"/>
      <c r="AN79" s="617"/>
      <c r="AO79" s="617"/>
      <c r="AP79" s="617"/>
      <c r="AQ79" s="617"/>
      <c r="AR79" s="617"/>
      <c r="AS79" s="617"/>
      <c r="AT79" s="617"/>
      <c r="AU79" s="788">
        <v>1578635</v>
      </c>
      <c r="AV79" s="70">
        <f>SUM(M79:AU79)</f>
        <v>1578635</v>
      </c>
    </row>
    <row r="80" spans="1:49" ht="18" x14ac:dyDescent="0.25">
      <c r="A80" s="855" t="s">
        <v>757</v>
      </c>
      <c r="B80" s="856" t="s">
        <v>758</v>
      </c>
      <c r="C80" s="614"/>
      <c r="D80" s="615"/>
      <c r="E80" s="615"/>
      <c r="F80" s="812"/>
      <c r="G80" s="812"/>
      <c r="H80" s="812">
        <v>10000000</v>
      </c>
      <c r="I80" s="812">
        <v>10000000</v>
      </c>
      <c r="J80" s="709"/>
      <c r="K80" s="696"/>
      <c r="L80" s="696"/>
      <c r="M80" s="617"/>
      <c r="N80" s="617"/>
      <c r="O80" s="617"/>
      <c r="P80" s="617"/>
      <c r="Q80" s="617"/>
      <c r="R80" s="617"/>
      <c r="S80" s="617"/>
      <c r="T80" s="617"/>
      <c r="U80" s="617"/>
      <c r="V80" s="617"/>
      <c r="W80" s="617"/>
      <c r="X80" s="617"/>
      <c r="Y80" s="617"/>
      <c r="Z80" s="617"/>
      <c r="AA80" s="617"/>
      <c r="AB80" s="617"/>
      <c r="AC80" s="617"/>
      <c r="AD80" s="617"/>
      <c r="AE80" s="617"/>
      <c r="AF80" s="617"/>
      <c r="AG80" s="617"/>
      <c r="AH80" s="617"/>
      <c r="AI80" s="617"/>
      <c r="AJ80" s="617"/>
      <c r="AK80" s="617"/>
      <c r="AL80" s="617"/>
      <c r="AM80" s="617"/>
      <c r="AN80" s="617"/>
      <c r="AO80" s="617"/>
      <c r="AP80" s="617"/>
      <c r="AQ80" s="617"/>
      <c r="AR80" s="617"/>
      <c r="AS80" s="617"/>
      <c r="AT80" s="617"/>
      <c r="AU80" s="788"/>
      <c r="AV80" s="70"/>
    </row>
    <row r="81" spans="1:50" s="619" customFormat="1" ht="18" x14ac:dyDescent="0.25">
      <c r="A81" s="185"/>
      <c r="B81" s="583" t="s">
        <v>384</v>
      </c>
      <c r="C81" s="456" t="e">
        <f>SUM(C76:C79)</f>
        <v>#REF!</v>
      </c>
      <c r="D81" s="228" t="e">
        <f>SUM(D76:D79)</f>
        <v>#REF!</v>
      </c>
      <c r="E81" s="456" t="e">
        <f>SUM(E76:E79)</f>
        <v>#REF!</v>
      </c>
      <c r="F81" s="229">
        <f>SUM(F76:F79)</f>
        <v>423824857</v>
      </c>
      <c r="G81" s="229">
        <f t="shared" ref="G81" si="23">SUM(G76:G79)</f>
        <v>424663729</v>
      </c>
      <c r="H81" s="229">
        <f>SUM(H76:H80)</f>
        <v>438344386</v>
      </c>
      <c r="I81" s="229">
        <f>SUM(I76:I80)</f>
        <v>330143932</v>
      </c>
      <c r="J81" s="245"/>
      <c r="K81" s="696"/>
      <c r="L81" s="696"/>
      <c r="M81" s="144">
        <f t="shared" ref="M81:AU81" si="24">SUM(M76:M79)</f>
        <v>1901000</v>
      </c>
      <c r="N81" s="144">
        <f t="shared" si="24"/>
        <v>31323631</v>
      </c>
      <c r="O81" s="144">
        <f t="shared" si="24"/>
        <v>457200</v>
      </c>
      <c r="P81" s="144">
        <f t="shared" si="24"/>
        <v>474375</v>
      </c>
      <c r="Q81" s="144">
        <f t="shared" si="24"/>
        <v>10562390</v>
      </c>
      <c r="R81" s="144">
        <f t="shared" si="24"/>
        <v>76642424</v>
      </c>
      <c r="S81" s="144">
        <f t="shared" si="24"/>
        <v>63500</v>
      </c>
      <c r="T81" s="144">
        <f t="shared" si="24"/>
        <v>13236159</v>
      </c>
      <c r="U81" s="144">
        <f t="shared" si="24"/>
        <v>1580100</v>
      </c>
      <c r="V81" s="144">
        <f t="shared" si="24"/>
        <v>117600</v>
      </c>
      <c r="W81" s="144">
        <f t="shared" si="24"/>
        <v>4540000</v>
      </c>
      <c r="X81" s="144">
        <f t="shared" si="24"/>
        <v>802640</v>
      </c>
      <c r="Y81" s="144">
        <f t="shared" si="24"/>
        <v>400000</v>
      </c>
      <c r="Z81" s="144">
        <f t="shared" si="24"/>
        <v>254000</v>
      </c>
      <c r="AA81" s="144">
        <f t="shared" si="24"/>
        <v>1233700</v>
      </c>
      <c r="AB81" s="144">
        <f t="shared" si="24"/>
        <v>10596037</v>
      </c>
      <c r="AC81" s="144">
        <f t="shared" si="24"/>
        <v>6641125</v>
      </c>
      <c r="AD81" s="144">
        <f t="shared" si="24"/>
        <v>6115135</v>
      </c>
      <c r="AE81" s="144">
        <f t="shared" si="24"/>
        <v>5250000</v>
      </c>
      <c r="AF81" s="144">
        <f>SUM(AF76:AF79)</f>
        <v>4423143</v>
      </c>
      <c r="AG81" s="144">
        <f>SUM(AG76:AG79)</f>
        <v>105000</v>
      </c>
      <c r="AH81" s="144">
        <f t="shared" si="24"/>
        <v>885715</v>
      </c>
      <c r="AI81" s="144">
        <f t="shared" si="24"/>
        <v>2150000</v>
      </c>
      <c r="AJ81" s="144">
        <f t="shared" si="24"/>
        <v>300000</v>
      </c>
      <c r="AK81" s="144">
        <f t="shared" si="24"/>
        <v>4448600</v>
      </c>
      <c r="AL81" s="144">
        <f t="shared" si="24"/>
        <v>3129103</v>
      </c>
      <c r="AM81" s="144">
        <f t="shared" si="24"/>
        <v>558000</v>
      </c>
      <c r="AN81" s="144">
        <f t="shared" si="24"/>
        <v>3050000</v>
      </c>
      <c r="AO81" s="144">
        <f t="shared" si="24"/>
        <v>4638400</v>
      </c>
      <c r="AP81" s="144">
        <f t="shared" si="24"/>
        <v>99231341</v>
      </c>
      <c r="AQ81" s="144">
        <f t="shared" si="24"/>
        <v>62937550</v>
      </c>
      <c r="AR81" s="144">
        <f t="shared" si="24"/>
        <v>149500</v>
      </c>
      <c r="AS81" s="144">
        <f t="shared" si="24"/>
        <v>18240311</v>
      </c>
      <c r="AT81" s="144">
        <f t="shared" si="24"/>
        <v>35252992</v>
      </c>
      <c r="AU81" s="144">
        <f t="shared" si="24"/>
        <v>12134186</v>
      </c>
      <c r="AV81" s="144">
        <f>SUM(M81:AU81)</f>
        <v>423824857</v>
      </c>
      <c r="AW81" s="618"/>
    </row>
    <row r="82" spans="1:50" s="628" customFormat="1" ht="18" x14ac:dyDescent="0.25">
      <c r="A82" s="625"/>
      <c r="B82" s="626"/>
      <c r="C82" s="461"/>
      <c r="D82" s="242"/>
      <c r="E82" s="461"/>
      <c r="F82" s="432"/>
      <c r="G82" s="432"/>
      <c r="H82" s="432"/>
      <c r="I82" s="432"/>
      <c r="J82" s="241"/>
      <c r="K82" s="696"/>
      <c r="L82" s="696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627"/>
    </row>
    <row r="83" spans="1:50" s="628" customFormat="1" ht="18" x14ac:dyDescent="0.25">
      <c r="A83" s="625"/>
      <c r="B83" s="626"/>
      <c r="C83" s="461"/>
      <c r="D83" s="242"/>
      <c r="E83" s="461"/>
      <c r="F83" s="432"/>
      <c r="G83" s="432"/>
      <c r="H83" s="432"/>
      <c r="I83" s="432"/>
      <c r="J83" s="241"/>
      <c r="K83" s="696"/>
      <c r="L83" s="696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627"/>
    </row>
    <row r="84" spans="1:50" s="628" customFormat="1" ht="18" x14ac:dyDescent="0.25">
      <c r="A84" s="625"/>
      <c r="B84" s="626"/>
      <c r="C84" s="461"/>
      <c r="D84" s="242"/>
      <c r="E84" s="461"/>
      <c r="F84" s="432"/>
      <c r="G84" s="432"/>
      <c r="H84" s="432"/>
      <c r="I84" s="432"/>
      <c r="J84" s="241"/>
      <c r="K84" s="696"/>
      <c r="L84" s="696"/>
      <c r="M84" s="637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627"/>
    </row>
    <row r="85" spans="1:50" s="628" customFormat="1" ht="18.75" customHeight="1" x14ac:dyDescent="0.25">
      <c r="A85" s="625"/>
      <c r="B85" s="626"/>
      <c r="C85" s="461"/>
      <c r="D85" s="242"/>
      <c r="E85" s="461"/>
      <c r="F85" s="432"/>
      <c r="G85" s="432"/>
      <c r="H85" s="432"/>
      <c r="I85" s="432"/>
      <c r="J85" s="241"/>
      <c r="K85" s="696"/>
      <c r="L85" s="997" t="s">
        <v>662</v>
      </c>
      <c r="M85" s="978" t="s">
        <v>607</v>
      </c>
      <c r="N85" s="978" t="s">
        <v>559</v>
      </c>
      <c r="O85" s="978" t="s">
        <v>608</v>
      </c>
      <c r="P85" s="978" t="s">
        <v>569</v>
      </c>
      <c r="Q85" s="978" t="s">
        <v>573</v>
      </c>
      <c r="R85" s="978" t="s">
        <v>577</v>
      </c>
      <c r="S85" s="978" t="s">
        <v>661</v>
      </c>
      <c r="T85" s="978" t="s">
        <v>657</v>
      </c>
      <c r="U85" s="978" t="s">
        <v>609</v>
      </c>
      <c r="V85" s="978" t="s">
        <v>610</v>
      </c>
      <c r="W85" s="978" t="s">
        <v>611</v>
      </c>
      <c r="X85" s="978" t="s">
        <v>588</v>
      </c>
      <c r="Y85" s="985" t="s">
        <v>612</v>
      </c>
      <c r="Z85" s="988" t="s">
        <v>680</v>
      </c>
      <c r="AA85" s="981" t="s">
        <v>695</v>
      </c>
      <c r="AB85" s="991" t="s">
        <v>729</v>
      </c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627"/>
    </row>
    <row r="86" spans="1:50" s="628" customFormat="1" ht="18" x14ac:dyDescent="0.25">
      <c r="A86" s="625"/>
      <c r="B86" s="626"/>
      <c r="C86" s="461"/>
      <c r="D86" s="242"/>
      <c r="E86" s="461"/>
      <c r="F86" s="432"/>
      <c r="G86" s="432"/>
      <c r="H86" s="432"/>
      <c r="I86" s="432"/>
      <c r="J86" s="241"/>
      <c r="K86" s="696"/>
      <c r="L86" s="998"/>
      <c r="M86" s="995"/>
      <c r="N86" s="969"/>
      <c r="O86" s="969"/>
      <c r="P86" s="969"/>
      <c r="Q86" s="969"/>
      <c r="R86" s="969"/>
      <c r="S86" s="969"/>
      <c r="T86" s="969"/>
      <c r="U86" s="969"/>
      <c r="V86" s="969"/>
      <c r="W86" s="969"/>
      <c r="X86" s="969"/>
      <c r="Y86" s="986"/>
      <c r="Z86" s="989"/>
      <c r="AA86" s="982"/>
      <c r="AB86" s="992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627"/>
    </row>
    <row r="87" spans="1:50" s="628" customFormat="1" ht="18" x14ac:dyDescent="0.25">
      <c r="A87" s="625"/>
      <c r="B87" s="626"/>
      <c r="C87" s="461"/>
      <c r="D87" s="242"/>
      <c r="E87" s="461"/>
      <c r="F87" s="432"/>
      <c r="G87" s="432"/>
      <c r="H87" s="432"/>
      <c r="I87" s="432"/>
      <c r="J87" s="241"/>
      <c r="K87" s="696"/>
      <c r="L87" s="998"/>
      <c r="M87" s="995"/>
      <c r="N87" s="969"/>
      <c r="O87" s="969"/>
      <c r="P87" s="969"/>
      <c r="Q87" s="969"/>
      <c r="R87" s="969"/>
      <c r="S87" s="969"/>
      <c r="T87" s="969"/>
      <c r="U87" s="969"/>
      <c r="V87" s="969"/>
      <c r="W87" s="969"/>
      <c r="X87" s="969"/>
      <c r="Y87" s="986"/>
      <c r="Z87" s="989"/>
      <c r="AA87" s="982"/>
      <c r="AB87" s="992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627"/>
    </row>
    <row r="88" spans="1:50" s="628" customFormat="1" ht="18" x14ac:dyDescent="0.25">
      <c r="A88" s="625"/>
      <c r="B88" s="626"/>
      <c r="C88" s="461"/>
      <c r="D88" s="242"/>
      <c r="E88" s="461"/>
      <c r="F88" s="432"/>
      <c r="G88" s="432"/>
      <c r="H88" s="432"/>
      <c r="I88" s="432"/>
      <c r="J88" s="241"/>
      <c r="K88" s="696"/>
      <c r="L88" s="999"/>
      <c r="M88" s="996"/>
      <c r="N88" s="970"/>
      <c r="O88" s="970"/>
      <c r="P88" s="970"/>
      <c r="Q88" s="970"/>
      <c r="R88" s="970"/>
      <c r="S88" s="970"/>
      <c r="T88" s="970"/>
      <c r="U88" s="970"/>
      <c r="V88" s="970"/>
      <c r="W88" s="970"/>
      <c r="X88" s="970"/>
      <c r="Y88" s="987"/>
      <c r="Z88" s="990"/>
      <c r="AA88" s="983"/>
      <c r="AB88" s="993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627"/>
    </row>
    <row r="89" spans="1:50" s="566" customFormat="1" ht="18" x14ac:dyDescent="0.25">
      <c r="A89" s="629"/>
      <c r="C89" s="160"/>
      <c r="D89" s="160"/>
      <c r="E89" s="160"/>
      <c r="F89" s="13"/>
      <c r="G89" s="13"/>
      <c r="H89" s="13"/>
      <c r="I89" s="13"/>
      <c r="J89" s="241"/>
      <c r="K89" s="696"/>
      <c r="L89" s="241"/>
      <c r="M89" s="636"/>
      <c r="W89" s="783"/>
      <c r="Y89" s="566">
        <f>SUM(M89:X89)</f>
        <v>0</v>
      </c>
      <c r="AC89" s="770"/>
    </row>
    <row r="90" spans="1:50" s="566" customFormat="1" ht="18" x14ac:dyDescent="0.25">
      <c r="A90" s="10" t="s">
        <v>399</v>
      </c>
      <c r="B90" s="586" t="s">
        <v>405</v>
      </c>
      <c r="C90" s="241"/>
      <c r="D90" s="459"/>
      <c r="E90" s="75"/>
      <c r="F90" s="468">
        <f>SUM(Állami!H13)</f>
        <v>0</v>
      </c>
      <c r="G90" s="468">
        <v>27206</v>
      </c>
      <c r="H90" s="468">
        <v>27206</v>
      </c>
      <c r="I90" s="468">
        <v>27206</v>
      </c>
      <c r="J90" s="75"/>
      <c r="K90" s="692"/>
      <c r="L90" s="75"/>
      <c r="M90" s="633"/>
      <c r="N90" s="633"/>
      <c r="O90" s="633"/>
      <c r="P90" s="633"/>
      <c r="Q90" s="633"/>
      <c r="R90" s="633"/>
      <c r="S90" s="633"/>
      <c r="T90" s="633"/>
      <c r="U90" s="633"/>
      <c r="V90" s="633"/>
      <c r="W90" s="633"/>
      <c r="X90" s="633"/>
      <c r="Y90" s="566">
        <f t="shared" ref="Y90:Y95" si="25">SUM(M90:X90)</f>
        <v>0</v>
      </c>
      <c r="Z90" s="633"/>
      <c r="AA90" s="633"/>
      <c r="AC90" s="771"/>
      <c r="AD90" s="633"/>
      <c r="AE90" s="633"/>
      <c r="AF90" s="633"/>
      <c r="AG90" s="633"/>
      <c r="AH90" s="633"/>
      <c r="AI90" s="633"/>
      <c r="AJ90" s="633"/>
      <c r="AK90" s="633"/>
      <c r="AL90" s="633"/>
      <c r="AM90" s="633"/>
      <c r="AN90" s="633"/>
      <c r="AO90" s="633"/>
      <c r="AP90" s="633"/>
      <c r="AQ90" s="633"/>
      <c r="AR90" s="633"/>
      <c r="AS90" s="633"/>
      <c r="AT90" s="633"/>
      <c r="AU90" s="633"/>
      <c r="AV90" s="633"/>
      <c r="AW90" s="632"/>
      <c r="AX90" s="632"/>
    </row>
    <row r="91" spans="1:50" ht="18" x14ac:dyDescent="0.25">
      <c r="A91" s="620" t="s">
        <v>400</v>
      </c>
      <c r="B91" s="631" t="s">
        <v>406</v>
      </c>
      <c r="C91" s="621"/>
      <c r="D91" s="622"/>
      <c r="E91" s="623"/>
      <c r="F91" s="624">
        <f>SUM(Állami!H23)</f>
        <v>40800400</v>
      </c>
      <c r="G91" s="624">
        <v>41064400</v>
      </c>
      <c r="H91" s="624">
        <v>41440700</v>
      </c>
      <c r="I91" s="624">
        <v>41716967</v>
      </c>
      <c r="J91" s="623"/>
      <c r="K91" s="692"/>
      <c r="L91" s="75"/>
      <c r="M91" s="555"/>
      <c r="N91" s="555"/>
      <c r="O91" s="555"/>
      <c r="P91" s="555"/>
      <c r="Q91" s="555"/>
      <c r="R91" s="555"/>
      <c r="S91" s="555"/>
      <c r="T91" s="555"/>
      <c r="U91" s="555"/>
      <c r="V91" s="555"/>
      <c r="W91" s="789">
        <v>40800400</v>
      </c>
      <c r="X91" s="555"/>
      <c r="Y91" s="566">
        <f t="shared" si="25"/>
        <v>40800400</v>
      </c>
      <c r="Z91" s="555"/>
      <c r="AA91" s="779"/>
      <c r="AB91" s="779"/>
      <c r="AC91" s="630"/>
      <c r="AD91" s="630"/>
      <c r="AE91" s="630"/>
      <c r="AF91" s="630"/>
      <c r="AG91" s="630"/>
      <c r="AH91" s="630"/>
      <c r="AI91" s="630"/>
      <c r="AJ91" s="630"/>
      <c r="AK91" s="630"/>
      <c r="AL91" s="630"/>
      <c r="AM91" s="630"/>
      <c r="AN91" s="630"/>
      <c r="AO91" s="630"/>
      <c r="AP91" s="630"/>
      <c r="AQ91" s="630"/>
      <c r="AR91" s="630"/>
      <c r="AS91" s="630"/>
      <c r="AT91" s="630"/>
      <c r="AU91" s="630"/>
      <c r="AV91" s="984"/>
      <c r="AW91" s="587"/>
      <c r="AX91" s="587"/>
    </row>
    <row r="92" spans="1:50" ht="18" x14ac:dyDescent="0.25">
      <c r="A92" s="10" t="s">
        <v>401</v>
      </c>
      <c r="B92" s="588" t="s">
        <v>407</v>
      </c>
      <c r="C92" s="241"/>
      <c r="D92" s="459"/>
      <c r="E92" s="75"/>
      <c r="F92" s="624">
        <f>SUM(Állami!H26+Állami!H29)</f>
        <v>11719318</v>
      </c>
      <c r="G92" s="624">
        <v>11719318</v>
      </c>
      <c r="H92" s="624">
        <v>10809352</v>
      </c>
      <c r="I92" s="624">
        <v>11719318</v>
      </c>
      <c r="J92" s="75"/>
      <c r="K92" s="692"/>
      <c r="L92" s="75"/>
      <c r="M92" s="555"/>
      <c r="N92" s="555"/>
      <c r="O92" s="555"/>
      <c r="P92" s="555"/>
      <c r="Q92" s="555"/>
      <c r="R92" s="555"/>
      <c r="S92" s="555"/>
      <c r="T92" s="555"/>
      <c r="U92" s="555"/>
      <c r="V92" s="555"/>
      <c r="W92" s="789">
        <v>11719318</v>
      </c>
      <c r="X92" s="555"/>
      <c r="Y92" s="566">
        <f t="shared" si="25"/>
        <v>11719318</v>
      </c>
      <c r="Z92" s="555"/>
      <c r="AA92" s="779"/>
      <c r="AB92" s="779"/>
      <c r="AC92" s="630"/>
      <c r="AD92" s="630"/>
      <c r="AE92" s="630"/>
      <c r="AF92" s="630"/>
      <c r="AG92" s="630"/>
      <c r="AH92" s="630"/>
      <c r="AI92" s="630"/>
      <c r="AJ92" s="630"/>
      <c r="AK92" s="630"/>
      <c r="AL92" s="630"/>
      <c r="AM92" s="630"/>
      <c r="AN92" s="630"/>
      <c r="AO92" s="630"/>
      <c r="AP92" s="630"/>
      <c r="AQ92" s="630"/>
      <c r="AR92" s="630"/>
      <c r="AS92" s="630"/>
      <c r="AT92" s="630"/>
      <c r="AU92" s="630"/>
      <c r="AV92" s="984"/>
      <c r="AW92" s="589"/>
      <c r="AX92" s="587"/>
    </row>
    <row r="93" spans="1:50" ht="18" x14ac:dyDescent="0.25">
      <c r="A93" s="10" t="s">
        <v>402</v>
      </c>
      <c r="B93" s="588" t="s">
        <v>408</v>
      </c>
      <c r="C93" s="241"/>
      <c r="D93" s="459"/>
      <c r="E93" s="75"/>
      <c r="F93" s="624">
        <f>SUM(Állami!H32)</f>
        <v>2341350</v>
      </c>
      <c r="G93" s="624">
        <v>2529858</v>
      </c>
      <c r="H93" s="624">
        <v>2717711</v>
      </c>
      <c r="I93" s="624">
        <v>2717711</v>
      </c>
      <c r="J93" s="75"/>
      <c r="K93" s="692"/>
      <c r="L93" s="75"/>
      <c r="M93" s="555"/>
      <c r="N93" s="555"/>
      <c r="O93" s="555"/>
      <c r="P93" s="555"/>
      <c r="Q93" s="555"/>
      <c r="R93" s="555"/>
      <c r="S93" s="555"/>
      <c r="T93" s="555"/>
      <c r="U93" s="555"/>
      <c r="V93" s="555"/>
      <c r="W93" s="789">
        <v>2341350</v>
      </c>
      <c r="X93" s="555"/>
      <c r="Y93" s="566">
        <f t="shared" si="25"/>
        <v>2341350</v>
      </c>
      <c r="Z93" s="555"/>
      <c r="AA93" s="779"/>
      <c r="AB93" s="779"/>
      <c r="AC93" s="630"/>
      <c r="AD93" s="630"/>
      <c r="AE93" s="630"/>
      <c r="AF93" s="630"/>
      <c r="AG93" s="630"/>
      <c r="AH93" s="630"/>
      <c r="AI93" s="630"/>
      <c r="AJ93" s="630"/>
      <c r="AK93" s="630"/>
      <c r="AL93" s="630"/>
      <c r="AM93" s="630"/>
      <c r="AN93" s="630"/>
      <c r="AO93" s="630"/>
      <c r="AP93" s="630"/>
      <c r="AQ93" s="630"/>
      <c r="AR93" s="630"/>
      <c r="AS93" s="630"/>
      <c r="AT93" s="630"/>
      <c r="AU93" s="630"/>
      <c r="AV93" s="984"/>
      <c r="AW93" s="587"/>
      <c r="AX93" s="587"/>
    </row>
    <row r="94" spans="1:50" ht="18" x14ac:dyDescent="0.25">
      <c r="A94" s="10" t="s">
        <v>403</v>
      </c>
      <c r="B94" s="588" t="s">
        <v>497</v>
      </c>
      <c r="C94" s="241"/>
      <c r="D94" s="459"/>
      <c r="E94" s="75"/>
      <c r="F94" s="468"/>
      <c r="G94" s="468">
        <v>359158</v>
      </c>
      <c r="H94" s="468">
        <v>3969586</v>
      </c>
      <c r="I94" s="468">
        <v>3969586</v>
      </c>
      <c r="J94" s="75"/>
      <c r="K94" s="698"/>
      <c r="L94" s="635"/>
      <c r="M94" s="635"/>
      <c r="N94" s="635"/>
      <c r="O94" s="635"/>
      <c r="P94" s="635"/>
      <c r="Q94" s="635"/>
      <c r="R94" s="635"/>
      <c r="S94" s="635"/>
      <c r="T94" s="635"/>
      <c r="U94" s="635"/>
      <c r="V94" s="635"/>
      <c r="W94" s="635"/>
      <c r="X94" s="635"/>
      <c r="Y94" s="566">
        <f t="shared" si="25"/>
        <v>0</v>
      </c>
      <c r="Z94" s="635"/>
      <c r="AA94" s="635"/>
      <c r="AB94" s="635"/>
      <c r="AC94" s="559"/>
      <c r="AD94" s="559"/>
      <c r="AE94" s="559"/>
      <c r="AF94" s="559"/>
      <c r="AG94" s="559"/>
      <c r="AH94" s="559"/>
      <c r="AI94" s="559"/>
      <c r="AJ94" s="559"/>
      <c r="AK94" s="559"/>
      <c r="AL94" s="559"/>
      <c r="AM94" s="559"/>
      <c r="AN94" s="559"/>
      <c r="AO94" s="559"/>
      <c r="AP94" s="559"/>
      <c r="AQ94" s="559"/>
      <c r="AR94" s="559"/>
      <c r="AS94" s="559"/>
      <c r="AT94" s="559"/>
      <c r="AU94" s="559"/>
      <c r="AV94" s="453"/>
      <c r="AW94" s="587"/>
      <c r="AX94" s="587"/>
    </row>
    <row r="95" spans="1:50" ht="18" x14ac:dyDescent="0.25">
      <c r="A95" s="10" t="s">
        <v>404</v>
      </c>
      <c r="B95" s="83" t="s">
        <v>759</v>
      </c>
      <c r="C95" s="241"/>
      <c r="D95" s="459"/>
      <c r="E95" s="75"/>
      <c r="F95" s="468">
        <f>SUM(Állami!H33)</f>
        <v>0</v>
      </c>
      <c r="G95" s="468"/>
      <c r="H95" s="468">
        <v>234946</v>
      </c>
      <c r="I95" s="468">
        <v>234946</v>
      </c>
      <c r="J95" s="75"/>
      <c r="K95" s="692"/>
      <c r="L95" s="75"/>
      <c r="M95" s="638"/>
      <c r="N95" s="635"/>
      <c r="O95" s="635"/>
      <c r="P95" s="635"/>
      <c r="Q95" s="635"/>
      <c r="R95" s="635"/>
      <c r="S95" s="635"/>
      <c r="T95" s="635"/>
      <c r="U95" s="635"/>
      <c r="V95" s="635"/>
      <c r="W95" s="635"/>
      <c r="X95" s="635"/>
      <c r="Y95" s="566">
        <f t="shared" si="25"/>
        <v>0</v>
      </c>
      <c r="Z95" s="635"/>
      <c r="AA95" s="635"/>
      <c r="AB95" s="635"/>
      <c r="AC95" s="559"/>
      <c r="AD95" s="559"/>
      <c r="AE95" s="559"/>
      <c r="AF95" s="559"/>
      <c r="AG95" s="559"/>
      <c r="AH95" s="559"/>
      <c r="AI95" s="559"/>
      <c r="AJ95" s="559"/>
      <c r="AK95" s="559"/>
      <c r="AL95" s="559"/>
      <c r="AM95" s="559"/>
      <c r="AN95" s="559"/>
      <c r="AO95" s="559"/>
      <c r="AP95" s="559"/>
      <c r="AQ95" s="559"/>
      <c r="AR95" s="559"/>
      <c r="AS95" s="559"/>
      <c r="AT95" s="559"/>
      <c r="AU95" s="559"/>
      <c r="AV95" s="453"/>
      <c r="AW95" s="587"/>
      <c r="AX95" s="587"/>
    </row>
    <row r="96" spans="1:50" s="610" customFormat="1" ht="18" x14ac:dyDescent="0.25">
      <c r="A96" s="151" t="s">
        <v>329</v>
      </c>
      <c r="B96" s="153" t="s">
        <v>322</v>
      </c>
      <c r="C96" s="462">
        <f>SUM(C90:C95)</f>
        <v>0</v>
      </c>
      <c r="D96" s="76">
        <f>SUM(D90:D95)</f>
        <v>0</v>
      </c>
      <c r="E96" s="462">
        <f>SUM(E90:E95)</f>
        <v>0</v>
      </c>
      <c r="F96" s="744">
        <f>SUM(F90:F95)</f>
        <v>54861068</v>
      </c>
      <c r="G96" s="744">
        <f t="shared" ref="G96:I96" si="26">SUM(G90:G95)</f>
        <v>55699940</v>
      </c>
      <c r="H96" s="744">
        <f t="shared" si="26"/>
        <v>59199501</v>
      </c>
      <c r="I96" s="744">
        <f t="shared" si="26"/>
        <v>60385734</v>
      </c>
      <c r="J96" s="245"/>
      <c r="K96" s="693"/>
      <c r="L96" s="245"/>
      <c r="M96" s="642">
        <f t="shared" ref="M96:X96" si="27">SUM(M90:M95)</f>
        <v>0</v>
      </c>
      <c r="N96" s="642">
        <f t="shared" si="27"/>
        <v>0</v>
      </c>
      <c r="O96" s="642">
        <f t="shared" si="27"/>
        <v>0</v>
      </c>
      <c r="P96" s="642">
        <f t="shared" si="27"/>
        <v>0</v>
      </c>
      <c r="Q96" s="642">
        <f t="shared" si="27"/>
        <v>0</v>
      </c>
      <c r="R96" s="642">
        <f t="shared" si="27"/>
        <v>0</v>
      </c>
      <c r="S96" s="642">
        <f t="shared" si="27"/>
        <v>0</v>
      </c>
      <c r="T96" s="642">
        <f t="shared" si="27"/>
        <v>0</v>
      </c>
      <c r="U96" s="642">
        <f t="shared" si="27"/>
        <v>0</v>
      </c>
      <c r="V96" s="642">
        <f t="shared" si="27"/>
        <v>0</v>
      </c>
      <c r="W96" s="642">
        <f>W89+W90+W91+W92+W93+W95+W94</f>
        <v>54861068</v>
      </c>
      <c r="X96" s="642">
        <f t="shared" si="27"/>
        <v>0</v>
      </c>
      <c r="Y96" s="642">
        <f>SUM(Y89:Y95)</f>
        <v>54861068</v>
      </c>
      <c r="Z96" s="642"/>
      <c r="AA96" s="642"/>
      <c r="AB96" s="642"/>
      <c r="AC96" s="423"/>
      <c r="AD96" s="423"/>
      <c r="AE96" s="423"/>
      <c r="AF96" s="423"/>
      <c r="AG96" s="423"/>
      <c r="AH96" s="423"/>
      <c r="AI96" s="423"/>
      <c r="AJ96" s="423"/>
      <c r="AK96" s="423"/>
      <c r="AL96" s="423"/>
      <c r="AM96" s="423"/>
      <c r="AN96" s="423"/>
      <c r="AO96" s="423"/>
      <c r="AP96" s="423"/>
      <c r="AQ96" s="423"/>
      <c r="AR96" s="423"/>
      <c r="AS96" s="423"/>
      <c r="AT96" s="423"/>
      <c r="AU96" s="423"/>
      <c r="AV96" s="423"/>
      <c r="AW96" s="644"/>
      <c r="AX96" s="644"/>
    </row>
    <row r="97" spans="1:50" ht="18" x14ac:dyDescent="0.25">
      <c r="A97" s="1"/>
      <c r="B97" s="83" t="s">
        <v>503</v>
      </c>
      <c r="C97" s="242"/>
      <c r="D97" s="581"/>
      <c r="E97" s="160"/>
      <c r="F97" s="468">
        <f>Y97</f>
        <v>0</v>
      </c>
      <c r="G97" s="468"/>
      <c r="H97" s="468"/>
      <c r="I97" s="468"/>
      <c r="J97" s="75"/>
      <c r="K97" s="692"/>
      <c r="L97" s="75"/>
      <c r="M97" s="635"/>
      <c r="N97" s="635"/>
      <c r="O97" s="635"/>
      <c r="P97" s="635"/>
      <c r="Q97" s="635"/>
      <c r="R97" s="635"/>
      <c r="S97" s="635"/>
      <c r="T97" s="635"/>
      <c r="U97" s="635"/>
      <c r="V97" s="635"/>
      <c r="W97" s="635"/>
      <c r="X97" s="635"/>
      <c r="Y97" s="635">
        <f>SUM(M97:X97)</f>
        <v>0</v>
      </c>
      <c r="Z97" s="635"/>
      <c r="AA97" s="635"/>
      <c r="AB97" s="635"/>
      <c r="AC97" s="559"/>
      <c r="AD97" s="559"/>
      <c r="AE97" s="559"/>
      <c r="AF97" s="559"/>
      <c r="AG97" s="559"/>
      <c r="AH97" s="559"/>
      <c r="AI97" s="559"/>
      <c r="AJ97" s="559"/>
      <c r="AK97" s="559"/>
      <c r="AL97" s="559"/>
      <c r="AM97" s="559"/>
      <c r="AN97" s="559"/>
      <c r="AO97" s="559"/>
      <c r="AP97" s="559"/>
      <c r="AQ97" s="559"/>
      <c r="AR97" s="559"/>
      <c r="AS97" s="559"/>
      <c r="AT97" s="559"/>
      <c r="AU97" s="559"/>
      <c r="AV97" s="453"/>
      <c r="AW97" s="587"/>
      <c r="AX97" s="587"/>
    </row>
    <row r="98" spans="1:50" ht="18" x14ac:dyDescent="0.25">
      <c r="A98" s="1"/>
      <c r="B98" s="83" t="s">
        <v>496</v>
      </c>
      <c r="C98" s="242"/>
      <c r="D98" s="581"/>
      <c r="E98" s="160"/>
      <c r="F98" s="468">
        <f t="shared" ref="F98:F141" si="28">Y98</f>
        <v>0</v>
      </c>
      <c r="G98" s="468"/>
      <c r="H98" s="468"/>
      <c r="I98" s="468"/>
      <c r="J98" s="75"/>
      <c r="K98" s="692"/>
      <c r="L98" s="75"/>
      <c r="M98" s="638"/>
      <c r="N98" s="635"/>
      <c r="O98" s="635"/>
      <c r="P98" s="635"/>
      <c r="Q98" s="635"/>
      <c r="R98" s="635"/>
      <c r="S98" s="635"/>
      <c r="T98" s="635"/>
      <c r="U98" s="635"/>
      <c r="V98" s="635"/>
      <c r="W98" s="635"/>
      <c r="X98" s="635"/>
      <c r="Y98" s="635">
        <f>SUM(M98:X98)</f>
        <v>0</v>
      </c>
      <c r="Z98" s="635"/>
      <c r="AA98" s="635"/>
      <c r="AB98" s="635"/>
      <c r="AC98" s="559"/>
      <c r="AD98" s="559"/>
      <c r="AE98" s="559"/>
      <c r="AF98" s="559"/>
      <c r="AG98" s="559"/>
      <c r="AH98" s="559"/>
      <c r="AI98" s="559"/>
      <c r="AJ98" s="559"/>
      <c r="AK98" s="559"/>
      <c r="AL98" s="559"/>
      <c r="AM98" s="559"/>
      <c r="AN98" s="559"/>
      <c r="AO98" s="559"/>
      <c r="AP98" s="559"/>
      <c r="AQ98" s="559"/>
      <c r="AR98" s="559"/>
      <c r="AS98" s="559"/>
      <c r="AT98" s="559"/>
      <c r="AU98" s="559"/>
      <c r="AV98" s="453"/>
      <c r="AW98" s="587"/>
      <c r="AX98" s="587"/>
    </row>
    <row r="99" spans="1:50" ht="18" x14ac:dyDescent="0.25">
      <c r="A99" s="1"/>
      <c r="B99" s="83" t="s">
        <v>326</v>
      </c>
      <c r="C99" s="242"/>
      <c r="D99" s="581"/>
      <c r="E99" s="160"/>
      <c r="F99" s="468">
        <f t="shared" si="28"/>
        <v>117600</v>
      </c>
      <c r="G99" s="468"/>
      <c r="H99" s="468"/>
      <c r="I99" s="468"/>
      <c r="J99" s="75"/>
      <c r="K99" s="692"/>
      <c r="L99" s="75"/>
      <c r="M99" s="635"/>
      <c r="N99" s="635"/>
      <c r="O99" s="635"/>
      <c r="P99" s="783">
        <v>117600</v>
      </c>
      <c r="Q99" s="635"/>
      <c r="R99" s="635"/>
      <c r="S99" s="635"/>
      <c r="T99" s="635"/>
      <c r="U99" s="635"/>
      <c r="V99" s="635"/>
      <c r="W99" s="635"/>
      <c r="X99" s="635"/>
      <c r="Y99" s="635">
        <f>SUM(M99:X99)</f>
        <v>117600</v>
      </c>
      <c r="Z99" s="635"/>
      <c r="AA99" s="635"/>
      <c r="AB99" s="633"/>
      <c r="AC99" s="559"/>
      <c r="AD99" s="559"/>
      <c r="AE99" s="559"/>
      <c r="AF99" s="559"/>
      <c r="AG99" s="559"/>
      <c r="AH99" s="559"/>
      <c r="AI99" s="559"/>
      <c r="AJ99" s="559"/>
      <c r="AK99" s="559"/>
      <c r="AL99" s="559"/>
      <c r="AM99" s="559"/>
      <c r="AN99" s="559"/>
      <c r="AO99" s="559"/>
      <c r="AP99" s="559"/>
      <c r="AQ99" s="559"/>
      <c r="AR99" s="559"/>
      <c r="AS99" s="559"/>
      <c r="AT99" s="559"/>
      <c r="AU99" s="559"/>
      <c r="AV99" s="453"/>
      <c r="AW99" s="587"/>
      <c r="AX99" s="587"/>
    </row>
    <row r="100" spans="1:50" ht="18" x14ac:dyDescent="0.25">
      <c r="A100" s="1"/>
      <c r="B100" s="83" t="s">
        <v>595</v>
      </c>
      <c r="C100" s="242"/>
      <c r="D100" s="581"/>
      <c r="E100" s="160"/>
      <c r="F100" s="468">
        <f t="shared" si="28"/>
        <v>19000000</v>
      </c>
      <c r="G100" s="468"/>
      <c r="H100" s="468"/>
      <c r="I100" s="468"/>
      <c r="J100" s="75"/>
      <c r="K100" s="692"/>
      <c r="L100" s="75"/>
      <c r="M100" s="639"/>
      <c r="N100" s="639"/>
      <c r="O100" s="639"/>
      <c r="P100" s="639"/>
      <c r="Q100" s="639"/>
      <c r="R100" s="639"/>
      <c r="S100" s="639"/>
      <c r="T100" s="639"/>
      <c r="U100" s="639"/>
      <c r="V100" s="639"/>
      <c r="W100" s="639"/>
      <c r="X100" s="790">
        <v>19000000</v>
      </c>
      <c r="Y100" s="635">
        <f>SUM(M100:X100)</f>
        <v>19000000</v>
      </c>
      <c r="Z100" s="639"/>
      <c r="AA100" s="639"/>
      <c r="AB100" s="639"/>
      <c r="AC100" s="453"/>
      <c r="AD100" s="453"/>
      <c r="AE100" s="453"/>
      <c r="AF100" s="453"/>
      <c r="AG100" s="453"/>
      <c r="AH100" s="453"/>
      <c r="AI100" s="453"/>
      <c r="AJ100" s="453"/>
      <c r="AK100" s="453"/>
      <c r="AL100" s="453"/>
      <c r="AM100" s="453"/>
      <c r="AN100" s="453"/>
      <c r="AO100" s="453"/>
      <c r="AP100" s="453"/>
      <c r="AQ100" s="453"/>
      <c r="AR100" s="453"/>
      <c r="AS100" s="453"/>
      <c r="AT100" s="453"/>
      <c r="AU100" s="453"/>
      <c r="AV100" s="453"/>
      <c r="AW100" s="587"/>
      <c r="AX100" s="587"/>
    </row>
    <row r="101" spans="1:50" s="610" customFormat="1" ht="18" x14ac:dyDescent="0.25">
      <c r="A101" s="151" t="s">
        <v>330</v>
      </c>
      <c r="B101" s="153" t="s">
        <v>323</v>
      </c>
      <c r="C101" s="456">
        <f>SUM(C97:C100)</f>
        <v>0</v>
      </c>
      <c r="D101" s="228">
        <f>SUM(D97:D100)</f>
        <v>0</v>
      </c>
      <c r="E101" s="456">
        <f>SUM(E97:E100)</f>
        <v>0</v>
      </c>
      <c r="F101" s="468">
        <f t="shared" si="28"/>
        <v>19117600</v>
      </c>
      <c r="G101" s="468">
        <v>19117600</v>
      </c>
      <c r="H101" s="468">
        <v>24478014</v>
      </c>
      <c r="I101" s="468">
        <v>24798298</v>
      </c>
      <c r="J101" s="228"/>
      <c r="K101" s="699"/>
      <c r="L101" s="741"/>
      <c r="M101" s="641">
        <f t="shared" ref="M101:Y101" si="29">SUM(M97:M100)</f>
        <v>0</v>
      </c>
      <c r="N101" s="641">
        <f t="shared" si="29"/>
        <v>0</v>
      </c>
      <c r="O101" s="641">
        <f t="shared" si="29"/>
        <v>0</v>
      </c>
      <c r="P101" s="641">
        <f t="shared" si="29"/>
        <v>117600</v>
      </c>
      <c r="Q101" s="641">
        <f t="shared" si="29"/>
        <v>0</v>
      </c>
      <c r="R101" s="641">
        <f t="shared" si="29"/>
        <v>0</v>
      </c>
      <c r="S101" s="641">
        <f t="shared" si="29"/>
        <v>0</v>
      </c>
      <c r="T101" s="641">
        <f t="shared" si="29"/>
        <v>0</v>
      </c>
      <c r="U101" s="641">
        <f t="shared" si="29"/>
        <v>0</v>
      </c>
      <c r="V101" s="641">
        <f t="shared" si="29"/>
        <v>0</v>
      </c>
      <c r="W101" s="641">
        <f t="shared" si="29"/>
        <v>0</v>
      </c>
      <c r="X101" s="641">
        <f t="shared" si="29"/>
        <v>19000000</v>
      </c>
      <c r="Y101" s="649">
        <f t="shared" si="29"/>
        <v>19117600</v>
      </c>
      <c r="Z101" s="641"/>
      <c r="AA101" s="641"/>
      <c r="AB101" s="641"/>
      <c r="AV101" s="423"/>
      <c r="AW101" s="644"/>
      <c r="AX101" s="644"/>
    </row>
    <row r="102" spans="1:50" s="610" customFormat="1" ht="18" x14ac:dyDescent="0.25">
      <c r="A102" s="157" t="s">
        <v>321</v>
      </c>
      <c r="B102" s="813" t="s">
        <v>327</v>
      </c>
      <c r="C102" s="814">
        <f>SUM(C96,C101)</f>
        <v>0</v>
      </c>
      <c r="D102" s="815">
        <f>SUM(D96,D101)</f>
        <v>0</v>
      </c>
      <c r="E102" s="814">
        <f>SUM(E96,E101)</f>
        <v>0</v>
      </c>
      <c r="F102" s="816">
        <f>SUM(F96+F101)</f>
        <v>73978668</v>
      </c>
      <c r="G102" s="816">
        <f>G96+G101</f>
        <v>74817540</v>
      </c>
      <c r="H102" s="816">
        <f>H96+H101</f>
        <v>83677515</v>
      </c>
      <c r="I102" s="816">
        <f>I96+I101</f>
        <v>85184032</v>
      </c>
      <c r="J102" s="221"/>
      <c r="K102" s="700"/>
      <c r="L102" s="225"/>
      <c r="M102" s="645">
        <f>SUM(M96+M101)</f>
        <v>0</v>
      </c>
      <c r="N102" s="645">
        <f t="shared" ref="N102:S102" si="30">SUM(N96+N101)</f>
        <v>0</v>
      </c>
      <c r="O102" s="645">
        <f t="shared" si="30"/>
        <v>0</v>
      </c>
      <c r="P102" s="645">
        <f t="shared" si="30"/>
        <v>117600</v>
      </c>
      <c r="Q102" s="645">
        <f t="shared" si="30"/>
        <v>0</v>
      </c>
      <c r="R102" s="645">
        <f t="shared" si="30"/>
        <v>0</v>
      </c>
      <c r="S102" s="645">
        <f t="shared" si="30"/>
        <v>0</v>
      </c>
      <c r="T102" s="645">
        <f t="shared" ref="T102:Y102" si="31">SUM(T96+T101)</f>
        <v>0</v>
      </c>
      <c r="U102" s="645">
        <f t="shared" si="31"/>
        <v>0</v>
      </c>
      <c r="V102" s="645">
        <f t="shared" si="31"/>
        <v>0</v>
      </c>
      <c r="W102" s="645">
        <f t="shared" si="31"/>
        <v>54861068</v>
      </c>
      <c r="X102" s="645">
        <f t="shared" si="31"/>
        <v>19000000</v>
      </c>
      <c r="Y102" s="650">
        <f t="shared" si="31"/>
        <v>73978668</v>
      </c>
      <c r="Z102" s="641"/>
      <c r="AA102" s="641"/>
      <c r="AB102" s="641"/>
      <c r="AV102" s="423"/>
      <c r="AW102" s="644"/>
      <c r="AX102" s="644"/>
    </row>
    <row r="103" spans="1:50" s="610" customFormat="1" ht="18" x14ac:dyDescent="0.25">
      <c r="A103" s="151" t="s">
        <v>334</v>
      </c>
      <c r="B103" s="153" t="s">
        <v>328</v>
      </c>
      <c r="C103" s="144"/>
      <c r="D103" s="144"/>
      <c r="E103" s="144"/>
      <c r="F103" s="468">
        <f t="shared" si="28"/>
        <v>4104815</v>
      </c>
      <c r="G103" s="468">
        <v>4104815</v>
      </c>
      <c r="H103" s="468">
        <v>4345815</v>
      </c>
      <c r="I103" s="468">
        <v>4345815</v>
      </c>
      <c r="J103" s="76"/>
      <c r="K103" s="701"/>
      <c r="L103" s="181"/>
      <c r="M103" s="643"/>
      <c r="N103" s="643"/>
      <c r="O103" s="643"/>
      <c r="P103" s="643"/>
      <c r="Q103" s="643"/>
      <c r="R103" s="643"/>
      <c r="S103" s="643"/>
      <c r="T103" s="643"/>
      <c r="U103" s="643"/>
      <c r="V103" s="643"/>
      <c r="W103" s="643">
        <v>4104815</v>
      </c>
      <c r="X103" s="643"/>
      <c r="Y103" s="643">
        <f>SUM(M103:X103)</f>
        <v>4104815</v>
      </c>
      <c r="Z103" s="643"/>
      <c r="AA103" s="643"/>
      <c r="AB103" s="643"/>
      <c r="AC103" s="611"/>
      <c r="AD103" s="611"/>
      <c r="AE103" s="611"/>
      <c r="AF103" s="611"/>
      <c r="AG103" s="611"/>
      <c r="AH103" s="611"/>
      <c r="AI103" s="611"/>
      <c r="AJ103" s="611"/>
      <c r="AK103" s="611"/>
      <c r="AL103" s="611"/>
      <c r="AM103" s="611"/>
      <c r="AN103" s="611"/>
      <c r="AO103" s="611"/>
      <c r="AP103" s="611"/>
      <c r="AQ103" s="611"/>
      <c r="AR103" s="611"/>
      <c r="AS103" s="611"/>
      <c r="AT103" s="611"/>
      <c r="AU103" s="611"/>
      <c r="AV103" s="423"/>
      <c r="AW103" s="644"/>
      <c r="AX103" s="644"/>
    </row>
    <row r="104" spans="1:50" s="559" customFormat="1" ht="18" x14ac:dyDescent="0.25">
      <c r="A104" s="1"/>
      <c r="B104" s="83"/>
      <c r="C104" s="242"/>
      <c r="D104" s="581"/>
      <c r="E104" s="160"/>
      <c r="F104" s="468"/>
      <c r="G104" s="468"/>
      <c r="H104" s="468"/>
      <c r="I104" s="468"/>
      <c r="J104" s="75"/>
      <c r="K104" s="697"/>
      <c r="L104" s="67"/>
      <c r="M104" s="635"/>
      <c r="N104" s="638"/>
      <c r="O104" s="635"/>
      <c r="P104" s="635"/>
      <c r="Q104" s="635"/>
      <c r="R104" s="635"/>
      <c r="S104" s="635"/>
      <c r="T104" s="635"/>
      <c r="U104" s="635"/>
      <c r="V104" s="635"/>
      <c r="W104" s="635"/>
      <c r="X104" s="635"/>
      <c r="Y104" s="643">
        <f>SUM(M104:X104)</f>
        <v>0</v>
      </c>
      <c r="Z104" s="635"/>
      <c r="AA104" s="635"/>
      <c r="AB104" s="635"/>
      <c r="AV104" s="453"/>
      <c r="AW104" s="590"/>
      <c r="AX104" s="71"/>
    </row>
    <row r="105" spans="1:50" ht="18" hidden="1" x14ac:dyDescent="0.25">
      <c r="A105" s="1"/>
      <c r="B105" s="83"/>
      <c r="C105" s="242"/>
      <c r="D105" s="242"/>
      <c r="E105" s="242"/>
      <c r="F105" s="468">
        <f t="shared" si="28"/>
        <v>0</v>
      </c>
      <c r="G105" s="468"/>
      <c r="H105" s="468"/>
      <c r="I105" s="468"/>
      <c r="J105" s="75"/>
      <c r="K105" s="697"/>
      <c r="L105" s="67"/>
      <c r="M105" s="10"/>
      <c r="N105" s="640"/>
      <c r="O105" s="635"/>
      <c r="P105" s="635"/>
      <c r="Q105" s="635"/>
      <c r="R105" s="635"/>
      <c r="S105" s="635"/>
      <c r="T105" s="635"/>
      <c r="U105" s="635"/>
      <c r="V105" s="635"/>
      <c r="W105" s="635"/>
      <c r="X105" s="635"/>
      <c r="Y105" s="643">
        <f>SUM(M105:X105)</f>
        <v>0</v>
      </c>
      <c r="Z105" s="635"/>
      <c r="AA105" s="635"/>
      <c r="AB105" s="635"/>
      <c r="AC105" s="559"/>
      <c r="AD105" s="559"/>
      <c r="AE105" s="559"/>
      <c r="AF105" s="559"/>
      <c r="AG105" s="559"/>
      <c r="AH105" s="559"/>
      <c r="AI105" s="559"/>
      <c r="AJ105" s="559"/>
      <c r="AK105" s="559"/>
      <c r="AL105" s="559"/>
      <c r="AM105" s="559"/>
      <c r="AN105" s="559"/>
      <c r="AO105" s="559"/>
      <c r="AP105" s="559"/>
      <c r="AQ105" s="559"/>
      <c r="AR105" s="559"/>
      <c r="AS105" s="559"/>
      <c r="AT105" s="559"/>
      <c r="AU105" s="559"/>
      <c r="AV105" s="453"/>
    </row>
    <row r="106" spans="1:50" ht="18" hidden="1" x14ac:dyDescent="0.25">
      <c r="A106" s="1"/>
      <c r="B106" s="83"/>
      <c r="C106" s="242"/>
      <c r="D106" s="242"/>
      <c r="E106" s="242"/>
      <c r="F106" s="468">
        <f t="shared" si="28"/>
        <v>0</v>
      </c>
      <c r="G106" s="468"/>
      <c r="H106" s="468"/>
      <c r="I106" s="468"/>
      <c r="J106" s="75"/>
      <c r="K106" s="697"/>
      <c r="L106" s="67"/>
      <c r="M106" s="635"/>
      <c r="N106" s="635"/>
      <c r="O106" s="635"/>
      <c r="P106" s="635"/>
      <c r="Q106" s="635"/>
      <c r="R106" s="635"/>
      <c r="S106" s="635"/>
      <c r="T106" s="635"/>
      <c r="U106" s="635"/>
      <c r="V106" s="635"/>
      <c r="W106" s="635"/>
      <c r="X106" s="635"/>
      <c r="Y106" s="643">
        <f>SUM(M106:X106)</f>
        <v>0</v>
      </c>
      <c r="Z106" s="635"/>
      <c r="AA106" s="635"/>
      <c r="AB106" s="635"/>
      <c r="AC106" s="559"/>
      <c r="AD106" s="559"/>
      <c r="AE106" s="559"/>
      <c r="AF106" s="559"/>
      <c r="AG106" s="559"/>
      <c r="AH106" s="559"/>
      <c r="AI106" s="559"/>
      <c r="AJ106" s="559"/>
      <c r="AK106" s="559"/>
      <c r="AL106" s="559"/>
      <c r="AM106" s="559"/>
      <c r="AN106" s="559"/>
      <c r="AO106" s="559"/>
      <c r="AP106" s="559"/>
      <c r="AQ106" s="559"/>
      <c r="AR106" s="559"/>
      <c r="AS106" s="559"/>
      <c r="AT106" s="559"/>
      <c r="AU106" s="559"/>
      <c r="AV106" s="453"/>
    </row>
    <row r="107" spans="1:50" s="610" customFormat="1" ht="18" x14ac:dyDescent="0.25">
      <c r="A107" s="151" t="s">
        <v>332</v>
      </c>
      <c r="B107" s="153" t="s">
        <v>331</v>
      </c>
      <c r="C107" s="456">
        <f>SUM(C104:C106)</f>
        <v>0</v>
      </c>
      <c r="D107" s="228">
        <f>SUM(D104:D106)</f>
        <v>0</v>
      </c>
      <c r="E107" s="456">
        <f>SUM(E104:E106)</f>
        <v>0</v>
      </c>
      <c r="F107" s="468">
        <f>SUM(F104)</f>
        <v>0</v>
      </c>
      <c r="G107" s="468"/>
      <c r="H107" s="468">
        <v>3247210</v>
      </c>
      <c r="I107" s="468">
        <v>5814746</v>
      </c>
      <c r="J107" s="228"/>
      <c r="K107" s="699"/>
      <c r="L107" s="741"/>
      <c r="M107" s="641">
        <f>SUM(M104:M106)</f>
        <v>0</v>
      </c>
      <c r="N107" s="641">
        <f>SUM(N104:N106)</f>
        <v>0</v>
      </c>
      <c r="O107" s="641"/>
      <c r="P107" s="641">
        <f t="shared" ref="P107:X107" si="32">SUM(P104:P106)</f>
        <v>0</v>
      </c>
      <c r="Q107" s="641">
        <f t="shared" si="32"/>
        <v>0</v>
      </c>
      <c r="R107" s="641">
        <f t="shared" si="32"/>
        <v>0</v>
      </c>
      <c r="S107" s="641">
        <f t="shared" si="32"/>
        <v>0</v>
      </c>
      <c r="T107" s="641">
        <f t="shared" si="32"/>
        <v>0</v>
      </c>
      <c r="U107" s="641">
        <f t="shared" si="32"/>
        <v>0</v>
      </c>
      <c r="V107" s="641">
        <f t="shared" si="32"/>
        <v>0</v>
      </c>
      <c r="W107" s="641">
        <f t="shared" si="32"/>
        <v>0</v>
      </c>
      <c r="X107" s="641">
        <f t="shared" si="32"/>
        <v>0</v>
      </c>
      <c r="Y107" s="643">
        <f>SUM(M107:X107)</f>
        <v>0</v>
      </c>
      <c r="Z107" s="641"/>
      <c r="AA107" s="641"/>
      <c r="AB107" s="641"/>
      <c r="AV107" s="423"/>
    </row>
    <row r="108" spans="1:50" s="610" customFormat="1" ht="18" x14ac:dyDescent="0.25">
      <c r="A108" s="157" t="s">
        <v>333</v>
      </c>
      <c r="B108" s="813" t="s">
        <v>335</v>
      </c>
      <c r="C108" s="817">
        <f>SUM(C103,C107)</f>
        <v>0</v>
      </c>
      <c r="D108" s="815">
        <f>SUM(D103,D107)</f>
        <v>0</v>
      </c>
      <c r="E108" s="817">
        <f>SUM(E103,E107)</f>
        <v>0</v>
      </c>
      <c r="F108" s="816">
        <f t="shared" si="28"/>
        <v>4104815</v>
      </c>
      <c r="G108" s="816">
        <f>G103</f>
        <v>4104815</v>
      </c>
      <c r="H108" s="816">
        <f>H103+H104+H107</f>
        <v>7593025</v>
      </c>
      <c r="I108" s="816">
        <f>I103+I104+I107</f>
        <v>10160561</v>
      </c>
      <c r="J108" s="144"/>
      <c r="K108" s="702"/>
      <c r="L108" s="147"/>
      <c r="M108" s="643">
        <f>SUM(M103+M107)</f>
        <v>0</v>
      </c>
      <c r="N108" s="643">
        <f t="shared" ref="N108:T108" si="33">SUM(N103+N107)</f>
        <v>0</v>
      </c>
      <c r="O108" s="643">
        <f t="shared" si="33"/>
        <v>0</v>
      </c>
      <c r="P108" s="643">
        <f t="shared" si="33"/>
        <v>0</v>
      </c>
      <c r="Q108" s="643">
        <f t="shared" si="33"/>
        <v>0</v>
      </c>
      <c r="R108" s="643">
        <f t="shared" si="33"/>
        <v>0</v>
      </c>
      <c r="S108" s="643">
        <f t="shared" si="33"/>
        <v>0</v>
      </c>
      <c r="T108" s="643">
        <f t="shared" si="33"/>
        <v>0</v>
      </c>
      <c r="U108" s="643">
        <f>SUM(U103+U107)</f>
        <v>0</v>
      </c>
      <c r="V108" s="643">
        <f>SUM(V103+V107)</f>
        <v>0</v>
      </c>
      <c r="W108" s="643">
        <f>SUM(W103+W107)</f>
        <v>4104815</v>
      </c>
      <c r="X108" s="643">
        <f>SUM(X103+X107)</f>
        <v>0</v>
      </c>
      <c r="Y108" s="643">
        <f>SUM(Y103+Y107)</f>
        <v>4104815</v>
      </c>
      <c r="Z108" s="643"/>
      <c r="AA108" s="643"/>
      <c r="AB108" s="643"/>
      <c r="AC108" s="611"/>
      <c r="AD108" s="611"/>
      <c r="AE108" s="611"/>
      <c r="AF108" s="611"/>
      <c r="AG108" s="611"/>
      <c r="AH108" s="611"/>
      <c r="AI108" s="611"/>
      <c r="AJ108" s="611"/>
      <c r="AK108" s="611"/>
      <c r="AL108" s="611"/>
      <c r="AM108" s="611"/>
      <c r="AN108" s="611"/>
      <c r="AO108" s="611"/>
      <c r="AP108" s="611"/>
      <c r="AQ108" s="611"/>
      <c r="AR108" s="611"/>
      <c r="AS108" s="611"/>
      <c r="AT108" s="611"/>
      <c r="AU108" s="611"/>
      <c r="AV108" s="423"/>
    </row>
    <row r="109" spans="1:50" ht="18" x14ac:dyDescent="0.25">
      <c r="A109" s="1" t="s">
        <v>336</v>
      </c>
      <c r="B109" s="92" t="s">
        <v>337</v>
      </c>
      <c r="C109" s="160"/>
      <c r="D109" s="7"/>
      <c r="E109" s="242"/>
      <c r="F109" s="468">
        <f t="shared" si="28"/>
        <v>2000000</v>
      </c>
      <c r="G109" s="468">
        <v>2000000</v>
      </c>
      <c r="H109" s="468">
        <v>2000000</v>
      </c>
      <c r="I109" s="468">
        <v>3039923</v>
      </c>
      <c r="J109" s="75"/>
      <c r="K109" s="692"/>
      <c r="L109" s="791">
        <v>2000000</v>
      </c>
      <c r="M109" s="635"/>
      <c r="N109" s="635"/>
      <c r="O109" s="635"/>
      <c r="P109" s="635"/>
      <c r="Q109" s="635"/>
      <c r="R109" s="635"/>
      <c r="S109" s="635"/>
      <c r="T109" s="635"/>
      <c r="U109" s="635"/>
      <c r="V109" s="635"/>
      <c r="W109" s="635"/>
      <c r="X109" s="635"/>
      <c r="Y109" s="638">
        <f>SUM(L109:X109)</f>
        <v>2000000</v>
      </c>
      <c r="Z109" s="635"/>
      <c r="AA109" s="635"/>
      <c r="AB109" s="635"/>
      <c r="AC109" s="559"/>
      <c r="AD109" s="559"/>
      <c r="AE109" s="559"/>
      <c r="AF109" s="559"/>
      <c r="AG109" s="559"/>
      <c r="AH109" s="559"/>
      <c r="AI109" s="559"/>
      <c r="AJ109" s="559"/>
      <c r="AK109" s="559"/>
      <c r="AL109" s="559"/>
      <c r="AM109" s="559"/>
      <c r="AN109" s="559"/>
      <c r="AO109" s="559"/>
      <c r="AP109" s="559"/>
      <c r="AQ109" s="559"/>
      <c r="AR109" s="559"/>
      <c r="AS109" s="559"/>
      <c r="AT109" s="559"/>
      <c r="AU109" s="559"/>
      <c r="AV109" s="453"/>
    </row>
    <row r="110" spans="1:50" ht="18" x14ac:dyDescent="0.25">
      <c r="A110" s="1" t="s">
        <v>338</v>
      </c>
      <c r="B110" s="92" t="s">
        <v>760</v>
      </c>
      <c r="C110" s="160"/>
      <c r="D110" s="7"/>
      <c r="E110" s="242"/>
      <c r="F110" s="468">
        <f t="shared" si="28"/>
        <v>7000000</v>
      </c>
      <c r="G110" s="468">
        <v>7000000</v>
      </c>
      <c r="H110" s="468">
        <v>7000000</v>
      </c>
      <c r="I110" s="468">
        <v>6102152</v>
      </c>
      <c r="J110" s="75"/>
      <c r="K110" s="692"/>
      <c r="L110" s="791">
        <v>7000000</v>
      </c>
      <c r="M110" s="635"/>
      <c r="N110" s="635"/>
      <c r="O110" s="635"/>
      <c r="P110" s="635"/>
      <c r="Q110" s="635"/>
      <c r="R110" s="635"/>
      <c r="S110" s="635"/>
      <c r="T110" s="635"/>
      <c r="U110" s="635"/>
      <c r="V110" s="635"/>
      <c r="W110" s="635"/>
      <c r="X110" s="635"/>
      <c r="Y110" s="638">
        <f t="shared" ref="Y110:Y115" si="34">SUM(L110:X110)</f>
        <v>7000000</v>
      </c>
      <c r="Z110" s="635"/>
      <c r="AA110" s="635"/>
      <c r="AB110" s="635"/>
      <c r="AC110" s="559"/>
      <c r="AD110" s="559"/>
      <c r="AE110" s="559"/>
      <c r="AF110" s="559"/>
      <c r="AG110" s="559"/>
      <c r="AH110" s="559"/>
      <c r="AI110" s="559"/>
      <c r="AJ110" s="559"/>
      <c r="AK110" s="559"/>
      <c r="AL110" s="559"/>
      <c r="AM110" s="559"/>
      <c r="AN110" s="559"/>
      <c r="AO110" s="559"/>
      <c r="AP110" s="559"/>
      <c r="AQ110" s="559"/>
      <c r="AR110" s="559"/>
      <c r="AS110" s="559"/>
      <c r="AT110" s="559"/>
      <c r="AU110" s="559"/>
      <c r="AV110" s="453"/>
    </row>
    <row r="111" spans="1:50" ht="18" x14ac:dyDescent="0.25">
      <c r="A111" s="1" t="s">
        <v>340</v>
      </c>
      <c r="B111" s="83" t="s">
        <v>599</v>
      </c>
      <c r="C111" s="242"/>
      <c r="D111" s="581"/>
      <c r="E111" s="160"/>
      <c r="F111" s="468">
        <f t="shared" si="28"/>
        <v>140000000</v>
      </c>
      <c r="G111" s="468">
        <v>140000000</v>
      </c>
      <c r="H111" s="468">
        <v>140000000</v>
      </c>
      <c r="I111" s="468">
        <v>161770406</v>
      </c>
      <c r="J111" s="75"/>
      <c r="K111" s="692"/>
      <c r="L111" s="791">
        <v>140000000</v>
      </c>
      <c r="M111" s="639"/>
      <c r="N111" s="639"/>
      <c r="O111" s="639"/>
      <c r="P111" s="639"/>
      <c r="Q111" s="639"/>
      <c r="R111" s="639"/>
      <c r="S111" s="639"/>
      <c r="T111" s="639"/>
      <c r="U111" s="639"/>
      <c r="V111" s="639"/>
      <c r="W111" s="647"/>
      <c r="X111" s="639"/>
      <c r="Y111" s="638">
        <f t="shared" si="34"/>
        <v>140000000</v>
      </c>
      <c r="Z111" s="639"/>
      <c r="AA111" s="639"/>
      <c r="AB111" s="639"/>
      <c r="AC111" s="453"/>
      <c r="AD111" s="453"/>
      <c r="AE111" s="453"/>
      <c r="AF111" s="453"/>
      <c r="AG111" s="453"/>
      <c r="AH111" s="453"/>
      <c r="AI111" s="453"/>
      <c r="AJ111" s="453"/>
      <c r="AK111" s="453"/>
      <c r="AL111" s="453"/>
      <c r="AM111" s="453"/>
      <c r="AN111" s="453"/>
      <c r="AO111" s="453"/>
      <c r="AP111" s="453"/>
      <c r="AQ111" s="453"/>
      <c r="AR111" s="453"/>
      <c r="AS111" s="453"/>
      <c r="AT111" s="453"/>
      <c r="AU111" s="453"/>
      <c r="AV111" s="453"/>
      <c r="AW111" s="453"/>
    </row>
    <row r="112" spans="1:50" ht="18" x14ac:dyDescent="0.25">
      <c r="A112" s="1"/>
      <c r="B112" s="554" t="s">
        <v>594</v>
      </c>
      <c r="C112" s="160"/>
      <c r="D112" s="7"/>
      <c r="E112" s="242"/>
      <c r="F112" s="468">
        <f t="shared" si="28"/>
        <v>4200000</v>
      </c>
      <c r="G112" s="468">
        <v>4200000</v>
      </c>
      <c r="H112" s="468">
        <v>4200000</v>
      </c>
      <c r="I112" s="468">
        <v>4012597</v>
      </c>
      <c r="J112" s="75"/>
      <c r="K112" s="692"/>
      <c r="L112" s="791">
        <v>4200000</v>
      </c>
      <c r="M112" s="639"/>
      <c r="N112" s="639"/>
      <c r="O112" s="639"/>
      <c r="P112" s="639"/>
      <c r="Q112" s="639"/>
      <c r="R112" s="639"/>
      <c r="S112" s="639"/>
      <c r="T112" s="639"/>
      <c r="U112" s="639"/>
      <c r="V112" s="639"/>
      <c r="W112" s="648"/>
      <c r="X112" s="639"/>
      <c r="Y112" s="638">
        <f t="shared" si="34"/>
        <v>4200000</v>
      </c>
      <c r="Z112" s="639"/>
      <c r="AA112" s="639"/>
      <c r="AB112" s="639"/>
      <c r="AC112" s="453"/>
      <c r="AD112" s="453"/>
      <c r="AE112" s="453"/>
      <c r="AF112" s="453"/>
      <c r="AG112" s="453"/>
      <c r="AH112" s="453"/>
      <c r="AI112" s="453"/>
      <c r="AJ112" s="453"/>
      <c r="AK112" s="453"/>
      <c r="AL112" s="453"/>
      <c r="AM112" s="453"/>
      <c r="AN112" s="453"/>
      <c r="AO112" s="453"/>
      <c r="AP112" s="453"/>
      <c r="AQ112" s="453"/>
      <c r="AR112" s="453"/>
      <c r="AS112" s="453"/>
      <c r="AT112" s="453"/>
      <c r="AU112" s="453"/>
      <c r="AV112" s="453"/>
      <c r="AW112" s="453"/>
    </row>
    <row r="113" spans="1:49" ht="18" x14ac:dyDescent="0.25">
      <c r="A113" s="1"/>
      <c r="B113" s="554" t="s">
        <v>593</v>
      </c>
      <c r="C113" s="160"/>
      <c r="D113" s="7"/>
      <c r="E113" s="242"/>
      <c r="F113" s="468">
        <f t="shared" si="28"/>
        <v>1500000</v>
      </c>
      <c r="G113" s="468">
        <v>1500000</v>
      </c>
      <c r="H113" s="468">
        <v>1500000</v>
      </c>
      <c r="I113" s="468">
        <v>2048900</v>
      </c>
      <c r="J113" s="75"/>
      <c r="K113" s="692"/>
      <c r="L113" s="791">
        <v>1500000</v>
      </c>
      <c r="M113" s="639"/>
      <c r="N113" s="639"/>
      <c r="O113" s="639"/>
      <c r="P113" s="639"/>
      <c r="Q113" s="639"/>
      <c r="R113" s="639"/>
      <c r="S113" s="639"/>
      <c r="T113" s="639"/>
      <c r="U113" s="639"/>
      <c r="V113" s="639"/>
      <c r="W113" s="648"/>
      <c r="X113" s="639"/>
      <c r="Y113" s="638">
        <f t="shared" si="34"/>
        <v>1500000</v>
      </c>
      <c r="Z113" s="639"/>
      <c r="AA113" s="639"/>
      <c r="AB113" s="639"/>
      <c r="AC113" s="453"/>
      <c r="AD113" s="453"/>
      <c r="AE113" s="453"/>
      <c r="AF113" s="453"/>
      <c r="AG113" s="453"/>
      <c r="AH113" s="453"/>
      <c r="AI113" s="453"/>
      <c r="AJ113" s="453"/>
      <c r="AK113" s="453"/>
      <c r="AL113" s="453"/>
      <c r="AM113" s="453"/>
      <c r="AN113" s="453"/>
      <c r="AO113" s="453"/>
      <c r="AP113" s="453"/>
      <c r="AQ113" s="453"/>
      <c r="AR113" s="453"/>
      <c r="AS113" s="453"/>
      <c r="AT113" s="453"/>
      <c r="AU113" s="453"/>
      <c r="AV113" s="453"/>
      <c r="AW113" s="453"/>
    </row>
    <row r="114" spans="1:49" ht="18" x14ac:dyDescent="0.25">
      <c r="A114" s="1" t="s">
        <v>342</v>
      </c>
      <c r="B114" s="90" t="s">
        <v>344</v>
      </c>
      <c r="C114" s="160"/>
      <c r="D114" s="7"/>
      <c r="E114" s="242"/>
      <c r="F114" s="468">
        <f t="shared" si="28"/>
        <v>6000000</v>
      </c>
      <c r="G114" s="468">
        <v>6000000</v>
      </c>
      <c r="H114" s="468">
        <v>6000000</v>
      </c>
      <c r="I114" s="468">
        <v>6268568</v>
      </c>
      <c r="J114" s="75"/>
      <c r="K114" s="692"/>
      <c r="L114" s="791">
        <v>6000000</v>
      </c>
      <c r="M114" s="635"/>
      <c r="N114" s="635"/>
      <c r="O114" s="635"/>
      <c r="P114" s="635"/>
      <c r="Q114" s="635"/>
      <c r="R114" s="635"/>
      <c r="S114" s="635"/>
      <c r="T114" s="635"/>
      <c r="U114" s="635"/>
      <c r="V114" s="635"/>
      <c r="W114" s="635"/>
      <c r="X114" s="635"/>
      <c r="Y114" s="638">
        <f t="shared" si="34"/>
        <v>6000000</v>
      </c>
      <c r="Z114" s="635"/>
      <c r="AA114" s="635"/>
      <c r="AB114" s="635"/>
      <c r="AC114" s="559"/>
      <c r="AD114" s="559"/>
      <c r="AE114" s="559"/>
      <c r="AF114" s="559"/>
      <c r="AG114" s="559"/>
      <c r="AH114" s="559"/>
      <c r="AI114" s="559"/>
      <c r="AJ114" s="559"/>
      <c r="AK114" s="559"/>
      <c r="AL114" s="559"/>
      <c r="AM114" s="559"/>
      <c r="AN114" s="559"/>
      <c r="AO114" s="559"/>
      <c r="AP114" s="559"/>
      <c r="AQ114" s="559"/>
      <c r="AR114" s="559"/>
      <c r="AS114" s="559"/>
      <c r="AT114" s="559"/>
      <c r="AU114" s="559"/>
      <c r="AV114" s="453"/>
    </row>
    <row r="115" spans="1:49" ht="18" x14ac:dyDescent="0.25">
      <c r="A115" s="1" t="s">
        <v>343</v>
      </c>
      <c r="B115" s="83" t="s">
        <v>600</v>
      </c>
      <c r="C115" s="242"/>
      <c r="D115" s="581"/>
      <c r="E115" s="160"/>
      <c r="F115" s="468">
        <f t="shared" si="28"/>
        <v>200000</v>
      </c>
      <c r="G115" s="468">
        <v>200000</v>
      </c>
      <c r="H115" s="468">
        <v>200000</v>
      </c>
      <c r="I115" s="468"/>
      <c r="J115" s="75"/>
      <c r="K115" s="692"/>
      <c r="L115" s="791">
        <v>200000</v>
      </c>
      <c r="M115" s="635"/>
      <c r="N115" s="635"/>
      <c r="O115" s="635"/>
      <c r="P115" s="635"/>
      <c r="Q115" s="635"/>
      <c r="R115" s="635"/>
      <c r="S115" s="635"/>
      <c r="T115" s="635"/>
      <c r="U115" s="635"/>
      <c r="V115" s="635"/>
      <c r="W115" s="635"/>
      <c r="X115" s="635"/>
      <c r="Y115" s="638">
        <f t="shared" si="34"/>
        <v>200000</v>
      </c>
      <c r="Z115" s="635"/>
      <c r="AA115" s="635"/>
      <c r="AB115" s="635"/>
      <c r="AC115" s="559"/>
      <c r="AD115" s="559"/>
      <c r="AE115" s="559"/>
      <c r="AF115" s="559"/>
      <c r="AG115" s="559"/>
      <c r="AH115" s="559"/>
      <c r="AI115" s="559"/>
      <c r="AJ115" s="559"/>
      <c r="AK115" s="559"/>
      <c r="AL115" s="559"/>
      <c r="AM115" s="559"/>
      <c r="AN115" s="559"/>
      <c r="AO115" s="559"/>
      <c r="AP115" s="559"/>
      <c r="AQ115" s="559"/>
      <c r="AR115" s="559"/>
      <c r="AS115" s="559"/>
      <c r="AT115" s="559"/>
      <c r="AU115" s="559"/>
      <c r="AV115" s="453"/>
    </row>
    <row r="116" spans="1:49" ht="18" x14ac:dyDescent="0.25">
      <c r="A116" s="1"/>
      <c r="B116" s="91" t="s">
        <v>681</v>
      </c>
      <c r="C116" s="242"/>
      <c r="D116" s="242"/>
      <c r="E116" s="242"/>
      <c r="F116" s="468">
        <f t="shared" si="28"/>
        <v>15000</v>
      </c>
      <c r="G116" s="468">
        <v>15000</v>
      </c>
      <c r="H116" s="468">
        <v>15000</v>
      </c>
      <c r="I116" s="468">
        <v>82068</v>
      </c>
      <c r="J116" s="75"/>
      <c r="K116" s="692"/>
      <c r="L116" s="742"/>
      <c r="M116" s="635"/>
      <c r="N116" s="635"/>
      <c r="O116" s="635"/>
      <c r="P116" s="635"/>
      <c r="Q116" s="635"/>
      <c r="R116" s="635"/>
      <c r="S116" s="635"/>
      <c r="T116" s="635"/>
      <c r="U116" s="635"/>
      <c r="V116" s="635"/>
      <c r="W116" s="635"/>
      <c r="X116" s="635"/>
      <c r="Y116" s="638">
        <f>SUM(L116:X116)+Z116</f>
        <v>15000</v>
      </c>
      <c r="Z116" s="783">
        <v>15000</v>
      </c>
      <c r="AA116" s="635"/>
      <c r="AB116" s="635"/>
      <c r="AC116" s="559"/>
      <c r="AD116" s="559"/>
      <c r="AE116" s="559"/>
      <c r="AF116" s="559"/>
      <c r="AG116" s="559"/>
      <c r="AH116" s="559"/>
      <c r="AI116" s="559"/>
      <c r="AJ116" s="559"/>
      <c r="AK116" s="559"/>
      <c r="AL116" s="559"/>
      <c r="AM116" s="559"/>
      <c r="AN116" s="559"/>
      <c r="AO116" s="559"/>
      <c r="AP116" s="559"/>
      <c r="AQ116" s="559"/>
      <c r="AR116" s="559"/>
      <c r="AS116" s="559"/>
      <c r="AT116" s="559"/>
      <c r="AU116" s="559"/>
      <c r="AV116" s="453"/>
    </row>
    <row r="117" spans="1:49" s="610" customFormat="1" ht="18" x14ac:dyDescent="0.25">
      <c r="A117" s="157" t="s">
        <v>347</v>
      </c>
      <c r="B117" s="155" t="s">
        <v>348</v>
      </c>
      <c r="C117" s="456">
        <f>SUM(C109:C116)</f>
        <v>0</v>
      </c>
      <c r="D117" s="221">
        <f>SUM(D109:D116)</f>
        <v>0</v>
      </c>
      <c r="E117" s="456">
        <f>SUM(E109:E116)</f>
        <v>0</v>
      </c>
      <c r="F117" s="744">
        <f t="shared" si="28"/>
        <v>160915000</v>
      </c>
      <c r="G117" s="744">
        <f>G109+G110+G111+G112+G113+G114+G115+G116</f>
        <v>160915000</v>
      </c>
      <c r="H117" s="744">
        <f>H109+H110+H111+H112+H113+H114+H115+H116</f>
        <v>160915000</v>
      </c>
      <c r="I117" s="744">
        <f>I109+I110+I111+I112+I113+I114+I115+I116</f>
        <v>183324614</v>
      </c>
      <c r="J117" s="245"/>
      <c r="K117" s="693"/>
      <c r="L117" s="245">
        <f>SUM(L109:L116)</f>
        <v>160900000</v>
      </c>
      <c r="M117" s="642">
        <f>SUM(M109:M116)</f>
        <v>0</v>
      </c>
      <c r="N117" s="642">
        <f t="shared" ref="N117:X117" si="35">SUM(N109:N116)</f>
        <v>0</v>
      </c>
      <c r="O117" s="642">
        <f t="shared" si="35"/>
        <v>0</v>
      </c>
      <c r="P117" s="642">
        <f t="shared" si="35"/>
        <v>0</v>
      </c>
      <c r="Q117" s="642">
        <f t="shared" si="35"/>
        <v>0</v>
      </c>
      <c r="R117" s="642">
        <f t="shared" si="35"/>
        <v>0</v>
      </c>
      <c r="S117" s="642">
        <f t="shared" si="35"/>
        <v>0</v>
      </c>
      <c r="T117" s="642">
        <f t="shared" si="35"/>
        <v>0</v>
      </c>
      <c r="U117" s="642">
        <f t="shared" si="35"/>
        <v>0</v>
      </c>
      <c r="V117" s="642">
        <f t="shared" si="35"/>
        <v>0</v>
      </c>
      <c r="W117" s="642">
        <f t="shared" si="35"/>
        <v>0</v>
      </c>
      <c r="X117" s="642">
        <f t="shared" si="35"/>
        <v>0</v>
      </c>
      <c r="Y117" s="642">
        <f>SUM(Y109:Y116)</f>
        <v>160915000</v>
      </c>
      <c r="Z117" s="642"/>
      <c r="AA117" s="642"/>
      <c r="AB117" s="642"/>
      <c r="AC117" s="423"/>
      <c r="AD117" s="423"/>
      <c r="AE117" s="423"/>
      <c r="AF117" s="423"/>
      <c r="AG117" s="423"/>
      <c r="AH117" s="423"/>
      <c r="AI117" s="423"/>
      <c r="AJ117" s="423"/>
      <c r="AK117" s="423"/>
      <c r="AL117" s="423"/>
      <c r="AM117" s="423"/>
      <c r="AN117" s="423"/>
      <c r="AO117" s="423"/>
      <c r="AP117" s="423"/>
      <c r="AQ117" s="423"/>
      <c r="AR117" s="423"/>
      <c r="AS117" s="423"/>
      <c r="AT117" s="423"/>
      <c r="AU117" s="423"/>
      <c r="AV117" s="423"/>
      <c r="AW117" s="423"/>
    </row>
    <row r="118" spans="1:49" ht="18" x14ac:dyDescent="0.25">
      <c r="A118" s="1" t="s">
        <v>351</v>
      </c>
      <c r="B118" s="91" t="s">
        <v>357</v>
      </c>
      <c r="C118" s="242"/>
      <c r="D118" s="581"/>
      <c r="E118" s="160"/>
      <c r="F118" s="468">
        <f t="shared" si="28"/>
        <v>0</v>
      </c>
      <c r="G118" s="468"/>
      <c r="H118" s="468">
        <v>435520</v>
      </c>
      <c r="I118" s="468">
        <v>471520</v>
      </c>
      <c r="J118" s="75"/>
      <c r="K118" s="692"/>
      <c r="L118" s="75"/>
      <c r="M118" s="635"/>
      <c r="N118" s="635"/>
      <c r="O118" s="635"/>
      <c r="P118" s="635"/>
      <c r="Q118" s="635"/>
      <c r="R118" s="635"/>
      <c r="S118" s="635"/>
      <c r="T118" s="635"/>
      <c r="U118" s="635"/>
      <c r="V118" s="635"/>
      <c r="W118" s="635"/>
      <c r="X118" s="635"/>
      <c r="Y118" s="635">
        <f>SUM(M118:X118)</f>
        <v>0</v>
      </c>
      <c r="Z118" s="635"/>
      <c r="AA118" s="635"/>
      <c r="AB118" s="635"/>
      <c r="AC118" s="559"/>
      <c r="AD118" s="559"/>
      <c r="AE118" s="559"/>
      <c r="AF118" s="559"/>
      <c r="AG118" s="559"/>
      <c r="AH118" s="559"/>
      <c r="AI118" s="559"/>
      <c r="AJ118" s="559"/>
      <c r="AK118" s="559"/>
      <c r="AL118" s="559"/>
      <c r="AM118" s="559"/>
      <c r="AN118" s="559"/>
      <c r="AO118" s="559"/>
      <c r="AP118" s="559"/>
      <c r="AQ118" s="559"/>
      <c r="AR118" s="559"/>
      <c r="AS118" s="559"/>
      <c r="AT118" s="559"/>
      <c r="AU118" s="559"/>
      <c r="AV118" s="453"/>
    </row>
    <row r="119" spans="1:49" ht="18" x14ac:dyDescent="0.25">
      <c r="A119" s="1" t="s">
        <v>352</v>
      </c>
      <c r="B119" s="91" t="s">
        <v>598</v>
      </c>
      <c r="C119" s="242"/>
      <c r="D119" s="581"/>
      <c r="E119" s="160"/>
      <c r="F119" s="468">
        <f t="shared" si="28"/>
        <v>4808880</v>
      </c>
      <c r="G119" s="468">
        <v>4808880</v>
      </c>
      <c r="H119" s="468">
        <v>4808880</v>
      </c>
      <c r="I119" s="468">
        <v>4985993</v>
      </c>
      <c r="J119" s="75"/>
      <c r="K119" s="692"/>
      <c r="L119" s="75"/>
      <c r="M119" s="635"/>
      <c r="N119" s="635"/>
      <c r="O119" s="783">
        <v>3743880</v>
      </c>
      <c r="P119" s="635"/>
      <c r="Q119" s="783">
        <v>360000</v>
      </c>
      <c r="R119" s="783">
        <v>300000</v>
      </c>
      <c r="S119" s="783">
        <v>25000</v>
      </c>
      <c r="T119" s="783">
        <v>380000</v>
      </c>
      <c r="U119" s="635"/>
      <c r="V119" s="635"/>
      <c r="W119" s="635"/>
      <c r="X119" s="635"/>
      <c r="Y119" s="635">
        <f t="shared" ref="Y119:Y126" si="36">SUM(M119:X119)</f>
        <v>4808880</v>
      </c>
      <c r="Z119" s="635"/>
      <c r="AA119" s="635"/>
      <c r="AB119" s="635"/>
      <c r="AC119" s="559"/>
      <c r="AD119" s="559"/>
      <c r="AE119" s="559"/>
      <c r="AF119" s="559"/>
      <c r="AG119" s="559"/>
      <c r="AH119" s="559"/>
      <c r="AI119" s="559"/>
      <c r="AJ119" s="559"/>
      <c r="AK119" s="559"/>
      <c r="AL119" s="559"/>
      <c r="AM119" s="559"/>
      <c r="AN119" s="559"/>
      <c r="AO119" s="559"/>
      <c r="AP119" s="559"/>
      <c r="AQ119" s="559"/>
      <c r="AR119" s="559"/>
      <c r="AS119" s="559"/>
      <c r="AT119" s="559"/>
      <c r="AU119" s="559"/>
      <c r="AV119" s="453"/>
    </row>
    <row r="120" spans="1:49" ht="18" x14ac:dyDescent="0.25">
      <c r="A120" s="1" t="s">
        <v>353</v>
      </c>
      <c r="B120" s="91" t="s">
        <v>209</v>
      </c>
      <c r="C120" s="242"/>
      <c r="D120" s="581"/>
      <c r="E120" s="160"/>
      <c r="F120" s="468">
        <f t="shared" si="28"/>
        <v>3530000</v>
      </c>
      <c r="G120" s="468">
        <v>3530000</v>
      </c>
      <c r="H120" s="468">
        <v>3530000</v>
      </c>
      <c r="I120" s="468">
        <v>3269293</v>
      </c>
      <c r="J120" s="75"/>
      <c r="K120" s="692"/>
      <c r="L120" s="75"/>
      <c r="M120" s="635"/>
      <c r="N120" s="635"/>
      <c r="O120" s="635"/>
      <c r="P120" s="635"/>
      <c r="Q120" s="635"/>
      <c r="R120" s="635"/>
      <c r="S120" s="635"/>
      <c r="T120" s="635"/>
      <c r="U120" s="783">
        <v>2030000</v>
      </c>
      <c r="V120" s="783">
        <v>1500000</v>
      </c>
      <c r="W120" s="635"/>
      <c r="X120" s="635"/>
      <c r="Y120" s="635">
        <f t="shared" si="36"/>
        <v>3530000</v>
      </c>
      <c r="Z120" s="635"/>
      <c r="AA120" s="635"/>
      <c r="AB120" s="635"/>
      <c r="AC120" s="559"/>
      <c r="AD120" s="559"/>
      <c r="AE120" s="559"/>
      <c r="AF120" s="559"/>
      <c r="AG120" s="559"/>
      <c r="AH120" s="559"/>
      <c r="AI120" s="559"/>
      <c r="AJ120" s="559"/>
      <c r="AK120" s="559"/>
      <c r="AL120" s="559"/>
      <c r="AM120" s="559"/>
      <c r="AN120" s="559"/>
      <c r="AO120" s="559"/>
      <c r="AP120" s="559"/>
      <c r="AQ120" s="559"/>
      <c r="AR120" s="559"/>
      <c r="AS120" s="559"/>
      <c r="AT120" s="559"/>
      <c r="AU120" s="559"/>
      <c r="AV120" s="453"/>
    </row>
    <row r="121" spans="1:49" ht="18" x14ac:dyDescent="0.25">
      <c r="A121" s="1" t="s">
        <v>354</v>
      </c>
      <c r="B121" s="91" t="s">
        <v>358</v>
      </c>
      <c r="C121" s="242"/>
      <c r="D121" s="581"/>
      <c r="E121" s="160"/>
      <c r="F121" s="468">
        <f t="shared" si="28"/>
        <v>0</v>
      </c>
      <c r="G121" s="468"/>
      <c r="H121" s="468"/>
      <c r="I121" s="468"/>
      <c r="J121" s="75"/>
      <c r="K121" s="692"/>
      <c r="L121" s="75"/>
      <c r="M121" s="635"/>
      <c r="N121" s="635"/>
      <c r="O121" s="635"/>
      <c r="P121" s="635"/>
      <c r="Q121" s="635"/>
      <c r="R121" s="635"/>
      <c r="S121" s="635"/>
      <c r="T121" s="635"/>
      <c r="U121" s="783"/>
      <c r="V121" s="783"/>
      <c r="W121" s="635"/>
      <c r="X121" s="635"/>
      <c r="Y121" s="635">
        <f t="shared" si="36"/>
        <v>0</v>
      </c>
      <c r="Z121" s="635"/>
      <c r="AA121" s="635"/>
      <c r="AB121" s="635"/>
      <c r="AC121" s="559"/>
      <c r="AD121" s="559"/>
      <c r="AE121" s="559"/>
      <c r="AF121" s="559"/>
      <c r="AG121" s="559"/>
      <c r="AH121" s="559"/>
      <c r="AI121" s="559"/>
      <c r="AJ121" s="559"/>
      <c r="AK121" s="559"/>
      <c r="AL121" s="559"/>
      <c r="AM121" s="559"/>
      <c r="AN121" s="559"/>
      <c r="AO121" s="559"/>
      <c r="AP121" s="559"/>
      <c r="AQ121" s="559"/>
      <c r="AR121" s="559"/>
      <c r="AS121" s="559"/>
      <c r="AT121" s="559"/>
      <c r="AU121" s="559"/>
      <c r="AV121" s="453"/>
    </row>
    <row r="122" spans="1:49" ht="18" x14ac:dyDescent="0.25">
      <c r="A122" s="1" t="s">
        <v>355</v>
      </c>
      <c r="B122" s="91" t="s">
        <v>359</v>
      </c>
      <c r="C122" s="242"/>
      <c r="D122" s="581"/>
      <c r="E122" s="160"/>
      <c r="F122" s="468">
        <f t="shared" si="28"/>
        <v>3719147</v>
      </c>
      <c r="G122" s="468">
        <v>3719147</v>
      </c>
      <c r="H122" s="468">
        <v>3719147</v>
      </c>
      <c r="I122" s="468">
        <v>3369984</v>
      </c>
      <c r="J122" s="75"/>
      <c r="K122" s="692"/>
      <c r="L122" s="75"/>
      <c r="M122" s="635"/>
      <c r="N122" s="783">
        <v>3719147</v>
      </c>
      <c r="O122" s="635"/>
      <c r="P122" s="635"/>
      <c r="Q122" s="635"/>
      <c r="R122" s="635"/>
      <c r="S122" s="635"/>
      <c r="T122" s="635"/>
      <c r="U122" s="783"/>
      <c r="V122" s="783"/>
      <c r="W122" s="635"/>
      <c r="X122" s="635"/>
      <c r="Y122" s="635">
        <f t="shared" si="36"/>
        <v>3719147</v>
      </c>
      <c r="Z122" s="635"/>
      <c r="AA122" s="635"/>
      <c r="AB122" s="635"/>
      <c r="AC122" s="559"/>
      <c r="AD122" s="559"/>
      <c r="AE122" s="559"/>
      <c r="AF122" s="559"/>
      <c r="AG122" s="559"/>
      <c r="AH122" s="559"/>
      <c r="AI122" s="559"/>
      <c r="AJ122" s="559"/>
      <c r="AK122" s="559"/>
      <c r="AL122" s="559"/>
      <c r="AM122" s="559"/>
      <c r="AN122" s="559"/>
      <c r="AO122" s="559"/>
      <c r="AP122" s="559"/>
      <c r="AQ122" s="559"/>
      <c r="AR122" s="559"/>
      <c r="AS122" s="559"/>
      <c r="AT122" s="559"/>
      <c r="AU122" s="559"/>
      <c r="AV122" s="453"/>
    </row>
    <row r="123" spans="1:49" ht="18" x14ac:dyDescent="0.25">
      <c r="A123" s="1" t="s">
        <v>356</v>
      </c>
      <c r="B123" s="91" t="s">
        <v>411</v>
      </c>
      <c r="C123" s="242"/>
      <c r="D123" s="581"/>
      <c r="E123" s="160"/>
      <c r="F123" s="468">
        <f t="shared" si="28"/>
        <v>1972270</v>
      </c>
      <c r="G123" s="468">
        <v>1972270</v>
      </c>
      <c r="H123" s="468">
        <v>1972270</v>
      </c>
      <c r="I123" s="468">
        <v>1895182</v>
      </c>
      <c r="J123" s="75"/>
      <c r="K123" s="692"/>
      <c r="L123" s="75"/>
      <c r="M123" s="244"/>
      <c r="N123" s="784">
        <v>1004170</v>
      </c>
      <c r="O123" s="754"/>
      <c r="P123" s="566"/>
      <c r="Q123" s="566"/>
      <c r="R123" s="783">
        <v>15000</v>
      </c>
      <c r="S123" s="566"/>
      <c r="T123" s="566"/>
      <c r="U123" s="783">
        <v>548100</v>
      </c>
      <c r="V123" s="783">
        <v>405000</v>
      </c>
      <c r="W123" s="566"/>
      <c r="X123" s="566"/>
      <c r="Y123" s="635">
        <f t="shared" si="36"/>
        <v>1972270</v>
      </c>
      <c r="Z123" s="566"/>
      <c r="AA123" s="566"/>
      <c r="AB123" s="566"/>
      <c r="AV123" s="453"/>
    </row>
    <row r="124" spans="1:49" ht="18" x14ac:dyDescent="0.25">
      <c r="A124" s="1" t="s">
        <v>360</v>
      </c>
      <c r="B124" s="91" t="s">
        <v>739</v>
      </c>
      <c r="C124" s="242"/>
      <c r="D124" s="581"/>
      <c r="E124" s="160"/>
      <c r="F124" s="468">
        <f t="shared" si="28"/>
        <v>0</v>
      </c>
      <c r="G124" s="468"/>
      <c r="H124" s="468">
        <v>887000</v>
      </c>
      <c r="I124" s="468">
        <v>1378000</v>
      </c>
      <c r="J124" s="75"/>
      <c r="K124" s="692"/>
      <c r="L124" s="75"/>
      <c r="M124" s="639"/>
      <c r="N124" s="785"/>
      <c r="O124" s="639"/>
      <c r="P124" s="639"/>
      <c r="Q124" s="639"/>
      <c r="R124" s="639"/>
      <c r="S124" s="639"/>
      <c r="T124" s="639"/>
      <c r="U124" s="639"/>
      <c r="V124" s="639"/>
      <c r="W124" s="639"/>
      <c r="X124" s="639"/>
      <c r="Y124" s="635">
        <f t="shared" si="36"/>
        <v>0</v>
      </c>
      <c r="Z124" s="639"/>
      <c r="AA124" s="639"/>
      <c r="AB124" s="639"/>
      <c r="AC124" s="453"/>
      <c r="AD124" s="453"/>
      <c r="AE124" s="453"/>
      <c r="AF124" s="453"/>
      <c r="AG124" s="453"/>
      <c r="AH124" s="453"/>
      <c r="AI124" s="453"/>
      <c r="AJ124" s="453"/>
      <c r="AK124" s="453"/>
      <c r="AL124" s="453"/>
      <c r="AM124" s="453"/>
      <c r="AN124" s="453"/>
      <c r="AO124" s="453"/>
      <c r="AP124" s="453"/>
      <c r="AQ124" s="453"/>
      <c r="AR124" s="453"/>
      <c r="AS124" s="453"/>
      <c r="AT124" s="453"/>
      <c r="AU124" s="453"/>
      <c r="AV124" s="453"/>
      <c r="AW124" s="453"/>
    </row>
    <row r="125" spans="1:49" s="559" customFormat="1" ht="18" x14ac:dyDescent="0.25">
      <c r="A125" s="1" t="s">
        <v>362</v>
      </c>
      <c r="B125" s="91" t="s">
        <v>363</v>
      </c>
      <c r="C125" s="242"/>
      <c r="D125" s="581"/>
      <c r="E125" s="160"/>
      <c r="F125" s="468">
        <f t="shared" si="28"/>
        <v>0</v>
      </c>
      <c r="G125" s="468"/>
      <c r="H125" s="468"/>
      <c r="I125" s="468">
        <v>892589</v>
      </c>
      <c r="J125" s="75"/>
      <c r="K125" s="692"/>
      <c r="L125" s="75"/>
      <c r="M125" s="635"/>
      <c r="N125" s="635"/>
      <c r="O125" s="635"/>
      <c r="P125" s="635"/>
      <c r="Q125" s="635"/>
      <c r="R125" s="635"/>
      <c r="S125" s="635"/>
      <c r="T125" s="635"/>
      <c r="U125" s="635"/>
      <c r="V125" s="635"/>
      <c r="W125" s="635"/>
      <c r="X125" s="635"/>
      <c r="Y125" s="635">
        <f t="shared" si="36"/>
        <v>0</v>
      </c>
      <c r="Z125" s="635"/>
      <c r="AA125" s="635"/>
      <c r="AB125" s="635"/>
    </row>
    <row r="126" spans="1:49" s="559" customFormat="1" ht="18" x14ac:dyDescent="0.25">
      <c r="A126" s="1" t="s">
        <v>364</v>
      </c>
      <c r="B126" s="91" t="s">
        <v>365</v>
      </c>
      <c r="C126" s="242"/>
      <c r="D126" s="581"/>
      <c r="E126" s="160"/>
      <c r="F126" s="468">
        <f t="shared" si="28"/>
        <v>11000</v>
      </c>
      <c r="G126" s="468">
        <v>11000</v>
      </c>
      <c r="H126" s="468">
        <v>20952</v>
      </c>
      <c r="I126" s="468">
        <v>355347</v>
      </c>
      <c r="J126" s="75"/>
      <c r="K126" s="692"/>
      <c r="L126" s="75"/>
      <c r="M126" s="635"/>
      <c r="N126" s="635"/>
      <c r="O126" s="783">
        <v>11000</v>
      </c>
      <c r="P126" s="635"/>
      <c r="Q126" s="635"/>
      <c r="R126" s="635"/>
      <c r="S126" s="635"/>
      <c r="T126" s="635"/>
      <c r="U126" s="635"/>
      <c r="V126" s="635"/>
      <c r="W126" s="635"/>
      <c r="X126" s="635"/>
      <c r="Y126" s="635">
        <f t="shared" si="36"/>
        <v>11000</v>
      </c>
      <c r="Z126" s="635"/>
      <c r="AA126" s="635"/>
      <c r="AB126" s="635"/>
    </row>
    <row r="127" spans="1:49" s="610" customFormat="1" ht="18" x14ac:dyDescent="0.25">
      <c r="A127" s="582" t="s">
        <v>349</v>
      </c>
      <c r="B127" s="583" t="s">
        <v>350</v>
      </c>
      <c r="C127" s="456">
        <f>SUM(C118:C126)</f>
        <v>0</v>
      </c>
      <c r="D127" s="228">
        <f>SUM(D118:D126)</f>
        <v>0</v>
      </c>
      <c r="E127" s="456">
        <f>SUM(E118:E126)</f>
        <v>0</v>
      </c>
      <c r="F127" s="744">
        <f>SUM(F119:F126)</f>
        <v>14041297</v>
      </c>
      <c r="G127" s="744">
        <f t="shared" ref="G127" si="37">SUM(G119:G126)</f>
        <v>14041297</v>
      </c>
      <c r="H127" s="744">
        <f>SUM(H118:H126)</f>
        <v>15373769</v>
      </c>
      <c r="I127" s="744">
        <f>SUM(I118:I126)</f>
        <v>16617908</v>
      </c>
      <c r="J127" s="245"/>
      <c r="K127" s="693"/>
      <c r="L127" s="245"/>
      <c r="M127" s="645">
        <f>SUM(M123:M126)</f>
        <v>0</v>
      </c>
      <c r="N127" s="645">
        <f>SUM(N118:N126)</f>
        <v>4723317</v>
      </c>
      <c r="O127" s="645">
        <f t="shared" ref="O127:V127" si="38">SUM(O118:O126)</f>
        <v>3754880</v>
      </c>
      <c r="P127" s="645">
        <f t="shared" si="38"/>
        <v>0</v>
      </c>
      <c r="Q127" s="645">
        <f t="shared" si="38"/>
        <v>360000</v>
      </c>
      <c r="R127" s="645">
        <f t="shared" si="38"/>
        <v>315000</v>
      </c>
      <c r="S127" s="645">
        <f t="shared" si="38"/>
        <v>25000</v>
      </c>
      <c r="T127" s="645">
        <f t="shared" si="38"/>
        <v>380000</v>
      </c>
      <c r="U127" s="645">
        <f t="shared" si="38"/>
        <v>2578100</v>
      </c>
      <c r="V127" s="645">
        <f t="shared" si="38"/>
        <v>1905000</v>
      </c>
      <c r="W127" s="645">
        <f>SUM(W118:W126)</f>
        <v>0</v>
      </c>
      <c r="X127" s="645">
        <f>SUM(X118:X126)</f>
        <v>0</v>
      </c>
      <c r="Y127" s="641">
        <f>SUM(Y118:Y126)</f>
        <v>14041297</v>
      </c>
      <c r="Z127" s="641"/>
      <c r="AA127" s="641"/>
      <c r="AB127" s="641"/>
    </row>
    <row r="128" spans="1:49" s="559" customFormat="1" ht="18" x14ac:dyDescent="0.25">
      <c r="A128" s="1" t="s">
        <v>366</v>
      </c>
      <c r="B128" s="83" t="s">
        <v>368</v>
      </c>
      <c r="C128" s="460"/>
      <c r="D128" s="461"/>
      <c r="E128" s="460"/>
      <c r="F128" s="468">
        <f t="shared" si="28"/>
        <v>0</v>
      </c>
      <c r="G128" s="468"/>
      <c r="H128" s="468"/>
      <c r="I128" s="468">
        <v>46000</v>
      </c>
      <c r="J128" s="75"/>
      <c r="K128" s="692"/>
      <c r="L128" s="75"/>
      <c r="M128" s="635"/>
      <c r="N128" s="635"/>
      <c r="O128" s="751"/>
      <c r="P128" s="635"/>
      <c r="Q128" s="635"/>
      <c r="R128" s="635"/>
      <c r="S128" s="635"/>
      <c r="T128" s="635"/>
      <c r="U128" s="635"/>
      <c r="V128" s="635"/>
      <c r="W128" s="635"/>
      <c r="X128" s="635"/>
      <c r="Y128" s="635">
        <f>SUM(M128:X128)</f>
        <v>0</v>
      </c>
      <c r="Z128" s="635"/>
      <c r="AA128" s="635"/>
      <c r="AB128" s="635"/>
    </row>
    <row r="129" spans="1:28" s="559" customFormat="1" ht="18" x14ac:dyDescent="0.25">
      <c r="A129" s="1" t="s">
        <v>367</v>
      </c>
      <c r="B129" s="83" t="s">
        <v>369</v>
      </c>
      <c r="C129" s="461"/>
      <c r="D129" s="461"/>
      <c r="E129" s="460"/>
      <c r="F129" s="468">
        <f t="shared" si="28"/>
        <v>0</v>
      </c>
      <c r="G129" s="468"/>
      <c r="H129" s="468"/>
      <c r="I129" s="468"/>
      <c r="J129" s="75"/>
      <c r="K129" s="692"/>
      <c r="L129" s="75"/>
      <c r="M129" s="635"/>
      <c r="N129" s="635"/>
      <c r="O129" s="635"/>
      <c r="P129" s="635"/>
      <c r="Q129" s="635"/>
      <c r="R129" s="635"/>
      <c r="S129" s="635"/>
      <c r="T129" s="635"/>
      <c r="U129" s="635"/>
      <c r="V129" s="635"/>
      <c r="W129" s="635"/>
      <c r="X129" s="635"/>
      <c r="Y129" s="635">
        <f>SUM(M129:X129)</f>
        <v>0</v>
      </c>
      <c r="Z129" s="635"/>
      <c r="AA129" s="635"/>
      <c r="AB129" s="635"/>
    </row>
    <row r="130" spans="1:28" s="611" customFormat="1" ht="18" x14ac:dyDescent="0.25">
      <c r="A130" s="582" t="s">
        <v>370</v>
      </c>
      <c r="B130" s="583" t="s">
        <v>371</v>
      </c>
      <c r="C130" s="456">
        <f>SUM(C128:C129)</f>
        <v>0</v>
      </c>
      <c r="D130" s="221">
        <f>SUM(D128:D129)</f>
        <v>0</v>
      </c>
      <c r="E130" s="456">
        <f>SUM(E128:E129)</f>
        <v>0</v>
      </c>
      <c r="F130" s="744">
        <f>SUM(F128:F129)</f>
        <v>0</v>
      </c>
      <c r="G130" s="744">
        <f t="shared" ref="G130:I130" si="39">SUM(G128:G129)</f>
        <v>0</v>
      </c>
      <c r="H130" s="744">
        <f t="shared" si="39"/>
        <v>0</v>
      </c>
      <c r="I130" s="744">
        <f t="shared" si="39"/>
        <v>46000</v>
      </c>
      <c r="J130" s="456"/>
      <c r="K130" s="703"/>
      <c r="L130" s="456"/>
      <c r="M130" s="643">
        <f>SUM(M128:M129)</f>
        <v>0</v>
      </c>
      <c r="N130" s="643">
        <f t="shared" ref="N130:T130" si="40">SUM(N128:N129)</f>
        <v>0</v>
      </c>
      <c r="O130" s="643">
        <f t="shared" si="40"/>
        <v>0</v>
      </c>
      <c r="P130" s="643">
        <f t="shared" si="40"/>
        <v>0</v>
      </c>
      <c r="Q130" s="643">
        <f t="shared" si="40"/>
        <v>0</v>
      </c>
      <c r="R130" s="643">
        <f t="shared" si="40"/>
        <v>0</v>
      </c>
      <c r="S130" s="643">
        <f t="shared" si="40"/>
        <v>0</v>
      </c>
      <c r="T130" s="643">
        <f t="shared" si="40"/>
        <v>0</v>
      </c>
      <c r="U130" s="643">
        <f>SUM(U128:U129)</f>
        <v>0</v>
      </c>
      <c r="V130" s="643">
        <f>SUM(V128:V129)</f>
        <v>0</v>
      </c>
      <c r="W130" s="643">
        <f>SUM(W128:W129)</f>
        <v>0</v>
      </c>
      <c r="X130" s="643">
        <f>SUM(X128:X129)</f>
        <v>0</v>
      </c>
      <c r="Y130" s="643">
        <f>SUM(Y128:Y129)</f>
        <v>0</v>
      </c>
      <c r="Z130" s="643"/>
      <c r="AA130" s="643"/>
      <c r="AB130" s="643"/>
    </row>
    <row r="131" spans="1:28" s="559" customFormat="1" ht="18" x14ac:dyDescent="0.25">
      <c r="A131" s="1" t="s">
        <v>372</v>
      </c>
      <c r="B131" s="83" t="s">
        <v>373</v>
      </c>
      <c r="C131" s="460"/>
      <c r="D131" s="461"/>
      <c r="E131" s="460"/>
      <c r="F131" s="468">
        <f t="shared" si="28"/>
        <v>0</v>
      </c>
      <c r="G131" s="468"/>
      <c r="H131" s="468"/>
      <c r="I131" s="468"/>
      <c r="J131" s="75"/>
      <c r="K131" s="692"/>
      <c r="L131" s="75"/>
      <c r="M131" s="635"/>
      <c r="N131" s="635"/>
      <c r="O131" s="635"/>
      <c r="P131" s="635"/>
      <c r="Q131" s="635"/>
      <c r="R131" s="635"/>
      <c r="S131" s="635"/>
      <c r="T131" s="635"/>
      <c r="U131" s="635"/>
      <c r="V131" s="635"/>
      <c r="W131" s="635"/>
      <c r="X131" s="635"/>
      <c r="Y131" s="635">
        <f>SUM(M131:X131)</f>
        <v>0</v>
      </c>
      <c r="Z131" s="635"/>
      <c r="AA131" s="635"/>
      <c r="AB131" s="635"/>
    </row>
    <row r="132" spans="1:28" s="559" customFormat="1" ht="18" x14ac:dyDescent="0.25">
      <c r="A132" s="1" t="s">
        <v>374</v>
      </c>
      <c r="B132" s="83" t="s">
        <v>375</v>
      </c>
      <c r="C132" s="461"/>
      <c r="D132" s="461"/>
      <c r="E132" s="460"/>
      <c r="F132" s="468">
        <f t="shared" si="28"/>
        <v>0</v>
      </c>
      <c r="G132" s="468"/>
      <c r="H132" s="468"/>
      <c r="I132" s="468">
        <v>1000000</v>
      </c>
      <c r="J132" s="75"/>
      <c r="K132" s="692"/>
      <c r="L132" s="75"/>
      <c r="M132" s="635"/>
      <c r="N132" s="635"/>
      <c r="O132" s="635"/>
      <c r="P132" s="635"/>
      <c r="Q132" s="635"/>
      <c r="R132" s="635"/>
      <c r="S132" s="635"/>
      <c r="T132" s="635"/>
      <c r="U132" s="635"/>
      <c r="V132" s="635"/>
      <c r="W132" s="635"/>
      <c r="X132" s="635"/>
      <c r="Y132" s="635">
        <f>SUM(M132:X132)</f>
        <v>0</v>
      </c>
      <c r="Z132" s="635"/>
      <c r="AA132" s="635"/>
      <c r="AB132" s="635"/>
    </row>
    <row r="133" spans="1:28" s="611" customFormat="1" ht="18" x14ac:dyDescent="0.25">
      <c r="A133" s="582" t="s">
        <v>376</v>
      </c>
      <c r="B133" s="583" t="s">
        <v>379</v>
      </c>
      <c r="C133" s="456">
        <f>SUM(C131:C132)</f>
        <v>0</v>
      </c>
      <c r="D133" s="221">
        <f>SUM(D131:D132)</f>
        <v>0</v>
      </c>
      <c r="E133" s="456">
        <f>SUM(E131:E132)</f>
        <v>0</v>
      </c>
      <c r="F133" s="744">
        <f>SUM(F131:F132)</f>
        <v>0</v>
      </c>
      <c r="G133" s="744">
        <f t="shared" ref="G133:I133" si="41">SUM(G131:G132)</f>
        <v>0</v>
      </c>
      <c r="H133" s="744">
        <f t="shared" si="41"/>
        <v>0</v>
      </c>
      <c r="I133" s="744">
        <f t="shared" si="41"/>
        <v>1000000</v>
      </c>
      <c r="J133" s="456"/>
      <c r="K133" s="703"/>
      <c r="L133" s="456"/>
      <c r="M133" s="643">
        <f>SUM(M131:M132)</f>
        <v>0</v>
      </c>
      <c r="N133" s="643">
        <f t="shared" ref="N133:T133" si="42">SUM(N131:N132)</f>
        <v>0</v>
      </c>
      <c r="O133" s="643">
        <f t="shared" si="42"/>
        <v>0</v>
      </c>
      <c r="P133" s="643">
        <f t="shared" si="42"/>
        <v>0</v>
      </c>
      <c r="Q133" s="643">
        <f t="shared" si="42"/>
        <v>0</v>
      </c>
      <c r="R133" s="643">
        <f t="shared" si="42"/>
        <v>0</v>
      </c>
      <c r="S133" s="643">
        <f t="shared" si="42"/>
        <v>0</v>
      </c>
      <c r="T133" s="643">
        <f t="shared" si="42"/>
        <v>0</v>
      </c>
      <c r="U133" s="643">
        <f>SUM(U131:U132)</f>
        <v>0</v>
      </c>
      <c r="V133" s="643">
        <f>SUM(V131:V132)</f>
        <v>0</v>
      </c>
      <c r="W133" s="643">
        <f>SUM(W131:W132)</f>
        <v>0</v>
      </c>
      <c r="X133" s="643">
        <f>SUM(X131:X132)</f>
        <v>0</v>
      </c>
      <c r="Y133" s="643">
        <f>SUM(Y131:Y132)</f>
        <v>0</v>
      </c>
      <c r="Z133" s="643"/>
      <c r="AA133" s="643"/>
      <c r="AB133" s="643"/>
    </row>
    <row r="134" spans="1:28" s="559" customFormat="1" ht="18" x14ac:dyDescent="0.25">
      <c r="A134" s="1" t="s">
        <v>380</v>
      </c>
      <c r="B134" s="83" t="s">
        <v>381</v>
      </c>
      <c r="C134" s="460"/>
      <c r="D134" s="461"/>
      <c r="E134" s="460"/>
      <c r="F134" s="468">
        <f t="shared" si="28"/>
        <v>382500</v>
      </c>
      <c r="G134" s="468">
        <v>382500</v>
      </c>
      <c r="H134" s="468">
        <v>382500</v>
      </c>
      <c r="I134" s="468">
        <v>382500</v>
      </c>
      <c r="J134" s="75"/>
      <c r="K134" s="692"/>
      <c r="L134" s="75"/>
      <c r="M134" s="635"/>
      <c r="N134" s="635"/>
      <c r="O134" s="635"/>
      <c r="P134" s="635"/>
      <c r="Q134" s="635"/>
      <c r="R134" s="635"/>
      <c r="S134" s="635"/>
      <c r="T134" s="635"/>
      <c r="U134" s="635"/>
      <c r="V134" s="635"/>
      <c r="W134" s="635"/>
      <c r="X134" s="635"/>
      <c r="Y134" s="635">
        <f>AA134</f>
        <v>382500</v>
      </c>
      <c r="Z134" s="635"/>
      <c r="AA134" s="783">
        <v>382500</v>
      </c>
      <c r="AB134" s="635"/>
    </row>
    <row r="135" spans="1:28" s="559" customFormat="1" ht="18" x14ac:dyDescent="0.25">
      <c r="A135" s="1" t="s">
        <v>382</v>
      </c>
      <c r="B135" s="83" t="s">
        <v>383</v>
      </c>
      <c r="C135" s="460"/>
      <c r="D135" s="461"/>
      <c r="E135" s="460"/>
      <c r="F135" s="468">
        <f t="shared" si="28"/>
        <v>2886600</v>
      </c>
      <c r="G135" s="468">
        <v>2886600</v>
      </c>
      <c r="H135" s="468">
        <v>2886600</v>
      </c>
      <c r="I135" s="468"/>
      <c r="J135" s="75"/>
      <c r="K135" s="692"/>
      <c r="L135" s="75"/>
      <c r="M135" s="780">
        <v>2886600</v>
      </c>
      <c r="N135" s="635"/>
      <c r="O135" s="635"/>
      <c r="P135" s="635"/>
      <c r="Q135" s="635"/>
      <c r="R135" s="635"/>
      <c r="S135" s="635"/>
      <c r="T135" s="635"/>
      <c r="U135" s="635"/>
      <c r="V135" s="635"/>
      <c r="W135" s="635"/>
      <c r="X135" s="635"/>
      <c r="Y135" s="635">
        <f>SUM(M135:X135)</f>
        <v>2886600</v>
      </c>
      <c r="Z135" s="635"/>
      <c r="AA135" s="635"/>
      <c r="AB135" s="635"/>
    </row>
    <row r="136" spans="1:28" s="611" customFormat="1" ht="18" x14ac:dyDescent="0.25">
      <c r="A136" s="582" t="s">
        <v>377</v>
      </c>
      <c r="B136" s="583" t="s">
        <v>378</v>
      </c>
      <c r="C136" s="456"/>
      <c r="D136" s="221"/>
      <c r="E136" s="456"/>
      <c r="F136" s="744">
        <f>SUM(F134:F135)</f>
        <v>3269100</v>
      </c>
      <c r="G136" s="744">
        <f t="shared" ref="G136:I136" si="43">SUM(G134:G135)</f>
        <v>3269100</v>
      </c>
      <c r="H136" s="744">
        <f t="shared" si="43"/>
        <v>3269100</v>
      </c>
      <c r="I136" s="744">
        <f t="shared" si="43"/>
        <v>382500</v>
      </c>
      <c r="J136" s="456"/>
      <c r="K136" s="703"/>
      <c r="L136" s="456"/>
      <c r="M136" s="643">
        <f>SUM(M134:M135)</f>
        <v>2886600</v>
      </c>
      <c r="N136" s="643">
        <f t="shared" ref="N136:X136" si="44">SUM(N134:N135)</f>
        <v>0</v>
      </c>
      <c r="O136" s="643">
        <f t="shared" si="44"/>
        <v>0</v>
      </c>
      <c r="P136" s="643">
        <f t="shared" si="44"/>
        <v>0</v>
      </c>
      <c r="Q136" s="643">
        <f t="shared" si="44"/>
        <v>0</v>
      </c>
      <c r="R136" s="643">
        <f t="shared" si="44"/>
        <v>0</v>
      </c>
      <c r="S136" s="643">
        <f t="shared" si="44"/>
        <v>0</v>
      </c>
      <c r="T136" s="643">
        <f t="shared" si="44"/>
        <v>0</v>
      </c>
      <c r="U136" s="643">
        <f t="shared" si="44"/>
        <v>0</v>
      </c>
      <c r="V136" s="643">
        <f t="shared" si="44"/>
        <v>0</v>
      </c>
      <c r="W136" s="643">
        <f t="shared" si="44"/>
        <v>0</v>
      </c>
      <c r="X136" s="643">
        <f t="shared" si="44"/>
        <v>0</v>
      </c>
      <c r="Y136" s="643">
        <f>SUM(Y134:Y135)</f>
        <v>3269100</v>
      </c>
      <c r="Z136" s="643"/>
      <c r="AA136" s="643"/>
      <c r="AB136" s="643"/>
    </row>
    <row r="137" spans="1:28" s="611" customFormat="1" ht="18" x14ac:dyDescent="0.25">
      <c r="A137" s="184"/>
      <c r="B137" s="155" t="s">
        <v>80</v>
      </c>
      <c r="C137" s="228">
        <f>SUM(C102,C108,C117,C127,C130,C133,C136)</f>
        <v>0</v>
      </c>
      <c r="D137" s="456">
        <f>SUM(D102,D108,D117,D127,D130,D133,D136)</f>
        <v>0</v>
      </c>
      <c r="E137" s="228">
        <f>SUM(E102,E108,E117,E127,E130,E133,E136)</f>
        <v>0</v>
      </c>
      <c r="F137" s="744">
        <f>SUM(F102,F108,F117,F130,F133,F136,F127)</f>
        <v>256308880</v>
      </c>
      <c r="G137" s="744">
        <f t="shared" ref="G137:I137" si="45">SUM(G102,G108,G117,G130,G133,G136,G127)</f>
        <v>257147752</v>
      </c>
      <c r="H137" s="744">
        <f t="shared" si="45"/>
        <v>270828409</v>
      </c>
      <c r="I137" s="744">
        <f t="shared" si="45"/>
        <v>296715615</v>
      </c>
      <c r="J137" s="144"/>
      <c r="K137" s="690"/>
      <c r="L137" s="144">
        <f>L102+L108+L117+L127+L130+L133+L136</f>
        <v>160900000</v>
      </c>
      <c r="M137" s="646">
        <f>SUM(M102,M108,M117,M127,M130,M136,M133)</f>
        <v>2886600</v>
      </c>
      <c r="N137" s="646">
        <f t="shared" ref="N137:T137" si="46">SUM(N102,N108,N117,N127,N130,N136,N133)</f>
        <v>4723317</v>
      </c>
      <c r="O137" s="646">
        <f t="shared" si="46"/>
        <v>3754880</v>
      </c>
      <c r="P137" s="646">
        <f t="shared" si="46"/>
        <v>117600</v>
      </c>
      <c r="Q137" s="646">
        <f t="shared" si="46"/>
        <v>360000</v>
      </c>
      <c r="R137" s="646">
        <f t="shared" si="46"/>
        <v>315000</v>
      </c>
      <c r="S137" s="646">
        <f t="shared" si="46"/>
        <v>25000</v>
      </c>
      <c r="T137" s="646">
        <f t="shared" si="46"/>
        <v>380000</v>
      </c>
      <c r="U137" s="646">
        <f>SUM(U102,U108,U117,U127,U130,U136,U133)</f>
        <v>2578100</v>
      </c>
      <c r="V137" s="646">
        <f>SUM(V102,V108,V117,V127,V130,V136)</f>
        <v>1905000</v>
      </c>
      <c r="W137" s="646">
        <f>SUM(W102,W108,W117,W127,W130,W136)</f>
        <v>58965883</v>
      </c>
      <c r="X137" s="646">
        <f>SUM(X102,X108,X117,X127,X130,X136)</f>
        <v>19000000</v>
      </c>
      <c r="Y137" s="646">
        <f>SUM(Y102+Y108+Y117+Y127+Y130+Y133+Y136)</f>
        <v>256308880</v>
      </c>
      <c r="Z137" s="643"/>
      <c r="AA137" s="643"/>
      <c r="AB137" s="643"/>
    </row>
    <row r="138" spans="1:28" ht="18" x14ac:dyDescent="0.25">
      <c r="A138" s="585" t="s">
        <v>387</v>
      </c>
      <c r="B138" s="591" t="s">
        <v>386</v>
      </c>
      <c r="C138" s="584"/>
      <c r="D138" s="13"/>
      <c r="E138" s="13"/>
      <c r="F138" s="468">
        <f t="shared" si="28"/>
        <v>0</v>
      </c>
      <c r="G138" s="468"/>
      <c r="H138" s="468"/>
      <c r="I138" s="468">
        <v>30000000</v>
      </c>
      <c r="J138" s="241"/>
      <c r="K138" s="696"/>
      <c r="L138" s="241"/>
      <c r="M138" s="566"/>
      <c r="N138" s="566"/>
      <c r="O138" s="566"/>
      <c r="P138" s="566"/>
      <c r="Q138" s="566"/>
      <c r="R138" s="566"/>
      <c r="S138" s="566"/>
      <c r="T138" s="566"/>
      <c r="U138" s="566"/>
      <c r="V138" s="566"/>
      <c r="W138" s="566"/>
      <c r="X138" s="566"/>
      <c r="Y138" s="566"/>
      <c r="Z138" s="566"/>
      <c r="AA138" s="566"/>
      <c r="AB138" s="566"/>
    </row>
    <row r="139" spans="1:28" s="559" customFormat="1" ht="18" x14ac:dyDescent="0.25">
      <c r="A139" s="5" t="s">
        <v>388</v>
      </c>
      <c r="B139" s="592" t="s">
        <v>389</v>
      </c>
      <c r="C139" s="460"/>
      <c r="D139" s="461"/>
      <c r="E139" s="242"/>
      <c r="F139" s="468">
        <f>Y139</f>
        <v>167515977</v>
      </c>
      <c r="G139" s="468">
        <v>167515977</v>
      </c>
      <c r="H139" s="468">
        <v>167515977</v>
      </c>
      <c r="I139" s="468">
        <v>192454093</v>
      </c>
      <c r="J139" s="75"/>
      <c r="K139" s="692"/>
      <c r="L139" s="75"/>
      <c r="M139" s="635"/>
      <c r="N139" s="635"/>
      <c r="O139" s="635"/>
      <c r="P139" s="635"/>
      <c r="Q139" s="635"/>
      <c r="R139" s="635"/>
      <c r="S139" s="635"/>
      <c r="T139" s="635"/>
      <c r="U139" s="635"/>
      <c r="V139" s="635"/>
      <c r="W139" s="635"/>
      <c r="X139" s="635"/>
      <c r="Y139" s="635">
        <f>AB139</f>
        <v>167515977</v>
      </c>
      <c r="Z139" s="635"/>
      <c r="AA139" s="635"/>
      <c r="AB139" s="635">
        <v>167515977</v>
      </c>
    </row>
    <row r="140" spans="1:28" ht="18" x14ac:dyDescent="0.25">
      <c r="A140" s="585" t="s">
        <v>390</v>
      </c>
      <c r="B140" s="591" t="s">
        <v>79</v>
      </c>
      <c r="C140" s="584"/>
      <c r="D140" s="13"/>
      <c r="E140" s="13"/>
      <c r="F140" s="468">
        <f t="shared" si="28"/>
        <v>0</v>
      </c>
      <c r="G140" s="468"/>
      <c r="H140" s="468"/>
      <c r="I140" s="468"/>
      <c r="J140" s="241"/>
      <c r="K140" s="696"/>
      <c r="L140" s="241"/>
      <c r="M140" s="566"/>
      <c r="N140" s="566"/>
      <c r="O140" s="566"/>
      <c r="P140" s="566"/>
      <c r="Q140" s="566"/>
      <c r="R140" s="566"/>
      <c r="S140" s="566"/>
      <c r="T140" s="566"/>
      <c r="U140" s="566"/>
      <c r="V140" s="566"/>
      <c r="W140" s="566"/>
      <c r="X140" s="566"/>
      <c r="Y140" s="566"/>
      <c r="Z140" s="566"/>
      <c r="AA140" s="566"/>
      <c r="AB140" s="566"/>
    </row>
    <row r="141" spans="1:28" ht="18" x14ac:dyDescent="0.25">
      <c r="A141" s="5" t="s">
        <v>391</v>
      </c>
      <c r="B141" s="592" t="s">
        <v>392</v>
      </c>
      <c r="C141" s="227"/>
      <c r="D141" s="432"/>
      <c r="E141" s="432"/>
      <c r="F141" s="468">
        <f t="shared" si="28"/>
        <v>0</v>
      </c>
      <c r="G141" s="468"/>
      <c r="H141" s="468"/>
      <c r="I141" s="468"/>
      <c r="J141" s="241"/>
      <c r="K141" s="696"/>
      <c r="L141" s="241"/>
      <c r="M141" s="566"/>
      <c r="N141" s="566"/>
      <c r="O141" s="566"/>
      <c r="P141" s="566"/>
      <c r="Q141" s="566"/>
      <c r="R141" s="566"/>
      <c r="S141" s="566"/>
      <c r="T141" s="566"/>
      <c r="U141" s="566"/>
      <c r="V141" s="566"/>
      <c r="W141" s="566"/>
      <c r="X141" s="566"/>
      <c r="Y141" s="566"/>
      <c r="Z141" s="566"/>
      <c r="AA141" s="566"/>
      <c r="AB141" s="566"/>
    </row>
    <row r="142" spans="1:28" ht="18" x14ac:dyDescent="0.25">
      <c r="A142" s="185"/>
      <c r="B142" s="583" t="s">
        <v>385</v>
      </c>
      <c r="C142" s="144">
        <f>SUM(C137:C141)</f>
        <v>0</v>
      </c>
      <c r="D142" s="144">
        <f>SUM(D137:D141)</f>
        <v>0</v>
      </c>
      <c r="E142" s="144">
        <f>SUM(E137:E141)</f>
        <v>0</v>
      </c>
      <c r="F142" s="675">
        <f>F137+F139</f>
        <v>423824857</v>
      </c>
      <c r="G142" s="675">
        <f t="shared" ref="G142:H142" si="47">G137+G139</f>
        <v>424663729</v>
      </c>
      <c r="H142" s="675">
        <f t="shared" si="47"/>
        <v>438344386</v>
      </c>
      <c r="I142" s="675">
        <f>I137+I139+I138</f>
        <v>519169708</v>
      </c>
      <c r="J142" s="245"/>
      <c r="K142" s="696"/>
      <c r="L142" s="241"/>
      <c r="M142" s="566"/>
      <c r="N142" s="566"/>
      <c r="O142" s="566"/>
      <c r="P142" s="566"/>
      <c r="Q142" s="566"/>
      <c r="R142" s="566"/>
      <c r="S142" s="566"/>
      <c r="T142" s="566"/>
      <c r="U142" s="566"/>
      <c r="V142" s="566"/>
      <c r="W142" s="566"/>
      <c r="X142" s="566"/>
      <c r="Y142" s="566"/>
      <c r="Z142" s="566"/>
      <c r="AA142" s="566"/>
      <c r="AB142" s="566"/>
    </row>
    <row r="143" spans="1:28" ht="15" x14ac:dyDescent="0.2">
      <c r="C143" s="186"/>
      <c r="D143" s="186"/>
      <c r="E143" s="186"/>
      <c r="J143" s="710"/>
      <c r="K143" s="704"/>
      <c r="L143" s="704"/>
    </row>
    <row r="144" spans="1:28" ht="18" x14ac:dyDescent="0.25">
      <c r="A144" s="312"/>
      <c r="B144" s="313" t="s">
        <v>135</v>
      </c>
      <c r="C144" s="593"/>
      <c r="D144" s="463"/>
      <c r="E144" s="593"/>
      <c r="F144" s="594">
        <v>9</v>
      </c>
      <c r="G144" s="594"/>
      <c r="H144" s="594"/>
      <c r="I144" s="594"/>
      <c r="J144" s="711"/>
      <c r="K144" s="696"/>
      <c r="L144" s="696"/>
    </row>
    <row r="145" spans="1:9" x14ac:dyDescent="0.2">
      <c r="A145" s="595"/>
      <c r="B145" s="131"/>
      <c r="C145" s="133"/>
      <c r="D145" s="596"/>
      <c r="E145" s="597" t="s">
        <v>498</v>
      </c>
      <c r="F145" s="598"/>
      <c r="G145" s="598"/>
      <c r="H145" s="598"/>
      <c r="I145" s="598"/>
    </row>
    <row r="146" spans="1:9" x14ac:dyDescent="0.2">
      <c r="A146" s="595"/>
      <c r="B146" s="131"/>
      <c r="C146" s="134"/>
      <c r="D146" s="599"/>
      <c r="E146" s="597"/>
      <c r="F146" s="598"/>
      <c r="G146" s="598"/>
      <c r="H146" s="598"/>
      <c r="I146" s="598"/>
    </row>
    <row r="147" spans="1:9" x14ac:dyDescent="0.2">
      <c r="A147" s="595"/>
      <c r="B147" s="131"/>
      <c r="C147" s="134"/>
      <c r="D147" s="131"/>
      <c r="E147" s="597"/>
      <c r="F147" s="598"/>
      <c r="G147" s="598"/>
      <c r="H147" s="598"/>
      <c r="I147" s="598"/>
    </row>
    <row r="148" spans="1:9" x14ac:dyDescent="0.2">
      <c r="A148" s="595"/>
      <c r="B148" s="131"/>
      <c r="C148" s="134"/>
      <c r="D148" s="131"/>
      <c r="E148" s="597"/>
      <c r="F148" s="598"/>
      <c r="G148" s="598"/>
      <c r="H148" s="598"/>
      <c r="I148" s="598"/>
    </row>
    <row r="149" spans="1:9" x14ac:dyDescent="0.2">
      <c r="A149" s="595"/>
      <c r="B149" s="131"/>
      <c r="C149" s="134"/>
      <c r="D149" s="131"/>
      <c r="E149" s="597"/>
      <c r="F149" s="598"/>
      <c r="G149" s="598"/>
      <c r="H149" s="598"/>
      <c r="I149" s="598"/>
    </row>
    <row r="150" spans="1:9" x14ac:dyDescent="0.2">
      <c r="A150" s="595"/>
      <c r="B150" s="131"/>
      <c r="C150" s="134"/>
      <c r="D150" s="131"/>
      <c r="E150" s="597"/>
      <c r="F150" s="598"/>
      <c r="G150" s="598"/>
      <c r="H150" s="598"/>
      <c r="I150" s="598"/>
    </row>
    <row r="151" spans="1:9" x14ac:dyDescent="0.2">
      <c r="A151" s="595"/>
      <c r="B151" s="131"/>
      <c r="C151" s="134"/>
      <c r="D151" s="131"/>
      <c r="E151" s="597"/>
      <c r="F151" s="598"/>
      <c r="G151" s="598"/>
      <c r="H151" s="598"/>
      <c r="I151" s="598"/>
    </row>
    <row r="152" spans="1:9" x14ac:dyDescent="0.2">
      <c r="A152" s="595"/>
      <c r="B152" s="131"/>
      <c r="C152" s="131"/>
      <c r="D152" s="131"/>
      <c r="E152" s="597"/>
      <c r="F152" s="598"/>
      <c r="G152" s="598"/>
      <c r="H152" s="598"/>
      <c r="I152" s="598"/>
    </row>
    <row r="153" spans="1:9" x14ac:dyDescent="0.2">
      <c r="A153" s="595"/>
      <c r="B153" s="131"/>
      <c r="C153" s="134"/>
      <c r="D153" s="599"/>
      <c r="E153" s="597"/>
      <c r="F153" s="598"/>
      <c r="G153" s="598"/>
      <c r="H153" s="598"/>
      <c r="I153" s="598"/>
    </row>
    <row r="154" spans="1:9" x14ac:dyDescent="0.2">
      <c r="A154" s="595"/>
      <c r="B154" s="131"/>
      <c r="C154" s="134"/>
      <c r="D154" s="599"/>
      <c r="E154" s="597"/>
      <c r="F154" s="598"/>
      <c r="G154" s="598"/>
      <c r="H154" s="598"/>
      <c r="I154" s="598"/>
    </row>
    <row r="155" spans="1:9" x14ac:dyDescent="0.2">
      <c r="A155" s="595"/>
      <c r="B155" s="131"/>
      <c r="C155" s="134"/>
      <c r="D155" s="599"/>
      <c r="E155" s="597"/>
      <c r="F155" s="598"/>
      <c r="G155" s="598"/>
      <c r="H155" s="598"/>
      <c r="I155" s="598"/>
    </row>
    <row r="156" spans="1:9" x14ac:dyDescent="0.2">
      <c r="A156" s="595"/>
      <c r="B156" s="131"/>
      <c r="C156" s="134"/>
      <c r="D156" s="599"/>
      <c r="E156" s="597"/>
      <c r="F156" s="598"/>
      <c r="G156" s="598"/>
      <c r="H156" s="598"/>
      <c r="I156" s="598"/>
    </row>
    <row r="157" spans="1:9" x14ac:dyDescent="0.2">
      <c r="A157" s="595"/>
      <c r="B157" s="131"/>
      <c r="C157" s="131"/>
      <c r="D157" s="131"/>
      <c r="E157" s="597"/>
      <c r="F157" s="598"/>
      <c r="G157" s="598"/>
      <c r="H157" s="598"/>
      <c r="I157" s="598"/>
    </row>
    <row r="158" spans="1:9" x14ac:dyDescent="0.2">
      <c r="A158" s="595"/>
      <c r="B158" s="131"/>
      <c r="C158" s="131"/>
      <c r="D158" s="131"/>
      <c r="E158" s="597"/>
      <c r="F158" s="598"/>
      <c r="G158" s="598"/>
      <c r="H158" s="598"/>
      <c r="I158" s="598"/>
    </row>
    <row r="159" spans="1:9" x14ac:dyDescent="0.2">
      <c r="A159" s="595"/>
      <c r="B159" s="131"/>
      <c r="C159" s="131"/>
      <c r="D159" s="131"/>
      <c r="E159" s="597"/>
      <c r="F159" s="598"/>
      <c r="G159" s="598"/>
      <c r="H159" s="598"/>
      <c r="I159" s="598"/>
    </row>
    <row r="160" spans="1:9" x14ac:dyDescent="0.2">
      <c r="A160" s="595"/>
      <c r="B160" s="131"/>
      <c r="C160" s="131"/>
      <c r="D160" s="131"/>
      <c r="E160" s="597"/>
      <c r="F160" s="598"/>
      <c r="G160" s="598"/>
      <c r="H160" s="598"/>
      <c r="I160" s="598"/>
    </row>
    <row r="161" spans="1:13" x14ac:dyDescent="0.2">
      <c r="A161" s="595"/>
      <c r="B161" s="994"/>
      <c r="C161" s="994"/>
      <c r="D161" s="994"/>
      <c r="E161" s="134"/>
      <c r="F161" s="597"/>
      <c r="G161" s="597"/>
      <c r="H161" s="597"/>
      <c r="I161" s="597"/>
    </row>
    <row r="162" spans="1:13" s="559" customFormat="1" x14ac:dyDescent="0.2">
      <c r="A162" s="595"/>
      <c r="B162" s="130"/>
      <c r="C162" s="132"/>
      <c r="D162" s="133"/>
      <c r="E162" s="597"/>
      <c r="F162" s="133"/>
      <c r="G162" s="133"/>
      <c r="H162" s="133"/>
      <c r="I162" s="133"/>
      <c r="J162" s="713"/>
      <c r="K162" s="698"/>
      <c r="L162" s="698"/>
      <c r="M162" s="715"/>
    </row>
    <row r="163" spans="1:13" x14ac:dyDescent="0.2">
      <c r="A163" s="600"/>
      <c r="B163" s="601"/>
      <c r="C163" s="133"/>
      <c r="D163" s="133"/>
      <c r="E163" s="133"/>
      <c r="F163" s="598"/>
      <c r="G163" s="598"/>
      <c r="H163" s="598"/>
      <c r="I163" s="598"/>
    </row>
    <row r="164" spans="1:13" x14ac:dyDescent="0.2">
      <c r="A164" s="595"/>
      <c r="B164" s="131"/>
      <c r="C164" s="133"/>
      <c r="D164" s="133"/>
      <c r="E164" s="597"/>
      <c r="F164" s="598"/>
      <c r="G164" s="598"/>
      <c r="H164" s="598"/>
      <c r="I164" s="598"/>
    </row>
    <row r="165" spans="1:13" x14ac:dyDescent="0.2">
      <c r="A165" s="595"/>
      <c r="B165" s="131"/>
      <c r="C165" s="133"/>
      <c r="D165" s="596"/>
      <c r="E165" s="597"/>
      <c r="F165" s="598"/>
      <c r="G165" s="598"/>
      <c r="H165" s="598"/>
      <c r="I165" s="598"/>
    </row>
    <row r="166" spans="1:13" x14ac:dyDescent="0.2">
      <c r="A166" s="595"/>
      <c r="B166" s="131"/>
      <c r="C166" s="133"/>
      <c r="D166" s="596"/>
      <c r="E166" s="597"/>
      <c r="F166" s="598"/>
      <c r="G166" s="598"/>
      <c r="H166" s="598"/>
      <c r="I166" s="598"/>
    </row>
    <row r="167" spans="1:13" x14ac:dyDescent="0.2">
      <c r="A167" s="595"/>
      <c r="B167" s="131"/>
      <c r="C167" s="133"/>
      <c r="D167" s="596"/>
      <c r="E167" s="597"/>
      <c r="F167" s="598"/>
      <c r="G167" s="598"/>
      <c r="H167" s="598"/>
      <c r="I167" s="598"/>
    </row>
    <row r="168" spans="1:13" x14ac:dyDescent="0.2">
      <c r="A168" s="595"/>
      <c r="B168" s="131"/>
      <c r="C168" s="133"/>
      <c r="D168" s="596"/>
      <c r="E168" s="597"/>
      <c r="F168" s="598"/>
      <c r="G168" s="598"/>
      <c r="H168" s="598"/>
      <c r="I168" s="598"/>
    </row>
    <row r="169" spans="1:13" x14ac:dyDescent="0.2">
      <c r="A169" s="595"/>
      <c r="B169" s="131"/>
      <c r="C169" s="134"/>
      <c r="D169" s="131"/>
      <c r="E169" s="597"/>
      <c r="F169" s="598"/>
      <c r="G169" s="598"/>
      <c r="H169" s="598"/>
      <c r="I169" s="598"/>
    </row>
    <row r="170" spans="1:13" x14ac:dyDescent="0.2">
      <c r="A170" s="595"/>
      <c r="B170" s="131"/>
      <c r="C170" s="131"/>
      <c r="D170" s="131"/>
      <c r="E170" s="597"/>
      <c r="F170" s="598"/>
      <c r="G170" s="598"/>
      <c r="H170" s="598"/>
      <c r="I170" s="598"/>
    </row>
    <row r="171" spans="1:13" x14ac:dyDescent="0.2">
      <c r="A171" s="595"/>
      <c r="B171" s="994"/>
      <c r="C171" s="994"/>
      <c r="D171" s="994"/>
      <c r="E171" s="134"/>
      <c r="F171" s="597"/>
      <c r="G171" s="597"/>
      <c r="H171" s="597"/>
      <c r="I171" s="597"/>
    </row>
    <row r="172" spans="1:13" s="559" customFormat="1" x14ac:dyDescent="0.2">
      <c r="A172" s="595"/>
      <c r="B172" s="130"/>
      <c r="C172" s="132"/>
      <c r="D172" s="133"/>
      <c r="E172" s="597"/>
      <c r="F172" s="133"/>
      <c r="G172" s="133"/>
      <c r="H172" s="133"/>
      <c r="I172" s="133"/>
      <c r="J172" s="713"/>
      <c r="K172" s="698"/>
      <c r="L172" s="698"/>
      <c r="M172" s="715"/>
    </row>
    <row r="173" spans="1:13" x14ac:dyDescent="0.2">
      <c r="A173" s="600"/>
      <c r="B173" s="601"/>
      <c r="C173" s="133"/>
      <c r="D173" s="133"/>
      <c r="E173" s="133"/>
      <c r="F173" s="598"/>
      <c r="G173" s="598"/>
      <c r="H173" s="598"/>
      <c r="I173" s="598"/>
    </row>
    <row r="174" spans="1:13" x14ac:dyDescent="0.2">
      <c r="A174" s="595"/>
      <c r="B174" s="131"/>
      <c r="C174" s="133"/>
      <c r="D174" s="596"/>
      <c r="E174" s="597"/>
      <c r="F174" s="598"/>
      <c r="G174" s="598"/>
      <c r="H174" s="598"/>
      <c r="I174" s="598"/>
    </row>
    <row r="175" spans="1:13" x14ac:dyDescent="0.2">
      <c r="A175" s="595"/>
      <c r="B175" s="131"/>
      <c r="C175" s="133"/>
      <c r="D175" s="596"/>
      <c r="E175" s="597"/>
      <c r="F175" s="598"/>
      <c r="G175" s="598"/>
      <c r="H175" s="598"/>
      <c r="I175" s="598"/>
    </row>
    <row r="176" spans="1:13" x14ac:dyDescent="0.2">
      <c r="A176" s="595"/>
      <c r="B176" s="131"/>
      <c r="C176" s="133"/>
      <c r="D176" s="596"/>
      <c r="E176" s="597"/>
      <c r="F176" s="598"/>
      <c r="G176" s="598"/>
      <c r="H176" s="598"/>
      <c r="I176" s="598"/>
    </row>
    <row r="177" spans="1:13" x14ac:dyDescent="0.2">
      <c r="A177" s="595"/>
      <c r="B177" s="131"/>
      <c r="C177" s="133"/>
      <c r="D177" s="596"/>
      <c r="E177" s="597"/>
      <c r="F177" s="598"/>
      <c r="G177" s="598"/>
      <c r="H177" s="598"/>
      <c r="I177" s="598"/>
    </row>
    <row r="178" spans="1:13" x14ac:dyDescent="0.2">
      <c r="A178" s="595"/>
      <c r="B178" s="131"/>
      <c r="C178" s="133"/>
      <c r="D178" s="596"/>
      <c r="E178" s="597"/>
      <c r="F178" s="598"/>
      <c r="G178" s="598"/>
      <c r="H178" s="598"/>
      <c r="I178" s="598"/>
    </row>
    <row r="179" spans="1:13" x14ac:dyDescent="0.2">
      <c r="A179" s="595"/>
      <c r="B179" s="131"/>
      <c r="C179" s="134"/>
      <c r="D179" s="131"/>
      <c r="E179" s="597"/>
      <c r="F179" s="598"/>
      <c r="G179" s="598"/>
      <c r="H179" s="598"/>
      <c r="I179" s="598"/>
    </row>
    <row r="180" spans="1:13" x14ac:dyDescent="0.2">
      <c r="A180" s="595"/>
      <c r="B180" s="131"/>
      <c r="C180" s="131"/>
      <c r="D180" s="131"/>
      <c r="E180" s="597"/>
      <c r="F180" s="598"/>
      <c r="G180" s="598"/>
      <c r="H180" s="598"/>
      <c r="I180" s="598"/>
    </row>
    <row r="181" spans="1:13" x14ac:dyDescent="0.2">
      <c r="A181" s="595"/>
      <c r="B181" s="994"/>
      <c r="C181" s="994"/>
      <c r="D181" s="994"/>
      <c r="E181" s="134"/>
      <c r="F181" s="597"/>
      <c r="G181" s="597"/>
      <c r="H181" s="597"/>
      <c r="I181" s="597"/>
    </row>
    <row r="182" spans="1:13" s="559" customFormat="1" x14ac:dyDescent="0.2">
      <c r="A182" s="595"/>
      <c r="B182" s="130"/>
      <c r="C182" s="132"/>
      <c r="D182" s="133"/>
      <c r="E182" s="597"/>
      <c r="F182" s="133"/>
      <c r="G182" s="133"/>
      <c r="H182" s="133"/>
      <c r="I182" s="133"/>
      <c r="J182" s="713"/>
      <c r="K182" s="698"/>
      <c r="L182" s="698"/>
      <c r="M182" s="715"/>
    </row>
    <row r="183" spans="1:13" x14ac:dyDescent="0.2">
      <c r="A183" s="600"/>
      <c r="B183" s="601"/>
      <c r="C183" s="133"/>
      <c r="D183" s="133"/>
      <c r="E183" s="133"/>
      <c r="F183" s="598"/>
      <c r="G183" s="598"/>
      <c r="H183" s="598"/>
      <c r="I183" s="598"/>
    </row>
    <row r="184" spans="1:13" x14ac:dyDescent="0.2">
      <c r="A184" s="595"/>
      <c r="B184" s="131"/>
      <c r="C184" s="133"/>
      <c r="D184" s="596"/>
      <c r="E184" s="597"/>
      <c r="F184" s="598"/>
      <c r="G184" s="598"/>
      <c r="H184" s="598"/>
      <c r="I184" s="598"/>
    </row>
    <row r="185" spans="1:13" x14ac:dyDescent="0.2">
      <c r="A185" s="595"/>
      <c r="B185" s="131"/>
      <c r="C185" s="133"/>
      <c r="D185" s="596"/>
      <c r="E185" s="597"/>
      <c r="F185" s="598"/>
      <c r="G185" s="598"/>
      <c r="H185" s="598"/>
      <c r="I185" s="598"/>
    </row>
    <row r="186" spans="1:13" x14ac:dyDescent="0.2">
      <c r="A186" s="595"/>
      <c r="B186" s="131"/>
      <c r="C186" s="133"/>
      <c r="D186" s="596"/>
      <c r="E186" s="597"/>
      <c r="F186" s="598"/>
      <c r="G186" s="598"/>
      <c r="H186" s="598"/>
      <c r="I186" s="598"/>
    </row>
    <row r="187" spans="1:13" x14ac:dyDescent="0.2">
      <c r="A187" s="595"/>
      <c r="B187" s="131"/>
      <c r="C187" s="133"/>
      <c r="D187" s="596"/>
      <c r="E187" s="597"/>
      <c r="F187" s="598"/>
      <c r="G187" s="598"/>
      <c r="H187" s="598"/>
      <c r="I187" s="598"/>
    </row>
    <row r="188" spans="1:13" x14ac:dyDescent="0.2">
      <c r="A188" s="595"/>
      <c r="B188" s="131"/>
      <c r="C188" s="133"/>
      <c r="D188" s="596"/>
      <c r="E188" s="597"/>
      <c r="F188" s="598"/>
      <c r="G188" s="598"/>
      <c r="H188" s="598"/>
      <c r="I188" s="598"/>
    </row>
    <row r="189" spans="1:13" x14ac:dyDescent="0.2">
      <c r="A189" s="595"/>
      <c r="B189" s="131"/>
      <c r="C189" s="134"/>
      <c r="D189" s="131"/>
      <c r="E189" s="597"/>
      <c r="F189" s="598"/>
      <c r="G189" s="598"/>
      <c r="H189" s="598"/>
      <c r="I189" s="598"/>
    </row>
    <row r="190" spans="1:13" x14ac:dyDescent="0.2">
      <c r="A190" s="595"/>
      <c r="B190" s="131"/>
      <c r="C190" s="131"/>
      <c r="D190" s="131"/>
      <c r="E190" s="597"/>
      <c r="F190" s="598"/>
      <c r="G190" s="598"/>
      <c r="H190" s="598"/>
      <c r="I190" s="598"/>
    </row>
    <row r="191" spans="1:13" x14ac:dyDescent="0.2">
      <c r="A191" s="595"/>
      <c r="B191" s="994"/>
      <c r="C191" s="994"/>
      <c r="D191" s="994"/>
      <c r="E191" s="134"/>
      <c r="F191" s="597"/>
      <c r="G191" s="597"/>
      <c r="H191" s="597"/>
      <c r="I191" s="597"/>
    </row>
    <row r="192" spans="1:13" s="559" customFormat="1" x14ac:dyDescent="0.2">
      <c r="A192" s="595"/>
      <c r="B192" s="130"/>
      <c r="C192" s="132"/>
      <c r="D192" s="133"/>
      <c r="E192" s="597"/>
      <c r="F192" s="133"/>
      <c r="G192" s="133"/>
      <c r="H192" s="133"/>
      <c r="I192" s="133"/>
      <c r="J192" s="713"/>
      <c r="K192" s="698"/>
      <c r="L192" s="698"/>
      <c r="M192" s="715"/>
    </row>
    <row r="193" spans="1:9" x14ac:dyDescent="0.2">
      <c r="A193" s="600"/>
      <c r="B193" s="601"/>
      <c r="C193" s="133"/>
      <c r="D193" s="133"/>
      <c r="E193" s="133"/>
      <c r="F193" s="598"/>
      <c r="G193" s="598"/>
      <c r="H193" s="598"/>
      <c r="I193" s="598"/>
    </row>
    <row r="194" spans="1:9" x14ac:dyDescent="0.2">
      <c r="A194" s="595"/>
      <c r="B194" s="131"/>
      <c r="C194" s="133"/>
      <c r="D194" s="596"/>
      <c r="E194" s="597"/>
      <c r="F194" s="598"/>
      <c r="G194" s="598"/>
      <c r="H194" s="598"/>
      <c r="I194" s="598"/>
    </row>
    <row r="195" spans="1:9" x14ac:dyDescent="0.2">
      <c r="A195" s="595"/>
      <c r="B195" s="131"/>
      <c r="C195" s="133"/>
      <c r="D195" s="596"/>
      <c r="E195" s="597"/>
      <c r="F195" s="598"/>
      <c r="G195" s="598"/>
      <c r="H195" s="598"/>
      <c r="I195" s="598"/>
    </row>
    <row r="196" spans="1:9" x14ac:dyDescent="0.2">
      <c r="A196" s="595"/>
      <c r="B196" s="131"/>
      <c r="C196" s="133"/>
      <c r="D196" s="596"/>
      <c r="E196" s="597"/>
      <c r="F196" s="598"/>
      <c r="G196" s="598"/>
      <c r="H196" s="598"/>
      <c r="I196" s="598"/>
    </row>
    <row r="197" spans="1:9" x14ac:dyDescent="0.2">
      <c r="A197" s="595"/>
      <c r="B197" s="131"/>
      <c r="C197" s="133"/>
      <c r="D197" s="596"/>
      <c r="E197" s="597"/>
      <c r="F197" s="598"/>
      <c r="G197" s="598"/>
      <c r="H197" s="598"/>
      <c r="I197" s="598"/>
    </row>
    <row r="198" spans="1:9" x14ac:dyDescent="0.2">
      <c r="A198" s="595"/>
      <c r="B198" s="131"/>
      <c r="C198" s="133"/>
      <c r="D198" s="596"/>
      <c r="E198" s="597"/>
      <c r="F198" s="598"/>
      <c r="G198" s="598"/>
      <c r="H198" s="598"/>
      <c r="I198" s="598"/>
    </row>
    <row r="199" spans="1:9" x14ac:dyDescent="0.2">
      <c r="A199" s="595"/>
      <c r="B199" s="131"/>
      <c r="C199" s="134"/>
      <c r="D199" s="131"/>
      <c r="E199" s="597"/>
      <c r="F199" s="598"/>
      <c r="G199" s="598"/>
      <c r="H199" s="598"/>
      <c r="I199" s="598"/>
    </row>
    <row r="200" spans="1:9" x14ac:dyDescent="0.2">
      <c r="A200" s="595"/>
      <c r="B200" s="131"/>
      <c r="C200" s="131"/>
      <c r="D200" s="131"/>
      <c r="E200" s="597"/>
      <c r="F200" s="598"/>
      <c r="G200" s="598"/>
      <c r="H200" s="598"/>
      <c r="I200" s="598"/>
    </row>
    <row r="201" spans="1:9" x14ac:dyDescent="0.2">
      <c r="A201" s="595"/>
      <c r="B201" s="994"/>
      <c r="C201" s="994"/>
      <c r="D201" s="994"/>
      <c r="E201" s="134"/>
      <c r="F201" s="597"/>
      <c r="G201" s="597"/>
      <c r="H201" s="597"/>
      <c r="I201" s="597"/>
    </row>
    <row r="202" spans="1:9" x14ac:dyDescent="0.2">
      <c r="A202" s="595"/>
      <c r="B202" s="595"/>
      <c r="C202" s="595"/>
      <c r="D202" s="595"/>
      <c r="E202" s="595"/>
      <c r="F202" s="595"/>
      <c r="G202" s="595"/>
      <c r="H202" s="595"/>
      <c r="I202" s="595"/>
    </row>
    <row r="203" spans="1:9" x14ac:dyDescent="0.2">
      <c r="A203" s="595"/>
      <c r="B203" s="595"/>
      <c r="C203" s="595"/>
      <c r="D203" s="595"/>
      <c r="E203" s="595"/>
      <c r="F203" s="595"/>
      <c r="G203" s="595"/>
      <c r="H203" s="595"/>
      <c r="I203" s="595"/>
    </row>
    <row r="204" spans="1:9" x14ac:dyDescent="0.2">
      <c r="A204" s="595"/>
      <c r="B204" s="595"/>
      <c r="C204" s="595"/>
      <c r="D204" s="595"/>
      <c r="E204" s="595"/>
      <c r="F204" s="595"/>
      <c r="G204" s="595"/>
      <c r="H204" s="595"/>
      <c r="I204" s="595"/>
    </row>
    <row r="205" spans="1:9" x14ac:dyDescent="0.2">
      <c r="A205" s="595"/>
      <c r="B205" s="595"/>
      <c r="C205" s="595"/>
      <c r="D205" s="595"/>
      <c r="E205" s="595"/>
      <c r="F205" s="595"/>
      <c r="G205" s="595"/>
      <c r="H205" s="595"/>
      <c r="I205" s="595"/>
    </row>
    <row r="206" spans="1:9" x14ac:dyDescent="0.2">
      <c r="A206" s="595"/>
      <c r="B206" s="595"/>
      <c r="C206" s="595"/>
      <c r="D206" s="595"/>
      <c r="E206" s="595"/>
      <c r="F206" s="595"/>
      <c r="G206" s="595"/>
      <c r="H206" s="595"/>
      <c r="I206" s="595"/>
    </row>
    <row r="207" spans="1:9" x14ac:dyDescent="0.2">
      <c r="A207" s="595"/>
      <c r="B207" s="595"/>
      <c r="C207" s="595"/>
      <c r="D207" s="595"/>
      <c r="E207" s="595"/>
      <c r="F207" s="595"/>
      <c r="G207" s="595"/>
      <c r="H207" s="595"/>
      <c r="I207" s="595"/>
    </row>
    <row r="208" spans="1:9" x14ac:dyDescent="0.2">
      <c r="A208" s="595"/>
      <c r="B208" s="595"/>
      <c r="C208" s="595"/>
      <c r="D208" s="595"/>
      <c r="E208" s="595"/>
      <c r="F208" s="595"/>
      <c r="G208" s="595"/>
      <c r="H208" s="595"/>
      <c r="I208" s="595"/>
    </row>
    <row r="209" spans="1:9" x14ac:dyDescent="0.2">
      <c r="A209" s="595"/>
      <c r="B209" s="595"/>
      <c r="C209" s="595"/>
      <c r="D209" s="595"/>
      <c r="E209" s="595"/>
      <c r="F209" s="595"/>
      <c r="G209" s="595"/>
      <c r="H209" s="595"/>
      <c r="I209" s="595"/>
    </row>
    <row r="210" spans="1:9" x14ac:dyDescent="0.2">
      <c r="A210" s="595"/>
      <c r="B210" s="595"/>
      <c r="C210" s="595"/>
      <c r="D210" s="595"/>
      <c r="E210" s="595"/>
      <c r="F210" s="595"/>
      <c r="G210" s="595"/>
      <c r="H210" s="595"/>
      <c r="I210" s="595"/>
    </row>
    <row r="211" spans="1:9" x14ac:dyDescent="0.2">
      <c r="A211" s="595"/>
      <c r="B211" s="595"/>
      <c r="C211" s="595"/>
      <c r="D211" s="595"/>
      <c r="E211" s="595"/>
      <c r="F211" s="595"/>
      <c r="G211" s="595"/>
      <c r="H211" s="595"/>
      <c r="I211" s="595"/>
    </row>
    <row r="212" spans="1:9" x14ac:dyDescent="0.2">
      <c r="A212" s="595"/>
      <c r="B212" s="595"/>
      <c r="C212" s="595"/>
      <c r="D212" s="595"/>
      <c r="E212" s="595"/>
      <c r="F212" s="595"/>
      <c r="G212" s="595"/>
      <c r="H212" s="595"/>
      <c r="I212" s="595"/>
    </row>
  </sheetData>
  <mergeCells count="64">
    <mergeCell ref="M2:M4"/>
    <mergeCell ref="R2:R4"/>
    <mergeCell ref="O85:O88"/>
    <mergeCell ref="O2:O4"/>
    <mergeCell ref="Q2:Q4"/>
    <mergeCell ref="P2:P4"/>
    <mergeCell ref="B201:D201"/>
    <mergeCell ref="B171:D171"/>
    <mergeCell ref="B191:D191"/>
    <mergeCell ref="M85:M88"/>
    <mergeCell ref="L85:L88"/>
    <mergeCell ref="B181:D181"/>
    <mergeCell ref="B161:D161"/>
    <mergeCell ref="AV91:AV93"/>
    <mergeCell ref="T85:T88"/>
    <mergeCell ref="Y85:Y88"/>
    <mergeCell ref="X85:X88"/>
    <mergeCell ref="W85:W88"/>
    <mergeCell ref="Z85:Z88"/>
    <mergeCell ref="V85:V88"/>
    <mergeCell ref="U85:U88"/>
    <mergeCell ref="AB85:AB88"/>
    <mergeCell ref="S85:S88"/>
    <mergeCell ref="N85:N88"/>
    <mergeCell ref="P85:P88"/>
    <mergeCell ref="R85:R88"/>
    <mergeCell ref="AA2:AA4"/>
    <mergeCell ref="S2:S4"/>
    <mergeCell ref="W2:W4"/>
    <mergeCell ref="X2:X4"/>
    <mergeCell ref="U2:U4"/>
    <mergeCell ref="V2:V4"/>
    <mergeCell ref="AA85:AA88"/>
    <mergeCell ref="N2:N4"/>
    <mergeCell ref="Q85:Q88"/>
    <mergeCell ref="A1:A4"/>
    <mergeCell ref="C1:E2"/>
    <mergeCell ref="C3:D3"/>
    <mergeCell ref="E3:E4"/>
    <mergeCell ref="M1:AV1"/>
    <mergeCell ref="AU2:AU4"/>
    <mergeCell ref="T2:T4"/>
    <mergeCell ref="AV2:AV4"/>
    <mergeCell ref="AL2:AL4"/>
    <mergeCell ref="AS2:AS4"/>
    <mergeCell ref="AH2:AH4"/>
    <mergeCell ref="AO2:AO4"/>
    <mergeCell ref="AB2:AB4"/>
    <mergeCell ref="Y2:Y4"/>
    <mergeCell ref="Z2:Z4"/>
    <mergeCell ref="AD2:AD4"/>
    <mergeCell ref="AC2:AC4"/>
    <mergeCell ref="AJ2:AJ4"/>
    <mergeCell ref="AE2:AE4"/>
    <mergeCell ref="AT2:AT4"/>
    <mergeCell ref="AR2:AR4"/>
    <mergeCell ref="AN2:AN4"/>
    <mergeCell ref="AQ2:AQ4"/>
    <mergeCell ref="AP2:AP4"/>
    <mergeCell ref="AM2:AM4"/>
    <mergeCell ref="AI2:AI4"/>
    <mergeCell ref="AG2:AG4"/>
    <mergeCell ref="AF2:AF4"/>
    <mergeCell ref="AK2:AK4"/>
  </mergeCells>
  <phoneticPr fontId="2" type="noConversion"/>
  <pageMargins left="0.75" right="0.75" top="1" bottom="1" header="0.5" footer="0.5"/>
  <pageSetup paperSize="8" scale="60" orientation="portrait" r:id="rId1"/>
  <headerFooter alignWithMargins="0">
    <oddHeader>&amp;L&amp;"Times,Félkövér"&amp;14Levél Község 
   Önkormányzata&amp;C&amp;"Times,Félkövér"&amp;14Önkormányzat
2018. évi &amp;R&amp;"Times,Normál"&amp;12 9. melléklet
Adatok:  Ft-ban</oddHeader>
  </headerFooter>
  <rowBreaks count="1" manualBreakCount="1">
    <brk id="88" max="6" man="1"/>
  </rowBreaks>
  <colBreaks count="2" manualBreakCount="2">
    <brk id="10" max="1048575" man="1"/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8</vt:i4>
      </vt:variant>
    </vt:vector>
  </HeadingPairs>
  <TitlesOfParts>
    <vt:vector size="28" baseType="lpstr">
      <vt:lpstr>Ktvetési mérleg</vt:lpstr>
      <vt:lpstr>Műk-felh.mérleg</vt:lpstr>
      <vt:lpstr>Bevétel össz.</vt:lpstr>
      <vt:lpstr>Kiadás ktgvszervenként</vt:lpstr>
      <vt:lpstr>Állami</vt:lpstr>
      <vt:lpstr>Ber.-felú.</vt:lpstr>
      <vt:lpstr>Pénze.átadás</vt:lpstr>
      <vt:lpstr>Szoc.jutt.</vt:lpstr>
      <vt:lpstr>Önkormányzat</vt:lpstr>
      <vt:lpstr>Óvoda</vt:lpstr>
      <vt:lpstr>Ei. felh.terv</vt:lpstr>
      <vt:lpstr>Élelm.</vt:lpstr>
      <vt:lpstr>Címrend</vt:lpstr>
      <vt:lpstr>Létszám</vt:lpstr>
      <vt:lpstr>gördülő</vt:lpstr>
      <vt:lpstr>stab.tv saját bevétel</vt:lpstr>
      <vt:lpstr>Maradványkimutatás önkormányzat</vt:lpstr>
      <vt:lpstr>Maradványkimutatás Óvoda</vt:lpstr>
      <vt:lpstr>Önkormányzat vagyonmérleg</vt:lpstr>
      <vt:lpstr>Óvoda vagyonmérleg</vt:lpstr>
      <vt:lpstr>Állami!Nyomtatási_terület</vt:lpstr>
      <vt:lpstr>'Ber.-felú.'!Nyomtatási_terület</vt:lpstr>
      <vt:lpstr>Címrend!Nyomtatási_terület</vt:lpstr>
      <vt:lpstr>'Ei. felh.terv'!Nyomtatási_terület</vt:lpstr>
      <vt:lpstr>gördülő!Nyomtatási_terület</vt:lpstr>
      <vt:lpstr>'Kiadás ktgvszervenként'!Nyomtatási_terület</vt:lpstr>
      <vt:lpstr>Óvoda!Nyomtatási_terület</vt:lpstr>
      <vt:lpstr>Szoc.jutt.!Nyomtatási_terület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Kicsiny.Andrea</cp:lastModifiedBy>
  <cp:lastPrinted>2019-05-23T06:46:56Z</cp:lastPrinted>
  <dcterms:created xsi:type="dcterms:W3CDTF">1997-01-17T14:02:09Z</dcterms:created>
  <dcterms:modified xsi:type="dcterms:W3CDTF">2019-05-29T08:51:24Z</dcterms:modified>
</cp:coreProperties>
</file>