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80" windowWidth="19320" windowHeight="10230" activeTab="0"/>
  </bookViews>
  <sheets>
    <sheet name="Bevétel" sheetId="1" r:id="rId1"/>
    <sheet name="Kiadás" sheetId="2" r:id="rId2"/>
    <sheet name="Bev.intézményenként" sheetId="3" r:id="rId3"/>
    <sheet name="Kiad.intézményenként" sheetId="4" r:id="rId4"/>
    <sheet name="Létszám" sheetId="5" r:id="rId5"/>
    <sheet name="Átadott" sheetId="6" r:id="rId6"/>
    <sheet name="Társ.és szoc.pol.támog." sheetId="7" r:id="rId7"/>
    <sheet name="Felhalm.kiad." sheetId="8" r:id="rId8"/>
    <sheet name="Felhalm.bev." sheetId="9" r:id="rId9"/>
    <sheet name="Felhalm.bev.és kiad.mérlege" sheetId="10" r:id="rId10"/>
    <sheet name="Állami" sheetId="11" r:id="rId11"/>
    <sheet name="ÖK és PH kiadásai" sheetId="12" r:id="rId12"/>
    <sheet name="Köt.és nem köt.fel.kia.és forrá" sheetId="13" r:id="rId13"/>
    <sheet name="Közössgi ellátás" sheetId="14" r:id="rId14"/>
    <sheet name="Saját bev." sheetId="15" r:id="rId15"/>
    <sheet name="ÖK elői.felhaszn. terve" sheetId="16" r:id="rId16"/>
    <sheet name="ÖK.likviditási terve" sheetId="17" r:id="rId17"/>
    <sheet name="ESZESZ elői.felhaszn.terve" sheetId="18" r:id="rId18"/>
    <sheet name="PH elői.felhaszn.terve" sheetId="19" r:id="rId19"/>
    <sheet name="Városellátó elői.felhaszn.terve" sheetId="20" r:id="rId20"/>
    <sheet name="Könyvtár elői.felhaszn.terve" sheetId="21" r:id="rId21"/>
    <sheet name="Több éves kihatású köt.váll.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Print_Area" localSheetId="10">'Állami'!$A$1:$D$38</definedName>
    <definedName name="_xlnm.Print_Area" localSheetId="5">'Átadott'!$A$1:$D$48</definedName>
    <definedName name="_xlnm.Print_Area" localSheetId="2">'Bev.intézményenként'!$A$1:$M$35</definedName>
    <definedName name="_xlnm.Print_Area" localSheetId="0">'Bevétel'!$A$1:$F$115</definedName>
    <definedName name="_xlnm.Print_Area" localSheetId="17">'ESZESZ elői.felhaszn.terve'!$A$1:$P$33</definedName>
    <definedName name="_xlnm.Print_Area" localSheetId="8">'Felhalm.bev.'!$A$1:$D$21</definedName>
    <definedName name="_xlnm.Print_Area" localSheetId="9">'Felhalm.bev.és kiad.mérlege'!$A$1:$G$25</definedName>
    <definedName name="_xlnm.Print_Area" localSheetId="7">'Felhalm.kiad.'!$A$1:$D$33</definedName>
    <definedName name="_xlnm.Print_Area" localSheetId="3">'Kiad.intézményenként'!$A$1:$M$36</definedName>
    <definedName name="_xlnm.Print_Area" localSheetId="1">'Kiadás'!$A$1:$G$33</definedName>
    <definedName name="_xlnm.Print_Area" localSheetId="20">'Könyvtár elői.felhaszn.terve'!$A$1:$P$32</definedName>
    <definedName name="_xlnm.Print_Area" localSheetId="12">'Köt.és nem köt.fel.kia.és forrá'!$A$1:$Z$74</definedName>
    <definedName name="_xlnm.Print_Area" localSheetId="13">'Közössgi ellátás'!$A$1:$H$74</definedName>
    <definedName name="_xlnm.Print_Area" localSheetId="4">'Létszám'!$A$1:$D$25</definedName>
    <definedName name="_xlnm.Print_Area" localSheetId="15">'ÖK elői.felhaszn. terve'!$A$1:$P$30</definedName>
    <definedName name="_xlnm.Print_Area" localSheetId="11">'ÖK és PH kiadásai'!$A$1:$K$29</definedName>
    <definedName name="_xlnm.Print_Area" localSheetId="16">'ÖK.likviditási terve'!$A$1:$O$29</definedName>
    <definedName name="_xlnm.Print_Area" localSheetId="18">'PH elői.felhaszn.terve'!$A$1:$P$33</definedName>
    <definedName name="_xlnm.Print_Area" localSheetId="6">'Társ.és szoc.pol.támog.'!$A$1:$L$31</definedName>
    <definedName name="_xlnm.Print_Area" localSheetId="21">'Több éves kihatású köt.váll.'!$A$1:$N$24</definedName>
    <definedName name="_xlnm.Print_Area" localSheetId="19">'Városellátó elői.felhaszn.terve'!$A$1:$P$33</definedName>
  </definedNames>
  <calcPr fullCalcOnLoad="1"/>
</workbook>
</file>

<file path=xl/sharedStrings.xml><?xml version="1.0" encoding="utf-8"?>
<sst xmlns="http://schemas.openxmlformats.org/spreadsheetml/2006/main" count="1746" uniqueCount="643">
  <si>
    <t>Intézmény/ jogcím</t>
  </si>
  <si>
    <t>Int.bev.</t>
  </si>
  <si>
    <t>Pénzm.</t>
  </si>
  <si>
    <t>Átvett pénzeszköz</t>
  </si>
  <si>
    <t>Finansz.</t>
  </si>
  <si>
    <t>Összesen</t>
  </si>
  <si>
    <t>Kiadás</t>
  </si>
  <si>
    <t>műk.</t>
  </si>
  <si>
    <t>PM</t>
  </si>
  <si>
    <t>felh.</t>
  </si>
  <si>
    <t>Állami támogatás</t>
  </si>
  <si>
    <t>A</t>
  </si>
  <si>
    <t>B</t>
  </si>
  <si>
    <t>C</t>
  </si>
  <si>
    <t>D</t>
  </si>
  <si>
    <t>E</t>
  </si>
  <si>
    <t>F</t>
  </si>
  <si>
    <t>G</t>
  </si>
  <si>
    <t>H</t>
  </si>
  <si>
    <t>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</si>
  <si>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</si>
  <si>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</si>
  <si>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</si>
  <si>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</si>
  <si>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</si>
  <si>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</si>
  <si>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</si>
  <si>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</si>
  <si>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</si>
  <si>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</si>
  <si>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</si>
  <si>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</si>
  <si>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</si>
  <si>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</si>
  <si>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</si>
  <si>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</si>
  <si>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</si>
  <si>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</si>
  <si>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Kiadás összesen</t>
  </si>
  <si>
    <t>felhalm.</t>
  </si>
  <si>
    <t>19.</t>
  </si>
  <si>
    <t>Battonya Város Önkormányzata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</si>
  <si>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</si>
  <si>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</si>
  <si>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</si>
  <si>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</si>
  <si>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</si>
  <si>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</si>
  <si>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</si>
  <si>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</si>
  <si>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</si>
  <si>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</si>
  <si>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</si>
  <si>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Önkormányzat mindössz.</t>
  </si>
  <si>
    <t>2013.évi er.ei.</t>
  </si>
  <si>
    <t>év</t>
  </si>
  <si>
    <t>szem.jutt</t>
  </si>
  <si>
    <t>járulék</t>
  </si>
  <si>
    <t>dologi</t>
  </si>
  <si>
    <t>műk.össz.</t>
  </si>
  <si>
    <t>átadott pénzeszközök</t>
  </si>
  <si>
    <t>összesen</t>
  </si>
  <si>
    <t>segély</t>
  </si>
  <si>
    <t>I</t>
  </si>
  <si>
    <t>Városi Művelődési Központ és Könyvtár</t>
  </si>
  <si>
    <t>Önkormányzat mindösszesen</t>
  </si>
  <si>
    <t>Átadott pénzeszközök  ( eFt-ban )</t>
  </si>
  <si>
    <t>Megnevezés</t>
  </si>
  <si>
    <t>er.ei.</t>
  </si>
  <si>
    <t>Működésre átadott összesen</t>
  </si>
  <si>
    <t>Felhalmozásra átadott</t>
  </si>
  <si>
    <t>Átadott pénzeszköz összesen</t>
  </si>
  <si>
    <t>Polgármesteri Hivatal</t>
  </si>
  <si>
    <t>Iskolai étkeztetés támogatása</t>
  </si>
  <si>
    <t>Társadalom- és szociálpolitikai juttatások (eFt-ban)</t>
  </si>
  <si>
    <t>Saját forr.</t>
  </si>
  <si>
    <t>Külső forr.</t>
  </si>
  <si>
    <t>Polghiv.</t>
  </si>
  <si>
    <t>Önk.</t>
  </si>
  <si>
    <t>Rendszeres szociális segély</t>
  </si>
  <si>
    <t>Lakásfenntartási támogatás</t>
  </si>
  <si>
    <t>Egyes jövedelempótló támogatás összesen</t>
  </si>
  <si>
    <t>Temetési segély</t>
  </si>
  <si>
    <t>Átmeneti segély</t>
  </si>
  <si>
    <t>Családok átmeneti gondozása(Orosháza)</t>
  </si>
  <si>
    <t>Rendkívüli gyermekvédelmi tám.</t>
  </si>
  <si>
    <t>Rászorultságtól függő ellátás</t>
  </si>
  <si>
    <t>Köztemetés</t>
  </si>
  <si>
    <t>Természetben nyújtott összesen</t>
  </si>
  <si>
    <t>Óvodáztatási támogatás</t>
  </si>
  <si>
    <t>Ingyenes nyári gyermekétkeztetés</t>
  </si>
  <si>
    <t>Mindösszesen önk.által folyósított szoc.ellátás</t>
  </si>
  <si>
    <t>Szociális segélyek összesen</t>
  </si>
  <si>
    <t>Felhalmozási kiadások eft-ban</t>
  </si>
  <si>
    <t>Beruházási kiadás</t>
  </si>
  <si>
    <t>Felújítási kiadás</t>
  </si>
  <si>
    <t>Mindösszesen</t>
  </si>
  <si>
    <t>Bevételek</t>
  </si>
  <si>
    <t>I.Saját bevételek</t>
  </si>
  <si>
    <t>Intézményi bevételek</t>
  </si>
  <si>
    <t xml:space="preserve"> -intézményi működési bevétel</t>
  </si>
  <si>
    <t xml:space="preserve"> -közhatalmi bevétel</t>
  </si>
  <si>
    <t xml:space="preserve"> -működési c. kamat bevétel</t>
  </si>
  <si>
    <t>Kommunális adó</t>
  </si>
  <si>
    <t xml:space="preserve"> -magánszemélyek</t>
  </si>
  <si>
    <t>Iparűzési adó</t>
  </si>
  <si>
    <t>Turisztikai adó</t>
  </si>
  <si>
    <t>Talajterhelési díj</t>
  </si>
  <si>
    <t>Pótlék, bírság</t>
  </si>
  <si>
    <t>II. Átengedett bevételek</t>
  </si>
  <si>
    <t>Gépjármű adó</t>
  </si>
  <si>
    <t>Termőföld SZJA</t>
  </si>
  <si>
    <t>III. Állami hozzájárulás</t>
  </si>
  <si>
    <t xml:space="preserve">IV. Átvett pénzeszközök, visszatérülések  </t>
  </si>
  <si>
    <t>Működésre átvett pénzeszközök</t>
  </si>
  <si>
    <t>TB</t>
  </si>
  <si>
    <t>Kiegészítő támogatás egyes jövpótló fel.</t>
  </si>
  <si>
    <t xml:space="preserve">Mezőőri szolgálatra átvett     </t>
  </si>
  <si>
    <t>Vállalkozók mezőőri hozzájárulása</t>
  </si>
  <si>
    <t>Szenvedélybetegek Közösségi Ellátása</t>
  </si>
  <si>
    <t>Önkormányzati dolgozóknak nyújtott kölcsönök</t>
  </si>
  <si>
    <t>Költségvetési bevételek összesen</t>
  </si>
  <si>
    <t>Bevételek összesen</t>
  </si>
  <si>
    <t>Kiadások összesen</t>
  </si>
  <si>
    <t>függő bev</t>
  </si>
  <si>
    <t>Kiadások</t>
  </si>
  <si>
    <t>I.</t>
  </si>
  <si>
    <t>fő</t>
  </si>
  <si>
    <t>I.1.bb) Közvilágítás fenntartásának támogatása</t>
  </si>
  <si>
    <t>I.1.bc) Köztemető fenntartással kapcsolatos feladatok támogatása</t>
  </si>
  <si>
    <t>I.1.bd) Közutak fenntartásának támogatása</t>
  </si>
  <si>
    <t>III.</t>
  </si>
  <si>
    <t>IV.</t>
  </si>
  <si>
    <t>II.</t>
  </si>
  <si>
    <t>Egészségügyi és Szociális  Ellátó Szervezet</t>
  </si>
  <si>
    <t>V.</t>
  </si>
  <si>
    <t>VI.</t>
  </si>
  <si>
    <t>VII.</t>
  </si>
  <si>
    <t>VIII.</t>
  </si>
  <si>
    <t>IX.</t>
  </si>
  <si>
    <t>Szociális segélyezés járulékokkal</t>
  </si>
  <si>
    <t xml:space="preserve">          Saját forrás</t>
  </si>
  <si>
    <t xml:space="preserve">          Külső forrás</t>
  </si>
  <si>
    <t>Működésre átadott pénzeszközök</t>
  </si>
  <si>
    <t>Felhalmozásra átadott pénzeszköz</t>
  </si>
  <si>
    <t>Felhalmozási kiadások</t>
  </si>
  <si>
    <t xml:space="preserve">               -beruházás</t>
  </si>
  <si>
    <t xml:space="preserve">               - felújítás</t>
  </si>
  <si>
    <t>Költségvetési kiadások összesen</t>
  </si>
  <si>
    <t>Bevétel összesen</t>
  </si>
  <si>
    <t>Felhalmozási bevételek</t>
  </si>
  <si>
    <t>Jogcím</t>
  </si>
  <si>
    <t>Felhalmozási célú kölcsön visszatérülés</t>
  </si>
  <si>
    <t>Felhalmozási bevételek összesen</t>
  </si>
  <si>
    <t>bevételek</t>
  </si>
  <si>
    <t>kiadások</t>
  </si>
  <si>
    <t>megnevezés</t>
  </si>
  <si>
    <t>Beruházási feladatok</t>
  </si>
  <si>
    <t>Felújítási kiadások</t>
  </si>
  <si>
    <t>Kötvény kamata</t>
  </si>
  <si>
    <t>Felhalmozási kiadás összesen</t>
  </si>
  <si>
    <t>Bevétel - kiadás</t>
  </si>
  <si>
    <t>Több éves kihatású kötelezettségvállalások ( eFt-ban)</t>
  </si>
  <si>
    <t>Hitelvisszafizetési kötelezettség</t>
  </si>
  <si>
    <t>"BATTONYA 2027" kötvény</t>
  </si>
  <si>
    <t>2013. április 01-től félévetne 0,0333 CHF -2027. október 01-ig</t>
  </si>
  <si>
    <t>300000 ft, 1.986.361 CHF</t>
  </si>
  <si>
    <t>246 ft-os árfolyamon</t>
  </si>
  <si>
    <t>2010. és 2011. évben megvalósult beruházásokhoz kapcsoslódó önk.saját erő finanszírozása</t>
  </si>
  <si>
    <t>2013. 03-31-tól negyedévente 2.500 eft, 2020.12.31-ig</t>
  </si>
  <si>
    <t>Tőketörlesztés összesen</t>
  </si>
  <si>
    <t>Kamatok</t>
  </si>
  <si>
    <t>Kamatok összesen</t>
  </si>
  <si>
    <t>Adósságszolgálat összesen</t>
  </si>
  <si>
    <t>kiadás</t>
  </si>
  <si>
    <t>889926 KÖZÖSSÉGI ELLÁTÁS</t>
  </si>
  <si>
    <t>Bevétel</t>
  </si>
  <si>
    <t>Személyi juttatás</t>
  </si>
  <si>
    <t>Rendszeres személyi juttatás</t>
  </si>
  <si>
    <t>2 fő közalkalmazott bére</t>
  </si>
  <si>
    <t>ft*1 hó</t>
  </si>
  <si>
    <t>Ft*11 hó</t>
  </si>
  <si>
    <t>Nem rendszeres személyi juttatás</t>
  </si>
  <si>
    <t>munkábajárás ktsg-e</t>
  </si>
  <si>
    <t>Közlekedési költségtérítés</t>
  </si>
  <si>
    <t>szakmai vezető megbízási díja</t>
  </si>
  <si>
    <t>80000*12 hó</t>
  </si>
  <si>
    <t>Személyi juttatás összesen</t>
  </si>
  <si>
    <t>Munkaadókat terhelő járulékok</t>
  </si>
  <si>
    <t>Dologi kiadás</t>
  </si>
  <si>
    <t>irodaszer</t>
  </si>
  <si>
    <t>Könyv, folyóirat, egyéb inf.hord.</t>
  </si>
  <si>
    <t>Szakmai anyag</t>
  </si>
  <si>
    <t>telefon</t>
  </si>
  <si>
    <t xml:space="preserve">mobil </t>
  </si>
  <si>
    <t>vonalas</t>
  </si>
  <si>
    <t>12 hó*12000Ft/hó</t>
  </si>
  <si>
    <t>gázenergia</t>
  </si>
  <si>
    <t>villamosenergia</t>
  </si>
  <si>
    <t>vízdíj</t>
  </si>
  <si>
    <t>karbantartási szolgáltatás</t>
  </si>
  <si>
    <t>egyéb szolgáltatás</t>
  </si>
  <si>
    <t>vásárolt közszolgáltatás</t>
  </si>
  <si>
    <t>pszichiáter megbiz.díj</t>
  </si>
  <si>
    <t>pszichológus 40000Ft/hó</t>
  </si>
  <si>
    <t>továbbképzés</t>
  </si>
  <si>
    <t>előadók díja</t>
  </si>
  <si>
    <t>területre kijárás, továbbképzés utiktsge</t>
  </si>
  <si>
    <t>ÁFA</t>
  </si>
  <si>
    <t>Dologi kiadás összesen</t>
  </si>
  <si>
    <t>889926  Szakfeladat összesen</t>
  </si>
  <si>
    <t>Szoc.hozzájárulási adó</t>
  </si>
  <si>
    <t>Bevétel-kiadás</t>
  </si>
  <si>
    <t>e Ft-ban</t>
  </si>
  <si>
    <t>SZAKFELADATOK</t>
  </si>
  <si>
    <t>Személyi juttatások</t>
  </si>
  <si>
    <t>Munkaadót terhelő járulékok</t>
  </si>
  <si>
    <t>Dologi és folyó kiadások</t>
  </si>
  <si>
    <t>Beruházások, felújítások, pénzügyi befektetések</t>
  </si>
  <si>
    <t>Pénzeszköz átadás</t>
  </si>
  <si>
    <t>Ellátottak pénzbeni juttatása</t>
  </si>
  <si>
    <t>Működésre átadott</t>
  </si>
  <si>
    <t>Intézmény finanszírozás</t>
  </si>
  <si>
    <t>Önkormányzati képviselők</t>
  </si>
  <si>
    <t>Polgármesteri Hivatal összesen</t>
  </si>
  <si>
    <t>ÖNKORMÁNYZATI KIADÁSOK</t>
  </si>
  <si>
    <t>Közterületek rendjének fenntartása</t>
  </si>
  <si>
    <t>Közfoglalkoztatás</t>
  </si>
  <si>
    <t>Támogatások</t>
  </si>
  <si>
    <t>Önkormányzat összesen</t>
  </si>
  <si>
    <t>Gyerekház támogatása</t>
  </si>
  <si>
    <t>2012-ben 8950 eft. Előtörlesztés</t>
  </si>
  <si>
    <t>Strandfürdő működési támogatás</t>
  </si>
  <si>
    <t>Egészségügyi és Szociális Ellátó Szervezet</t>
  </si>
  <si>
    <t>járulékok</t>
  </si>
  <si>
    <t xml:space="preserve">dologi </t>
  </si>
  <si>
    <t>Korai fejl..gond.</t>
  </si>
  <si>
    <t>Közösségi ellátás</t>
  </si>
  <si>
    <t>Nappali ellátás</t>
  </si>
  <si>
    <t>Demens</t>
  </si>
  <si>
    <t>Gyerekjólét</t>
  </si>
  <si>
    <t>Családsegítö</t>
  </si>
  <si>
    <t>Házi segítségnyújtás</t>
  </si>
  <si>
    <t>Fogászat</t>
  </si>
  <si>
    <t>Védőnők</t>
  </si>
  <si>
    <t>Ifjúságieü.gondozás</t>
  </si>
  <si>
    <t>Labor</t>
  </si>
  <si>
    <t>Háziorvos</t>
  </si>
  <si>
    <t>műk-re átvett pénz</t>
  </si>
  <si>
    <t>TB fin</t>
  </si>
  <si>
    <t>műk.bev</t>
  </si>
  <si>
    <t>Dologi kiadások</t>
  </si>
  <si>
    <t>kiadások összesen :</t>
  </si>
  <si>
    <t xml:space="preserve"> Víztermelés,-kezelés,-ellátás</t>
  </si>
  <si>
    <t>Egyéb nem veszélyes hulladék gyűjtése, szállítása, átrakása</t>
  </si>
  <si>
    <t xml:space="preserve"> Közutak, hidak, alagutak üzemelt. Fenntartása(buszváró)</t>
  </si>
  <si>
    <t xml:space="preserve"> Intézményi étkeztetés</t>
  </si>
  <si>
    <t xml:space="preserve"> Lakóingatlan bérbeadása, üzemeltetése</t>
  </si>
  <si>
    <t xml:space="preserve"> Nem lakóingatlan bérbeadása, üzemeltetése</t>
  </si>
  <si>
    <t>Állat-egészségügyi ellátás</t>
  </si>
  <si>
    <t>M.n.s. egyéb kiegészítő szolg. -102</t>
  </si>
  <si>
    <t>Közvilágítás</t>
  </si>
  <si>
    <t>Város,-községgazdálkodási m.n.s. szolg.(piac)</t>
  </si>
  <si>
    <t>Sportlétesítmények működtetése és fejlesztése</t>
  </si>
  <si>
    <t>Köztemető fenntartás és működtetés</t>
  </si>
  <si>
    <t>állami</t>
  </si>
  <si>
    <t>Pénzforgalmi mérleg ( e ft-ban )</t>
  </si>
  <si>
    <t>II.félév</t>
  </si>
  <si>
    <t>I.félév</t>
  </si>
  <si>
    <t>Működési kiadások összesen (I-V.)</t>
  </si>
  <si>
    <t>Köztisztviselők, jegyző, polgármesterek</t>
  </si>
  <si>
    <t>Önkéntes tűzoltók</t>
  </si>
  <si>
    <t>intézmény összesen</t>
  </si>
  <si>
    <t>Városellátó Szervezet</t>
  </si>
  <si>
    <t>Önk.igazgatási feladatai</t>
  </si>
  <si>
    <t>Mezőőri szolgálat</t>
  </si>
  <si>
    <t>Önkéntes tűzoltói tevékenység</t>
  </si>
  <si>
    <t>átadott peszk.műk.</t>
  </si>
  <si>
    <t>átadott peszk. felhalm..</t>
  </si>
  <si>
    <t>kiadás össz.</t>
  </si>
  <si>
    <t>kiadás összesen:</t>
  </si>
  <si>
    <t>finanszírozás forrása</t>
  </si>
  <si>
    <t>Szociális étkezés</t>
  </si>
  <si>
    <t>Szociális segélyezés</t>
  </si>
  <si>
    <t>Közművelődési tev.</t>
  </si>
  <si>
    <t>Múzeumi tevékenység</t>
  </si>
  <si>
    <t>Könyvt.áll.gyarapítása</t>
  </si>
  <si>
    <t>Könyvt.áll.védelme</t>
  </si>
  <si>
    <t>Könyvtári szolg.</t>
  </si>
  <si>
    <t>felhal.bev.</t>
  </si>
  <si>
    <t>adó</t>
  </si>
  <si>
    <t>egyéb sajátos</t>
  </si>
  <si>
    <t>többlet bevételű tevékenységekről</t>
  </si>
  <si>
    <t>átengedett</t>
  </si>
  <si>
    <t>kölcsön visszatér</t>
  </si>
  <si>
    <t>bev.összesen</t>
  </si>
  <si>
    <t>tevékenység</t>
  </si>
  <si>
    <t>bevétel</t>
  </si>
  <si>
    <t>Előirányzat-felhasználási terv</t>
  </si>
  <si>
    <t>Ezer forintban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</si>
  <si>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</si>
  <si>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</si>
  <si>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</si>
  <si>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</si>
  <si>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</si>
  <si>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</si>
  <si>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</si>
  <si>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</si>
  <si>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</si>
  <si>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</si>
  <si>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</si>
  <si>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</si>
  <si>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</si>
  <si>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</si>
  <si>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Közhatalmi bevételek</t>
  </si>
  <si>
    <t>Intézményi működési bevételek</t>
  </si>
  <si>
    <t>Támogatások, hozzájárulások bevételei</t>
  </si>
  <si>
    <t>Támogatásértékű bevételek</t>
  </si>
  <si>
    <t>Felhalmozási célú bevételek</t>
  </si>
  <si>
    <t>Átvett pénzeszközök</t>
  </si>
  <si>
    <t>Kölcsönök</t>
  </si>
  <si>
    <t>Előző évi pénzmaradvány, vállalkozási eredmény</t>
  </si>
  <si>
    <t>Bevételek összesen:</t>
  </si>
  <si>
    <t>Munkaadókat terhelő járulékok és szociális hozzájárulási adó</t>
  </si>
  <si>
    <t>Ellátottak pénzbeli juttatása</t>
  </si>
  <si>
    <t>Támogatások, elvonások</t>
  </si>
  <si>
    <t>Támogatásértékű kiadások</t>
  </si>
  <si>
    <t>Lakosságnak juttatott tám., szociális, rászorultság jellegű tám.</t>
  </si>
  <si>
    <t>Tartalékok</t>
  </si>
  <si>
    <t>Hitelek kamatai</t>
  </si>
  <si>
    <t>Felhalmozási költségvetés kiadásai</t>
  </si>
  <si>
    <t>Finanszírozási célú kiadások</t>
  </si>
  <si>
    <t>Kiadások összesen:</t>
  </si>
  <si>
    <t>Egyenleg</t>
  </si>
  <si>
    <t>Nyitó pénzkészlet</t>
  </si>
  <si>
    <t>-----</t>
  </si>
  <si>
    <t>Finanszírozási célú bevételek</t>
  </si>
  <si>
    <t>Egyenleg (10-23)</t>
  </si>
  <si>
    <t>Battonyai Polgármesteri Hivatal</t>
  </si>
  <si>
    <t>Felhalmozási célú kamat</t>
  </si>
  <si>
    <t>intézmény</t>
  </si>
  <si>
    <t>Battonya Város Önkormányzatának 2013. évi engedélyezett létszámkerete</t>
  </si>
  <si>
    <t xml:space="preserve">Közfoglalkoztatás </t>
  </si>
  <si>
    <t>Battonya Város Önkormányzat saját bevételeinek részletezése az adósságot keletkeztető ügyletből származó tárgyévi fizetési kötelezettség megállapításához</t>
  </si>
  <si>
    <t xml:space="preserve">Ezer forintban </t>
  </si>
  <si>
    <t>Bevételi jogcímek</t>
  </si>
  <si>
    <t>Helyi adók</t>
  </si>
  <si>
    <t>Osztalékok, koncessziós díjak, hozam</t>
  </si>
  <si>
    <t>Díjak, pótlékok bírságok</t>
  </si>
  <si>
    <t>Tárgyi eszközök, immateriális javak, vagyoni értékű jog értékesítése, vagyonhasznosításból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</si>
  <si>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</si>
  <si>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</si>
  <si>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</si>
  <si>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</si>
  <si>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</si>
  <si>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 xml:space="preserve">Fizikoterápia </t>
  </si>
  <si>
    <t>Egészségügyi és Szociális Ellátó Szervezet Előirányzat-felhasználási terv</t>
  </si>
  <si>
    <t>Városellátó  Szervezet Előirányzat-felhasználási terv</t>
  </si>
  <si>
    <t>Városi Művelődési Központ és Könyvtár Előirányzat-felhasználási terv</t>
  </si>
  <si>
    <t>Támogatások, hozzájárulások, sajátos</t>
  </si>
  <si>
    <t xml:space="preserve">B </t>
  </si>
  <si>
    <t>K</t>
  </si>
  <si>
    <t>L</t>
  </si>
  <si>
    <t xml:space="preserve">A </t>
  </si>
  <si>
    <t>M</t>
  </si>
  <si>
    <t>jogcím/ intézmény</t>
  </si>
  <si>
    <t xml:space="preserve">I </t>
  </si>
  <si>
    <t xml:space="preserve">J </t>
  </si>
  <si>
    <t xml:space="preserve">N </t>
  </si>
  <si>
    <t>O</t>
  </si>
  <si>
    <t>P</t>
  </si>
  <si>
    <t xml:space="preserve">J  </t>
  </si>
  <si>
    <t>2013.mód.ei</t>
  </si>
  <si>
    <t>2013.évi mód.ei.</t>
  </si>
  <si>
    <t>pályázat</t>
  </si>
  <si>
    <t>Erzsébet utalvány</t>
  </si>
  <si>
    <t>2014.évi er.ei.</t>
  </si>
  <si>
    <t>2014.</t>
  </si>
  <si>
    <t>Felhalmozási tartalék</t>
  </si>
  <si>
    <t xml:space="preserve">E </t>
  </si>
  <si>
    <t>2014. évi felhalmozási bevételek és kiadások bemutatása mérlegszerűen, eft-ban</t>
  </si>
  <si>
    <t>Időskorúak járadéka</t>
  </si>
  <si>
    <t>Ápolási díj</t>
  </si>
  <si>
    <t>Mutató</t>
  </si>
  <si>
    <t xml:space="preserve"> I. A HELYI ÖNKORMÁNYZATOK MŰKÖDÉSÉNEK ÁLTALÁNOS TÁMOGATÁSA</t>
  </si>
  <si>
    <t>I.1.a) Önkormányzati hivatal működésének támogatása</t>
  </si>
  <si>
    <t>I.1.a) Önkormányzati hivatal működésének támogatása - elismert hivatali létszám alapján</t>
  </si>
  <si>
    <t xml:space="preserve">I.1.a) - V. Önkormányzati hivatal működésének támogatása - beszámítás után
</t>
  </si>
  <si>
    <t>I.1.b) Település-üzemeltetéshez kapcsolódó feladatellátás támogatása összesen</t>
  </si>
  <si>
    <t>I.1.b) - V. Támogatás összesen - beszámítás után</t>
  </si>
  <si>
    <t>I.1.ba) A zöldterület-gazdálkodással kapcsolatos feladatok ellátásának támogatása</t>
  </si>
  <si>
    <t>I.1.ba) - V. A zöldterület-gazdálkodással kapcsolatos feladatok ellátásának támogatása - beszámítás után</t>
  </si>
  <si>
    <t xml:space="preserve">I.1.bb) - V. Közvilágítás fenntartásának támogatása - beszámítás után
</t>
  </si>
  <si>
    <t>I.1.bc) - V. Köztemető fenntartással kapcsolatos feladatok támogatása - beszámítás után</t>
  </si>
  <si>
    <t>I.1.bd) - V. Közutak fenntartásának támogatása - beszámítás után</t>
  </si>
  <si>
    <t>I.1.c) Egyéb önkormányzati feladatok támogatása</t>
  </si>
  <si>
    <t xml:space="preserve">I.1.c) - V. Egyéb önkormányzati feladatok támogatása - beszámítás után 
</t>
  </si>
  <si>
    <t xml:space="preserve">I.2. Nem közművel összegyűjtött háztartási szennyvíz ártalmatlanítása 
</t>
  </si>
  <si>
    <t>köbméter</t>
  </si>
  <si>
    <t>V. Info Beszámítás</t>
  </si>
  <si>
    <t xml:space="preserve"> III. A TELEPÜLÉSI ÖNKORMÁNYZATOK SZOCIÁLIS ÉS GYERMEKJÓLÉTI FELADATAINAK TÁMOGATÁSA</t>
  </si>
  <si>
    <t xml:space="preserve">III.2. Hozzájárulás a pénzbeli szociális ellátásokhoz </t>
  </si>
  <si>
    <t>III.2. - V. Hozzájárulás a pénzbeli szociális ellátásokhoz beszámítás után</t>
  </si>
  <si>
    <t>III.3. Egyes szociális és gyermekjóléti feladatok támogatása</t>
  </si>
  <si>
    <t>III.3.a (1) Szociális és gyermekjóléti alapszolgáltatások általános feladatai - családsegítés</t>
  </si>
  <si>
    <t>III.3.aa (1) 70 000 fő lakosságszámig működési engedéllyel családsegítés</t>
  </si>
  <si>
    <t>III.3.a (2) Szociális és gyermekjóléti alapszolgáltatások általános feladatai - gyermekjóléti szolgálat</t>
  </si>
  <si>
    <t>III.3.aa (2) 70 000 fő lakosságszámig működési engedéllyel - gyermekjóléti szolgálat</t>
  </si>
  <si>
    <t>III.3.b gyermekjóléti központ</t>
  </si>
  <si>
    <t>működési hó</t>
  </si>
  <si>
    <t>III.3.c (1) szociális étkeztetés</t>
  </si>
  <si>
    <t>III.3.d (1) házi segítségnyújtás</t>
  </si>
  <si>
    <t>III.3.f Időskorúak nappali intézményi ellátása</t>
  </si>
  <si>
    <t>III.3.f (1) időskorúak nappali intézményi ellátása</t>
  </si>
  <si>
    <t xml:space="preserve">III.3.g Fogyatékos és demens személyek nappali intézményi ellátása </t>
  </si>
  <si>
    <t>III.3.g (5) demens személyek nappali intézményi ellátása</t>
  </si>
  <si>
    <t>X.</t>
  </si>
  <si>
    <t>Finanszírozási műveletek</t>
  </si>
  <si>
    <t>Felhalmozási c. hitel törlesztése</t>
  </si>
  <si>
    <t>2013.</t>
  </si>
  <si>
    <t>Felhalmozási és tőkejellegű bevétel</t>
  </si>
  <si>
    <t>menny.e</t>
  </si>
  <si>
    <t>2014. évre</t>
  </si>
  <si>
    <t>Battonya Város Önkormányzat előirányzat felhasználási terve
2014. évre</t>
  </si>
  <si>
    <t xml:space="preserve">5830 Battonya, Hunyadi u. </t>
  </si>
  <si>
    <t>2014. évi költségvetés</t>
  </si>
  <si>
    <t>2013. dec.31</t>
  </si>
  <si>
    <t>2014.jan.01</t>
  </si>
  <si>
    <t>22 nap*36 km*9Ft/km*12 hó</t>
  </si>
  <si>
    <t>Külsős megbizási díj,és további jogviszony</t>
  </si>
  <si>
    <t>rendszeres szem.juttatás</t>
  </si>
  <si>
    <t>ft*27%</t>
  </si>
  <si>
    <t>külső személyi juttatás</t>
  </si>
  <si>
    <t>ft*90%*27%</t>
  </si>
  <si>
    <t>Munkaadókat terhelő árulék összesen</t>
  </si>
  <si>
    <t>3*4000Ft/hó</t>
  </si>
  <si>
    <t>ft*12hó</t>
  </si>
  <si>
    <t>ft*6hó</t>
  </si>
  <si>
    <t>alkalmassági vizsgálat</t>
  </si>
  <si>
    <t>ft*2fő</t>
  </si>
  <si>
    <t xml:space="preserve"> </t>
  </si>
  <si>
    <t>Strandfürdő</t>
  </si>
  <si>
    <t>Központi költségvetéstől átvett</t>
  </si>
  <si>
    <t>Városnap</t>
  </si>
  <si>
    <t>Számítógéppark cseréje az önkormányzatnál</t>
  </si>
  <si>
    <t>Gimnázium hőszolgáltatás kiváltása</t>
  </si>
  <si>
    <t>2014. ÉVI SZÖVEGES KÖLTSÉGVETÉS ÖSSZESÍTŐ</t>
  </si>
  <si>
    <t>felhalm.bev.</t>
  </si>
  <si>
    <t>Átadott felhalmozásra</t>
  </si>
  <si>
    <t>Felhalmozási bevétel áfa befizetés</t>
  </si>
  <si>
    <t>Hősök tere 11. értékesítése</t>
  </si>
  <si>
    <t>Egyéb ingatlan értékesítése</t>
  </si>
  <si>
    <t>Felhalm áfa befizetés</t>
  </si>
  <si>
    <t>Hitelkamatok</t>
  </si>
  <si>
    <t>Mg-i ügyintéző és honlap szerkesztő</t>
  </si>
  <si>
    <t>A HELYI ÖNKORMÁNYZATOK MŰKÖDÉSÉNEK ÁLTALÁNOS TÁMOGATÁSA    ft-ban</t>
  </si>
  <si>
    <t>2014. évben teljes konszolidáció</t>
  </si>
  <si>
    <t>Működési pályázati alap</t>
  </si>
  <si>
    <t>Battonya Város Önkormányzat likvidási terve
2014. évre</t>
  </si>
  <si>
    <t>Temetőbe urnafal építése</t>
  </si>
  <si>
    <t>Foglalkoztatást helyettesítő támogatás</t>
  </si>
  <si>
    <t>Egészségkárosodottak rendszeres szociális segélye</t>
  </si>
  <si>
    <t>Felhalmozási kiadás</t>
  </si>
  <si>
    <t>Önkormányzati segélyek  ( 2014-től    )</t>
  </si>
  <si>
    <t>Jelzőrendszeres házi segítségnyújtás működtetésének támogatása, 15 fő*3.000ft</t>
  </si>
  <si>
    <t>II. IV.1.d. Közművelődési támogatás</t>
  </si>
  <si>
    <t>III.15. Üdülőhelyi feladatok</t>
  </si>
  <si>
    <t>mód.ei.</t>
  </si>
  <si>
    <t>Békés Megyei Ivóvízminőség-javító Program KEOP-1.3.0/09/11-2012-0009   158/2013.(X.14.) KT.határozat</t>
  </si>
  <si>
    <t>Felhalmozási kötelezettségvállalás</t>
  </si>
  <si>
    <t>Felhalmozási kötelezettségvállalás összesen</t>
  </si>
  <si>
    <t>BM EU Önerő Alap KEOP-1.3.0/09-11 pályázathoz</t>
  </si>
  <si>
    <t>Felhalmozásra átvett pénzeszköz</t>
  </si>
  <si>
    <t>mód.ei</t>
  </si>
  <si>
    <t>2014.évi mód.ei.</t>
  </si>
  <si>
    <t>2014.mód.ei.</t>
  </si>
  <si>
    <t>Kölcsön visszatérülés</t>
  </si>
  <si>
    <t>felhalm.átvett peszk.</t>
  </si>
  <si>
    <t>2014. évi előirányzat</t>
  </si>
  <si>
    <t>Közszféra bérkompenzáció</t>
  </si>
  <si>
    <t>Egyes jövedelempótló támogatások</t>
  </si>
  <si>
    <t>Technikai</t>
  </si>
  <si>
    <t>Közmunka</t>
  </si>
  <si>
    <t>Országgyűlési képviselő választás</t>
  </si>
  <si>
    <t>31.</t>
  </si>
  <si>
    <t>32.</t>
  </si>
  <si>
    <t>33.</t>
  </si>
  <si>
    <t>34.</t>
  </si>
  <si>
    <t>35.</t>
  </si>
  <si>
    <t>működési hitel</t>
  </si>
  <si>
    <t xml:space="preserve">  Közművelődési érdekeltségnövelő pályázati alap </t>
  </si>
  <si>
    <t xml:space="preserve">  Múzeumi érdekeltségnövelő pályázati alap</t>
  </si>
  <si>
    <t xml:space="preserve">  Számíthatsz Ránk! Egyesület pályázati önerő</t>
  </si>
  <si>
    <t xml:space="preserve">  Battonyai Polgárőr Egyesület</t>
  </si>
  <si>
    <t xml:space="preserve">  Battonyai Testgyakorlók Köre</t>
  </si>
  <si>
    <t xml:space="preserve">  Battonyai Sakk Egyesület</t>
  </si>
  <si>
    <t xml:space="preserve">  Gödrösöki Sporthorgász Egyesület</t>
  </si>
  <si>
    <t xml:space="preserve">  Városi Önkéntes Tűzoltó Egyesület</t>
  </si>
  <si>
    <t xml:space="preserve">  Barátság  Sportegyesület</t>
  </si>
  <si>
    <t xml:space="preserve">  Fantázia Sport Egyesület</t>
  </si>
  <si>
    <t xml:space="preserve">  Mikes Kelemen Katolikus Gimnázium és Szakképző Iskola</t>
  </si>
  <si>
    <t xml:space="preserve">  Battonyai Általános Iskoláért Alapítvány</t>
  </si>
  <si>
    <t xml:space="preserve">  Közalapítvány a Battonyai Napköziotthonos Óvodákért</t>
  </si>
  <si>
    <t xml:space="preserve">  Lucian Magdu Alapítvány</t>
  </si>
  <si>
    <t xml:space="preserve">  Fodor Manó Helytörténeti Egyesület</t>
  </si>
  <si>
    <t xml:space="preserve">  Battonyai Harangvirág Nyugdíjas Klub</t>
  </si>
  <si>
    <t xml:space="preserve">  Szivárvány néptánccsoport</t>
  </si>
  <si>
    <t xml:space="preserve">  Szabad forrás</t>
  </si>
  <si>
    <t>Pénzmaradvány átadások</t>
  </si>
  <si>
    <t xml:space="preserve">  Battonyai Polgármesteri Hivatal</t>
  </si>
  <si>
    <t xml:space="preserve">  Egészségügyi és Szociális Ellátó Szervezet</t>
  </si>
  <si>
    <t xml:space="preserve">  Városellátó Szervezet</t>
  </si>
  <si>
    <t>Pénzmaradvány átadás</t>
  </si>
  <si>
    <t>2013. évi pénzmaradvány ÖK</t>
  </si>
  <si>
    <t>2013. évi pénzmaradvány Városi Műv. Központ és Könyvtár</t>
  </si>
  <si>
    <t>2014. évi mód.ei.</t>
  </si>
  <si>
    <t>Pénzmaradvány átvételek ÖK-tól</t>
  </si>
  <si>
    <t>2013. évi normatív állami támogatás visszatérülés</t>
  </si>
  <si>
    <t>Pénzmaradvány átvételek ÖK-tól Városi Művelődési Központ és Könyvtár részére</t>
  </si>
  <si>
    <t>Pénzmaradvány</t>
  </si>
  <si>
    <t>EP választás</t>
  </si>
  <si>
    <t>működési célú</t>
  </si>
  <si>
    <t>felhalmozási célú</t>
  </si>
  <si>
    <t>Múzeumi érdekeltségnövelő támogatás</t>
  </si>
  <si>
    <t>Közművelődési érdekeltségnövelő tám.</t>
  </si>
  <si>
    <t>Könyvtári érdekeltségnövelő támogatás</t>
  </si>
  <si>
    <t>Átmeneti ivóvízellátás támogatása</t>
  </si>
  <si>
    <t>Határátkelőhely támogatása</t>
  </si>
  <si>
    <t>Szociális nyári gyermekétkeztetés</t>
  </si>
  <si>
    <t>Központosított előirányzat</t>
  </si>
  <si>
    <t>Ágazati pótlék   ( egészségügy)</t>
  </si>
  <si>
    <t>Temető ravatalozó épület tető felújítása</t>
  </si>
  <si>
    <t>MAZSIHISZ támogatás</t>
  </si>
  <si>
    <t>Egészségügyi és Szociális Ellátó Szervezet pályázat</t>
  </si>
  <si>
    <t>Egészségügyi és Szociális Ellátó Szervezet fogászati gépek beszerzése saját forrásból</t>
  </si>
  <si>
    <t>Városi Művelődési Központ és Könyvtár "Civil Alap 2014 pályázat"</t>
  </si>
  <si>
    <t>Városi Művelődési Központ és Könyvtár " Civil-Alap 2014 pályázat"</t>
  </si>
  <si>
    <t>Városi Művelődési Központ és Könyvtár foglalkoztatási támogatás</t>
  </si>
  <si>
    <t>Városi Művelődési Központ és Könyvtár pályázati előfinanszírozása Önkormányzattól</t>
  </si>
  <si>
    <t>Városi Művelődési Központ és Könyvtár pályázati előfinanszírozás visszautalása Önkormányzatnak</t>
  </si>
  <si>
    <t>Városi Művelődési Központ és Könyvtár TIOP pályázat 2013. évi</t>
  </si>
  <si>
    <t>58/2014.(IV.24.) KT határozat 1 fő pénzügyi álláshely</t>
  </si>
  <si>
    <t>ebből áfa befizetés az önkormányzat dologi kiadásai között megtervezve</t>
  </si>
  <si>
    <t>Átmeneti ivóvízellátás</t>
  </si>
  <si>
    <t>EP képviselő választás</t>
  </si>
  <si>
    <t>2013. évi számlák PM-ból</t>
  </si>
  <si>
    <t>Városellátó Szervezet 1 db ipari hűtőláda</t>
  </si>
  <si>
    <t xml:space="preserve">  Zene Mindenkiért Alapítvány</t>
  </si>
  <si>
    <t>Erzsébet utalvány (kieg.gyermekvédelmi)</t>
  </si>
  <si>
    <t>Egyéb működési célú</t>
  </si>
  <si>
    <t>Közbiztonság növelését szolg. Ök-i fejlesztés</t>
  </si>
  <si>
    <t>Közbiztonság növelését szolgáló önkormányzati fejlesztés ( központosított előirányzat)</t>
  </si>
  <si>
    <t>Szeged Csanádi Egyházmegye támogatása</t>
  </si>
  <si>
    <t>2014. évi visszatérülés</t>
  </si>
  <si>
    <t>Konszolidáció</t>
  </si>
  <si>
    <t>Egyéb felhalmozási célú</t>
  </si>
  <si>
    <t>Felhalmozási c. kötvény végtörlesztés</t>
  </si>
  <si>
    <t xml:space="preserve"> -vállalkozók</t>
  </si>
  <si>
    <t>Likvid hitel</t>
  </si>
  <si>
    <t>Vízmű felújítás</t>
  </si>
  <si>
    <t>Konszolidáció árfolyam veszteség</t>
  </si>
  <si>
    <t>Városi Művelődési Központ és Könyvtár " Múzeális int. Központosított támogatás"</t>
  </si>
  <si>
    <t>Dologi</t>
  </si>
  <si>
    <t>finansz.műv.</t>
  </si>
  <si>
    <t>Helyi ÖK-i választás</t>
  </si>
  <si>
    <t>Helyi ÖK választás</t>
  </si>
  <si>
    <t>Számítástechnikai eszközök  Polgármesteri Hivatalnál</t>
  </si>
  <si>
    <t>TIOP-1.2.3-11/1-2012-0378 számú  Infrastruktúra fejlesztése EU-s pályázat Könyvárnál</t>
  </si>
  <si>
    <t>ESZA Nonprofit Kft.-nek ME-TÁMOP lebony.szla (Uniós finansz.) Battonyai Polgármesteri Hivataltól drogos pályázat visszafiz</t>
  </si>
  <si>
    <t>Mikes Kelemen Gimnáziumnak választási bérmegtérítés Battonyai Polgármesteri Hivataltól</t>
  </si>
  <si>
    <t>Nemzeti Rehabilitációs és Szociális Hivatal támogatása Városellátó Szervezetnek</t>
  </si>
  <si>
    <t>Békés Megyei Kormányhivatal fogl.támog. Városellátó Szervezetnek</t>
  </si>
  <si>
    <t>Nemzeti Család és Szoc.Intézet támogatása Egészségügyi és Szociális Ellátó Szervezetnek</t>
  </si>
  <si>
    <t>Békés Megyei Kormányhivatal fogl.támog. Egészségügyi és Szociális Ellátó Szervezetnek</t>
  </si>
  <si>
    <t>KAB-ME-14-C-16480 pályázat Emberi Erőforrások Miniszt. Egészségügyi és Szociális Ellátó Szervezetnek</t>
  </si>
  <si>
    <t>Nemzeti Rehabilitációs és Szociális Hivatal támogatása Egészségügyi és Szociális Ellátó Szervezetnek</t>
  </si>
  <si>
    <t>Battonya Város Önkormányzata VMK és Könyvtártól 2013. évi  és 2014. évi pályázati megelőlegezés</t>
  </si>
  <si>
    <t>Városi Művelődési Központ és Könyvtár pályázati előfinanszírozás átadása Önk-nak</t>
  </si>
  <si>
    <t>TIOP-1.2.3-11/1-2012-0378 számú Infrastruktúra fejlesztése pályázat</t>
  </si>
  <si>
    <t>Nemzeti Rehabilitációs és Szociális Hivatal támogatása Polgármesteri Hivatalnak</t>
  </si>
  <si>
    <t>Fejezeti kezelésű Eu-s programok működési támog. Könyvtárnak</t>
  </si>
  <si>
    <t>Egyéb fejezeti kezelésű műk. célú támog. Könyvtárnak</t>
  </si>
  <si>
    <t>Battonyai Polgármesteri Hivatal és Battonya Város Önkormányzata kiadásai szakfeladatonként 2014.év</t>
  </si>
  <si>
    <t>2015.06.30.</t>
  </si>
  <si>
    <t>Muzeális intézetek szakmai támogatása</t>
  </si>
  <si>
    <t>"Itthon vagy - Magyarország szeretlek" pályázat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</si>
  <si>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</si>
  <si>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</si>
  <si>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</si>
  <si>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</si>
  <si>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</si>
  <si>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</si>
  <si>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</si>
  <si>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</si>
  <si>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</si>
  <si>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</si>
  <si>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</si>
  <si>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</si>
  <si>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</si>
  <si>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</si>
  <si>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</si>
  <si>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</si>
  <si>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</si>
  <si>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</si>
  <si>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</si>
  <si>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</si>
  <si>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</si>
  <si>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</si>
  <si>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</si>
  <si>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</si>
  <si>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</si>
  <si>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</si>
  <si>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</si>
  <si>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</si>
  <si>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</si>
  <si>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</si>
  <si>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</si>
  <si>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</si>
  <si>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</si>
  <si>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</si>
  <si>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</si>
  <si>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</si>
  <si>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</si>
  <si>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</si>
  <si>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</si>
  <si>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</si>
  <si>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</si>
  <si>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</si>
  <si>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</si>
  <si>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</si>
  <si>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</si>
  <si>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</si>
  <si>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</si>
  <si>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</si>
  <si>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</si>
  <si>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</si>
  <si>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</si>
  <si>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</si>
  <si>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</si>
  <si>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</si>
  <si>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</si>
  <si>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átadott peszk. felhalm.</t>
  </si>
  <si>
    <t>Battonyai Románok Nemzetiségi Egyesülete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</si>
</sst>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\-#,##0"/>
    <numFmt numFmtId="165" formatCode="0.0%"/>
    <numFmt numFmtId="166" formatCode="0.00_ ;[Red]\-0.00\ "/>
    <numFmt numFmtId="167" formatCode="yyyy\-mm\-dd"/>
    <numFmt numFmtId="168" formatCode="#,###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-40E]yyyy\.\ mmmm\ d\."/>
    <numFmt numFmtId="173" formatCode="m\.\ d\.;@"/>
    <numFmt numFmtId="174" formatCode="0.0"/>
    <numFmt numFmtId="175" formatCode="#,##0.000"/>
    <numFmt numFmtId="176" formatCode="#,##0.0000"/>
    <numFmt numFmtId="177" formatCode="[$¥€-2]\ #\ ##,000_);[Red]\([$€-2]\ #\ ##,000\)"/>
    <numFmt numFmtId="178" formatCode="#,##0.0"/>
    <numFmt numFmtId="179" formatCode="mmm/yyyy"/>
  </numFmts>
  <fonts count="80">
    <font>
      <sz val="10"/>
      <name val="Arial"/>
      <family val="0"/>
    </font>
    <font>
      <b/>
      <sz val="12"/>
      <name val="Arial"/>
      <family val="0"/>
    </font>
    <font>
      <b/>
      <sz val="12"/>
      <name val="Arial CE"/>
      <family val="2"/>
    </font>
    <font>
      <b/>
      <sz val="11"/>
      <name val="Arial"/>
      <family val="0"/>
    </font>
    <font>
      <b/>
      <sz val="11"/>
      <name val="Arial CE"/>
      <family val="2"/>
    </font>
    <font>
      <sz val="8"/>
      <name val="Arial"/>
      <family val="0"/>
    </font>
    <font>
      <b/>
      <u val="single"/>
      <sz val="12"/>
      <name val="Arial CE"/>
      <family val="2"/>
    </font>
    <font>
      <sz val="12"/>
      <name val="Arial CE"/>
      <family val="2"/>
    </font>
    <font>
      <sz val="12"/>
      <name val="Arial"/>
      <family val="0"/>
    </font>
    <font>
      <sz val="11"/>
      <name val="Arial CE"/>
      <family val="0"/>
    </font>
    <font>
      <b/>
      <sz val="10"/>
      <name val="Arial"/>
      <family val="2"/>
    </font>
    <font>
      <sz val="11"/>
      <name val="Arial"/>
      <family val="0"/>
    </font>
    <font>
      <b/>
      <i/>
      <sz val="11"/>
      <name val="Arial"/>
      <family val="2"/>
    </font>
    <font>
      <b/>
      <sz val="10"/>
      <name val="Arial CE"/>
      <family val="2"/>
    </font>
    <font>
      <b/>
      <u val="single"/>
      <sz val="11"/>
      <name val="Arial CE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b/>
      <u val="single"/>
      <sz val="12"/>
      <name val="Arial Narrow"/>
      <family val="2"/>
    </font>
    <font>
      <b/>
      <sz val="11"/>
      <name val="Times New Roman CE"/>
      <family val="1"/>
    </font>
    <font>
      <sz val="11"/>
      <name val="Times New Roman CE"/>
      <family val="1"/>
    </font>
    <font>
      <b/>
      <u val="single"/>
      <sz val="11"/>
      <name val="Times New Roman CE"/>
      <family val="1"/>
    </font>
    <font>
      <b/>
      <sz val="9"/>
      <color indexed="8"/>
      <name val="Arial CE"/>
      <family val="0"/>
    </font>
    <font>
      <u val="single"/>
      <sz val="9"/>
      <color indexed="8"/>
      <name val="Arial CE"/>
      <family val="2"/>
    </font>
    <font>
      <sz val="9"/>
      <color indexed="8"/>
      <name val="Arial CE"/>
      <family val="2"/>
    </font>
    <font>
      <sz val="9"/>
      <name val="Arial CE"/>
      <family val="2"/>
    </font>
    <font>
      <b/>
      <sz val="12"/>
      <color indexed="8"/>
      <name val="Arial CE"/>
      <family val="2"/>
    </font>
    <font>
      <b/>
      <u val="single"/>
      <sz val="11"/>
      <color indexed="8"/>
      <name val="Arial CE"/>
      <family val="2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u val="single"/>
      <sz val="11"/>
      <name val="Arial CE"/>
      <family val="0"/>
    </font>
    <font>
      <b/>
      <i/>
      <sz val="11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b/>
      <i/>
      <sz val="10"/>
      <name val="Arial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b/>
      <i/>
      <sz val="10"/>
      <name val="Times New Roman CE"/>
      <family val="1"/>
    </font>
    <font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b/>
      <sz val="1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0"/>
      <name val="Arial"/>
      <family val="0"/>
    </font>
    <font>
      <sz val="10"/>
      <color indexed="48"/>
      <name val="Arial"/>
      <family val="0"/>
    </font>
    <font>
      <i/>
      <sz val="11"/>
      <color indexed="8"/>
      <name val="Arial CE"/>
      <family val="0"/>
    </font>
    <font>
      <i/>
      <sz val="12"/>
      <name val="Arial CE"/>
      <family val="0"/>
    </font>
    <font>
      <i/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>
        <color indexed="63"/>
      </right>
      <top style="medium"/>
      <bottom/>
    </border>
    <border>
      <left/>
      <right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5" fillId="7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0" fillId="17" borderId="7" applyNumberFormat="0" applyFont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21" borderId="0" applyNumberFormat="0" applyBorder="0" applyAlignment="0" applyProtection="0"/>
    <xf numFmtId="0" fontId="73" fillId="4" borderId="0" applyNumberFormat="0" applyBorder="0" applyAlignment="0" applyProtection="0"/>
    <xf numFmtId="0" fontId="74" fillId="22" borderId="8" applyNumberFormat="0" applyAlignment="0" applyProtection="0"/>
    <xf numFmtId="0" fontId="7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2" fillId="0" borderId="0">
      <alignment/>
      <protection/>
    </xf>
    <xf numFmtId="0" fontId="44" fillId="0" borderId="0">
      <alignment/>
      <protection/>
    </xf>
    <xf numFmtId="0" fontId="42" fillId="0" borderId="0">
      <alignment/>
      <protection/>
    </xf>
    <xf numFmtId="0" fontId="7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" borderId="0" applyNumberFormat="0" applyBorder="0" applyAlignment="0" applyProtection="0"/>
    <xf numFmtId="0" fontId="78" fillId="23" borderId="0" applyNumberFormat="0" applyBorder="0" applyAlignment="0" applyProtection="0"/>
    <xf numFmtId="0" fontId="79" fillId="22" borderId="1" applyNumberFormat="0" applyAlignment="0" applyProtection="0"/>
    <xf numFmtId="9" fontId="0" fillId="0" borderId="0" applyFont="0" applyFill="0" applyBorder="0" applyAlignment="0" applyProtection="0"/>
  </cellStyleXfs>
  <cellXfs count="7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3" fontId="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1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0" fontId="11" fillId="0" borderId="16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3" fontId="11" fillId="0" borderId="17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11" fillId="0" borderId="18" xfId="0" applyNumberFormat="1" applyFont="1" applyFill="1" applyBorder="1" applyAlignment="1">
      <alignment/>
    </xf>
    <xf numFmtId="3" fontId="11" fillId="0" borderId="19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3" fontId="10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7" fillId="0" borderId="0" xfId="0" applyFont="1" applyFill="1" applyAlignment="1">
      <alignment wrapText="1"/>
    </xf>
    <xf numFmtId="0" fontId="17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0" fontId="19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22" xfId="0" applyFont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22" xfId="0" applyFont="1" applyBorder="1" applyAlignment="1">
      <alignment/>
    </xf>
    <xf numFmtId="3" fontId="20" fillId="0" borderId="0" xfId="0" applyNumberFormat="1" applyFont="1" applyBorder="1" applyAlignment="1">
      <alignment/>
    </xf>
    <xf numFmtId="0" fontId="20" fillId="0" borderId="22" xfId="0" applyFont="1" applyBorder="1" applyAlignment="1">
      <alignment/>
    </xf>
    <xf numFmtId="0" fontId="21" fillId="0" borderId="22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19" fillId="0" borderId="22" xfId="0" applyFont="1" applyBorder="1" applyAlignment="1">
      <alignment/>
    </xf>
    <xf numFmtId="3" fontId="19" fillId="0" borderId="0" xfId="0" applyNumberFormat="1" applyFont="1" applyBorder="1" applyAlignment="1">
      <alignment horizontal="right"/>
    </xf>
    <xf numFmtId="0" fontId="19" fillId="0" borderId="0" xfId="0" applyFont="1" applyAlignment="1">
      <alignment/>
    </xf>
    <xf numFmtId="1" fontId="19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23" fillId="0" borderId="0" xfId="0" applyFont="1" applyAlignment="1">
      <alignment/>
    </xf>
    <xf numFmtId="3" fontId="11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9" fillId="0" borderId="23" xfId="0" applyFont="1" applyFill="1" applyBorder="1" applyAlignment="1">
      <alignment/>
    </xf>
    <xf numFmtId="0" fontId="29" fillId="0" borderId="24" xfId="0" applyFont="1" applyFill="1" applyBorder="1" applyAlignment="1">
      <alignment/>
    </xf>
    <xf numFmtId="3" fontId="29" fillId="0" borderId="24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/>
    </xf>
    <xf numFmtId="3" fontId="31" fillId="0" borderId="0" xfId="0" applyNumberFormat="1" applyFont="1" applyFill="1" applyAlignment="1">
      <alignment/>
    </xf>
    <xf numFmtId="3" fontId="32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3" fontId="32" fillId="0" borderId="0" xfId="0" applyNumberFormat="1" applyFont="1" applyFill="1" applyAlignment="1">
      <alignment/>
    </xf>
    <xf numFmtId="1" fontId="31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1" fillId="0" borderId="24" xfId="0" applyFont="1" applyFill="1" applyBorder="1" applyAlignment="1">
      <alignment/>
    </xf>
    <xf numFmtId="3" fontId="32" fillId="0" borderId="24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1" fontId="33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164" fontId="14" fillId="0" borderId="0" xfId="0" applyNumberFormat="1" applyFont="1" applyFill="1" applyAlignment="1">
      <alignment/>
    </xf>
    <xf numFmtId="164" fontId="33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164" fontId="34" fillId="0" borderId="0" xfId="0" applyNumberFormat="1" applyFont="1" applyFill="1" applyAlignment="1">
      <alignment/>
    </xf>
    <xf numFmtId="3" fontId="27" fillId="0" borderId="0" xfId="0" applyNumberFormat="1" applyFont="1" applyFill="1" applyBorder="1" applyAlignment="1">
      <alignment/>
    </xf>
    <xf numFmtId="0" fontId="32" fillId="0" borderId="24" xfId="0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25" fillId="0" borderId="24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5" fillId="0" borderId="25" xfId="0" applyFont="1" applyBorder="1" applyAlignment="1">
      <alignment vertical="top" wrapText="1"/>
    </xf>
    <xf numFmtId="3" fontId="35" fillId="0" borderId="26" xfId="0" applyNumberFormat="1" applyFont="1" applyBorder="1" applyAlignment="1">
      <alignment horizontal="right" vertical="top" wrapText="1"/>
    </xf>
    <xf numFmtId="3" fontId="35" fillId="0" borderId="25" xfId="0" applyNumberFormat="1" applyFont="1" applyBorder="1" applyAlignment="1">
      <alignment horizontal="right" vertical="top" wrapText="1"/>
    </xf>
    <xf numFmtId="0" fontId="36" fillId="0" borderId="27" xfId="0" applyFont="1" applyBorder="1" applyAlignment="1">
      <alignment vertical="top" wrapText="1"/>
    </xf>
    <xf numFmtId="3" fontId="36" fillId="0" borderId="28" xfId="0" applyNumberFormat="1" applyFont="1" applyBorder="1" applyAlignment="1">
      <alignment horizontal="right" vertical="top" wrapText="1"/>
    </xf>
    <xf numFmtId="3" fontId="36" fillId="0" borderId="27" xfId="0" applyNumberFormat="1" applyFont="1" applyBorder="1" applyAlignment="1">
      <alignment horizontal="right" vertical="top" wrapText="1"/>
    </xf>
    <xf numFmtId="3" fontId="36" fillId="0" borderId="29" xfId="0" applyNumberFormat="1" applyFont="1" applyBorder="1" applyAlignment="1">
      <alignment horizontal="right" vertical="top" wrapText="1"/>
    </xf>
    <xf numFmtId="3" fontId="36" fillId="0" borderId="30" xfId="0" applyNumberFormat="1" applyFont="1" applyBorder="1" applyAlignment="1">
      <alignment horizontal="right" vertical="top" wrapText="1"/>
    </xf>
    <xf numFmtId="3" fontId="36" fillId="0" borderId="31" xfId="0" applyNumberFormat="1" applyFont="1" applyBorder="1" applyAlignment="1">
      <alignment horizontal="right" vertical="top" wrapText="1"/>
    </xf>
    <xf numFmtId="3" fontId="35" fillId="0" borderId="27" xfId="0" applyNumberFormat="1" applyFont="1" applyBorder="1" applyAlignment="1">
      <alignment horizontal="right" vertical="top" wrapText="1"/>
    </xf>
    <xf numFmtId="0" fontId="36" fillId="0" borderId="32" xfId="0" applyFont="1" applyBorder="1" applyAlignment="1">
      <alignment vertical="top" wrapText="1"/>
    </xf>
    <xf numFmtId="3" fontId="36" fillId="0" borderId="32" xfId="0" applyNumberFormat="1" applyFont="1" applyBorder="1" applyAlignment="1">
      <alignment horizontal="right" vertical="top" wrapText="1"/>
    </xf>
    <xf numFmtId="3" fontId="36" fillId="0" borderId="33" xfId="0" applyNumberFormat="1" applyFont="1" applyBorder="1" applyAlignment="1">
      <alignment horizontal="right" vertical="top" wrapText="1"/>
    </xf>
    <xf numFmtId="4" fontId="36" fillId="0" borderId="32" xfId="0" applyNumberFormat="1" applyFont="1" applyBorder="1" applyAlignment="1">
      <alignment horizontal="right" vertical="top" wrapText="1"/>
    </xf>
    <xf numFmtId="4" fontId="36" fillId="0" borderId="34" xfId="0" applyNumberFormat="1" applyFont="1" applyBorder="1" applyAlignment="1">
      <alignment horizontal="right" vertical="top" wrapText="1"/>
    </xf>
    <xf numFmtId="4" fontId="36" fillId="0" borderId="35" xfId="0" applyNumberFormat="1" applyFont="1" applyBorder="1" applyAlignment="1">
      <alignment horizontal="right" vertical="top" wrapText="1"/>
    </xf>
    <xf numFmtId="3" fontId="36" fillId="0" borderId="36" xfId="0" applyNumberFormat="1" applyFont="1" applyBorder="1" applyAlignment="1">
      <alignment horizontal="right" vertical="top" wrapText="1"/>
    </xf>
    <xf numFmtId="3" fontId="35" fillId="0" borderId="32" xfId="0" applyNumberFormat="1" applyFont="1" applyBorder="1" applyAlignment="1">
      <alignment horizontal="right" vertical="top" wrapText="1"/>
    </xf>
    <xf numFmtId="0" fontId="35" fillId="0" borderId="21" xfId="0" applyFont="1" applyBorder="1" applyAlignment="1">
      <alignment vertical="top" wrapText="1"/>
    </xf>
    <xf numFmtId="3" fontId="35" fillId="0" borderId="21" xfId="0" applyNumberFormat="1" applyFont="1" applyBorder="1" applyAlignment="1">
      <alignment horizontal="right" vertical="top" wrapText="1"/>
    </xf>
    <xf numFmtId="3" fontId="35" fillId="0" borderId="37" xfId="0" applyNumberFormat="1" applyFont="1" applyBorder="1" applyAlignment="1">
      <alignment horizontal="right" vertical="top" wrapText="1"/>
    </xf>
    <xf numFmtId="4" fontId="35" fillId="0" borderId="25" xfId="0" applyNumberFormat="1" applyFont="1" applyBorder="1" applyAlignment="1">
      <alignment horizontal="right" vertical="top" wrapText="1"/>
    </xf>
    <xf numFmtId="4" fontId="35" fillId="0" borderId="38" xfId="0" applyNumberFormat="1" applyFont="1" applyBorder="1" applyAlignment="1">
      <alignment horizontal="right" vertical="top" wrapText="1"/>
    </xf>
    <xf numFmtId="4" fontId="35" fillId="0" borderId="39" xfId="0" applyNumberFormat="1" applyFont="1" applyBorder="1" applyAlignment="1">
      <alignment horizontal="right" vertical="top" wrapText="1"/>
    </xf>
    <xf numFmtId="4" fontId="36" fillId="0" borderId="27" xfId="0" applyNumberFormat="1" applyFont="1" applyBorder="1" applyAlignment="1">
      <alignment horizontal="right" vertical="top" wrapText="1"/>
    </xf>
    <xf numFmtId="4" fontId="36" fillId="0" borderId="29" xfId="0" applyNumberFormat="1" applyFont="1" applyBorder="1" applyAlignment="1">
      <alignment horizontal="right" vertical="top" wrapText="1"/>
    </xf>
    <xf numFmtId="4" fontId="36" fillId="0" borderId="30" xfId="0" applyNumberFormat="1" applyFont="1" applyBorder="1" applyAlignment="1">
      <alignment horizontal="right" vertical="top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0" fillId="0" borderId="27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6" fillId="0" borderId="0" xfId="0" applyFont="1" applyBorder="1" applyAlignment="1">
      <alignment vertical="top" wrapText="1"/>
    </xf>
    <xf numFmtId="3" fontId="36" fillId="0" borderId="0" xfId="0" applyNumberFormat="1" applyFont="1" applyBorder="1" applyAlignment="1">
      <alignment horizontal="right" vertical="top" wrapText="1"/>
    </xf>
    <xf numFmtId="3" fontId="35" fillId="0" borderId="0" xfId="0" applyNumberFormat="1" applyFont="1" applyBorder="1" applyAlignment="1">
      <alignment horizontal="right" vertical="top" wrapText="1"/>
    </xf>
    <xf numFmtId="0" fontId="36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right"/>
    </xf>
    <xf numFmtId="0" fontId="36" fillId="0" borderId="0" xfId="0" applyFont="1" applyBorder="1" applyAlignment="1">
      <alignment horizontal="left" vertical="top" wrapText="1"/>
    </xf>
    <xf numFmtId="0" fontId="36" fillId="0" borderId="0" xfId="0" applyFont="1" applyAlignment="1">
      <alignment horizontal="center"/>
    </xf>
    <xf numFmtId="0" fontId="36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/>
    </xf>
    <xf numFmtId="0" fontId="22" fillId="0" borderId="40" xfId="0" applyFont="1" applyBorder="1" applyAlignment="1">
      <alignment horizontal="center"/>
    </xf>
    <xf numFmtId="3" fontId="23" fillId="0" borderId="18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23" fillId="0" borderId="19" xfId="0" applyNumberFormat="1" applyFont="1" applyBorder="1" applyAlignment="1">
      <alignment/>
    </xf>
    <xf numFmtId="3" fontId="22" fillId="0" borderId="17" xfId="0" applyNumberFormat="1" applyFont="1" applyBorder="1" applyAlignment="1">
      <alignment/>
    </xf>
    <xf numFmtId="3" fontId="22" fillId="0" borderId="41" xfId="0" applyNumberFormat="1" applyFont="1" applyBorder="1" applyAlignment="1">
      <alignment/>
    </xf>
    <xf numFmtId="3" fontId="22" fillId="0" borderId="20" xfId="0" applyNumberFormat="1" applyFont="1" applyBorder="1" applyAlignment="1">
      <alignment/>
    </xf>
    <xf numFmtId="3" fontId="22" fillId="0" borderId="42" xfId="0" applyNumberFormat="1" applyFont="1" applyBorder="1" applyAlignment="1">
      <alignment/>
    </xf>
    <xf numFmtId="0" fontId="22" fillId="0" borderId="10" xfId="0" applyFont="1" applyBorder="1" applyAlignment="1">
      <alignment horizontal="center"/>
    </xf>
    <xf numFmtId="3" fontId="23" fillId="0" borderId="16" xfId="0" applyNumberFormat="1" applyFont="1" applyBorder="1" applyAlignment="1">
      <alignment/>
    </xf>
    <xf numFmtId="3" fontId="22" fillId="0" borderId="11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0" fontId="24" fillId="0" borderId="14" xfId="0" applyFont="1" applyBorder="1" applyAlignment="1">
      <alignment/>
    </xf>
    <xf numFmtId="0" fontId="23" fillId="0" borderId="15" xfId="0" applyFont="1" applyBorder="1" applyAlignment="1">
      <alignment horizontal="center"/>
    </xf>
    <xf numFmtId="0" fontId="23" fillId="0" borderId="18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wrapText="1"/>
    </xf>
    <xf numFmtId="3" fontId="23" fillId="0" borderId="0" xfId="0" applyNumberFormat="1" applyFont="1" applyBorder="1" applyAlignment="1">
      <alignment wrapText="1"/>
    </xf>
    <xf numFmtId="3" fontId="23" fillId="0" borderId="19" xfId="0" applyNumberFormat="1" applyFont="1" applyBorder="1" applyAlignment="1">
      <alignment wrapText="1"/>
    </xf>
    <xf numFmtId="0" fontId="22" fillId="0" borderId="18" xfId="0" applyFont="1" applyBorder="1" applyAlignment="1">
      <alignment/>
    </xf>
    <xf numFmtId="0" fontId="24" fillId="0" borderId="18" xfId="0" applyFont="1" applyBorder="1" applyAlignment="1">
      <alignment/>
    </xf>
    <xf numFmtId="0" fontId="22" fillId="0" borderId="17" xfId="0" applyFont="1" applyBorder="1" applyAlignment="1">
      <alignment/>
    </xf>
    <xf numFmtId="0" fontId="11" fillId="0" borderId="13" xfId="0" applyFont="1" applyBorder="1" applyAlignment="1">
      <alignment/>
    </xf>
    <xf numFmtId="0" fontId="22" fillId="0" borderId="41" xfId="0" applyFont="1" applyBorder="1" applyAlignment="1">
      <alignment/>
    </xf>
    <xf numFmtId="0" fontId="22" fillId="0" borderId="20" xfId="0" applyFont="1" applyBorder="1" applyAlignment="1">
      <alignment/>
    </xf>
    <xf numFmtId="3" fontId="36" fillId="0" borderId="28" xfId="0" applyNumberFormat="1" applyFont="1" applyBorder="1" applyAlignment="1">
      <alignment vertical="top" wrapText="1"/>
    </xf>
    <xf numFmtId="3" fontId="36" fillId="0" borderId="27" xfId="0" applyNumberFormat="1" applyFont="1" applyBorder="1" applyAlignment="1">
      <alignment vertical="top" wrapText="1"/>
    </xf>
    <xf numFmtId="3" fontId="0" fillId="0" borderId="16" xfId="0" applyNumberFormat="1" applyBorder="1" applyAlignment="1">
      <alignment/>
    </xf>
    <xf numFmtId="1" fontId="8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10" fillId="0" borderId="0" xfId="0" applyFont="1" applyFill="1" applyAlignment="1">
      <alignment/>
    </xf>
    <xf numFmtId="164" fontId="37" fillId="0" borderId="0" xfId="0" applyNumberFormat="1" applyFont="1" applyFill="1" applyAlignment="1">
      <alignment/>
    </xf>
    <xf numFmtId="4" fontId="22" fillId="0" borderId="12" xfId="0" applyNumberFormat="1" applyFont="1" applyBorder="1" applyAlignment="1">
      <alignment/>
    </xf>
    <xf numFmtId="0" fontId="0" fillId="0" borderId="21" xfId="0" applyFont="1" applyFill="1" applyBorder="1" applyAlignment="1">
      <alignment/>
    </xf>
    <xf numFmtId="0" fontId="41" fillId="0" borderId="0" xfId="58" applyFont="1" applyFill="1" applyAlignment="1" applyProtection="1">
      <alignment horizontal="center" vertical="center" wrapText="1"/>
      <protection/>
    </xf>
    <xf numFmtId="0" fontId="42" fillId="0" borderId="0" xfId="58" applyFill="1" applyProtection="1">
      <alignment/>
      <protection/>
    </xf>
    <xf numFmtId="0" fontId="42" fillId="0" borderId="0" xfId="58" applyFill="1" applyProtection="1">
      <alignment/>
      <protection locked="0"/>
    </xf>
    <xf numFmtId="0" fontId="43" fillId="0" borderId="0" xfId="57" applyFont="1" applyFill="1" applyAlignment="1">
      <alignment horizontal="right"/>
      <protection/>
    </xf>
    <xf numFmtId="0" fontId="45" fillId="0" borderId="43" xfId="58" applyFont="1" applyFill="1" applyBorder="1" applyAlignment="1" applyProtection="1">
      <alignment horizontal="center" vertical="center" wrapText="1"/>
      <protection/>
    </xf>
    <xf numFmtId="0" fontId="45" fillId="0" borderId="44" xfId="58" applyFont="1" applyFill="1" applyBorder="1" applyAlignment="1" applyProtection="1">
      <alignment horizontal="center" vertical="center"/>
      <protection/>
    </xf>
    <xf numFmtId="0" fontId="45" fillId="0" borderId="45" xfId="58" applyFont="1" applyFill="1" applyBorder="1" applyAlignment="1" applyProtection="1">
      <alignment horizontal="center" vertical="center"/>
      <protection/>
    </xf>
    <xf numFmtId="0" fontId="46" fillId="0" borderId="46" xfId="58" applyFont="1" applyFill="1" applyBorder="1" applyAlignment="1" applyProtection="1">
      <alignment horizontal="left" vertical="center" indent="1"/>
      <protection/>
    </xf>
    <xf numFmtId="0" fontId="47" fillId="0" borderId="47" xfId="58" applyFont="1" applyFill="1" applyBorder="1" applyAlignment="1" applyProtection="1">
      <alignment horizontal="left" vertical="center" indent="1"/>
      <protection/>
    </xf>
    <xf numFmtId="0" fontId="47" fillId="0" borderId="20" xfId="58" applyFont="1" applyFill="1" applyBorder="1" applyAlignment="1" applyProtection="1">
      <alignment horizontal="left" vertical="center" indent="1"/>
      <protection/>
    </xf>
    <xf numFmtId="0" fontId="46" fillId="0" borderId="48" xfId="58" applyFont="1" applyFill="1" applyBorder="1" applyAlignment="1" applyProtection="1">
      <alignment horizontal="left" vertical="center" indent="1"/>
      <protection/>
    </xf>
    <xf numFmtId="0" fontId="46" fillId="0" borderId="49" xfId="58" applyFont="1" applyFill="1" applyBorder="1" applyAlignment="1" applyProtection="1">
      <alignment horizontal="left" vertical="center" indent="1"/>
      <protection/>
    </xf>
    <xf numFmtId="3" fontId="46" fillId="0" borderId="49" xfId="58" applyNumberFormat="1" applyFont="1" applyFill="1" applyBorder="1" applyAlignment="1" applyProtection="1">
      <alignment vertical="center"/>
      <protection locked="0"/>
    </xf>
    <xf numFmtId="3" fontId="46" fillId="0" borderId="50" xfId="58" applyNumberFormat="1" applyFont="1" applyFill="1" applyBorder="1" applyAlignment="1" applyProtection="1">
      <alignment vertical="center"/>
      <protection/>
    </xf>
    <xf numFmtId="0" fontId="46" fillId="0" borderId="51" xfId="58" applyFont="1" applyFill="1" applyBorder="1" applyAlignment="1" applyProtection="1">
      <alignment horizontal="left" vertical="center" indent="1"/>
      <protection/>
    </xf>
    <xf numFmtId="0" fontId="46" fillId="0" borderId="30" xfId="58" applyFont="1" applyFill="1" applyBorder="1" applyAlignment="1" applyProtection="1">
      <alignment horizontal="left" vertical="center" indent="1"/>
      <protection/>
    </xf>
    <xf numFmtId="3" fontId="46" fillId="0" borderId="30" xfId="58" applyNumberFormat="1" applyFont="1" applyFill="1" applyBorder="1" applyAlignment="1" applyProtection="1">
      <alignment vertical="center"/>
      <protection locked="0"/>
    </xf>
    <xf numFmtId="3" fontId="46" fillId="0" borderId="52" xfId="58" applyNumberFormat="1" applyFont="1" applyFill="1" applyBorder="1" applyAlignment="1" applyProtection="1">
      <alignment vertical="center"/>
      <protection/>
    </xf>
    <xf numFmtId="0" fontId="46" fillId="0" borderId="39" xfId="58" applyFont="1" applyFill="1" applyBorder="1" applyAlignment="1" applyProtection="1">
      <alignment horizontal="left" vertical="center" wrapText="1" indent="1"/>
      <protection/>
    </xf>
    <xf numFmtId="3" fontId="46" fillId="0" borderId="39" xfId="58" applyNumberFormat="1" applyFont="1" applyFill="1" applyBorder="1" applyAlignment="1" applyProtection="1">
      <alignment vertical="center"/>
      <protection locked="0"/>
    </xf>
    <xf numFmtId="0" fontId="46" fillId="0" borderId="30" xfId="58" applyFont="1" applyFill="1" applyBorder="1" applyAlignment="1" applyProtection="1">
      <alignment horizontal="left" vertical="center" wrapText="1" indent="1"/>
      <protection/>
    </xf>
    <xf numFmtId="3" fontId="46" fillId="0" borderId="53" xfId="58" applyNumberFormat="1" applyFont="1" applyFill="1" applyBorder="1" applyAlignment="1" applyProtection="1">
      <alignment vertical="center"/>
      <protection/>
    </xf>
    <xf numFmtId="0" fontId="45" fillId="0" borderId="54" xfId="58" applyFont="1" applyFill="1" applyBorder="1" applyAlignment="1" applyProtection="1">
      <alignment horizontal="left" vertical="center" indent="1"/>
      <protection/>
    </xf>
    <xf numFmtId="3" fontId="48" fillId="0" borderId="54" xfId="58" applyNumberFormat="1" applyFont="1" applyFill="1" applyBorder="1" applyAlignment="1" applyProtection="1">
      <alignment vertical="center"/>
      <protection/>
    </xf>
    <xf numFmtId="0" fontId="47" fillId="0" borderId="42" xfId="58" applyFont="1" applyFill="1" applyBorder="1" applyAlignment="1" applyProtection="1">
      <alignment horizontal="left" vertical="center" indent="1"/>
      <protection/>
    </xf>
    <xf numFmtId="0" fontId="46" fillId="0" borderId="55" xfId="58" applyFont="1" applyFill="1" applyBorder="1" applyAlignment="1" applyProtection="1">
      <alignment horizontal="left" vertical="center" indent="1"/>
      <protection/>
    </xf>
    <xf numFmtId="0" fontId="46" fillId="0" borderId="39" xfId="58" applyFont="1" applyFill="1" applyBorder="1" applyAlignment="1" applyProtection="1">
      <alignment horizontal="left" vertical="center" indent="1"/>
      <protection/>
    </xf>
    <xf numFmtId="3" fontId="46" fillId="0" borderId="56" xfId="58" applyNumberFormat="1" applyFont="1" applyFill="1" applyBorder="1" applyAlignment="1" applyProtection="1">
      <alignment vertical="center"/>
      <protection/>
    </xf>
    <xf numFmtId="0" fontId="48" fillId="0" borderId="46" xfId="58" applyFont="1" applyFill="1" applyBorder="1" applyAlignment="1" applyProtection="1">
      <alignment horizontal="left" vertical="center" indent="1"/>
      <protection/>
    </xf>
    <xf numFmtId="3" fontId="48" fillId="0" borderId="57" xfId="58" applyNumberFormat="1" applyFont="1" applyFill="1" applyBorder="1" applyAlignment="1" applyProtection="1">
      <alignment vertical="center"/>
      <protection/>
    </xf>
    <xf numFmtId="0" fontId="45" fillId="0" borderId="54" xfId="58" applyFont="1" applyFill="1" applyBorder="1" applyAlignment="1" applyProtection="1">
      <alignment horizontal="left" indent="1"/>
      <protection/>
    </xf>
    <xf numFmtId="3" fontId="48" fillId="0" borderId="54" xfId="58" applyNumberFormat="1" applyFont="1" applyFill="1" applyBorder="1" applyProtection="1">
      <alignment/>
      <protection/>
    </xf>
    <xf numFmtId="0" fontId="44" fillId="0" borderId="0" xfId="58" applyFont="1" applyFill="1" applyProtection="1">
      <alignment/>
      <protection/>
    </xf>
    <xf numFmtId="0" fontId="22" fillId="0" borderId="0" xfId="58" applyFont="1" applyFill="1" applyProtection="1">
      <alignment/>
      <protection locked="0"/>
    </xf>
    <xf numFmtId="0" fontId="41" fillId="0" borderId="0" xfId="58" applyFont="1" applyFill="1" applyProtection="1">
      <alignment/>
      <protection locked="0"/>
    </xf>
    <xf numFmtId="3" fontId="41" fillId="0" borderId="0" xfId="58" applyNumberFormat="1" applyFont="1" applyFill="1" applyProtection="1">
      <alignment/>
      <protection locked="0"/>
    </xf>
    <xf numFmtId="0" fontId="41" fillId="0" borderId="0" xfId="58" applyFont="1" applyFill="1" applyBorder="1" applyAlignment="1" applyProtection="1">
      <alignment horizontal="center" wrapText="1"/>
      <protection locked="0"/>
    </xf>
    <xf numFmtId="168" fontId="46" fillId="0" borderId="49" xfId="58" applyNumberFormat="1" applyFont="1" applyFill="1" applyBorder="1" applyAlignment="1" applyProtection="1">
      <alignment vertical="center"/>
      <protection locked="0"/>
    </xf>
    <xf numFmtId="168" fontId="46" fillId="0" borderId="49" xfId="58" applyNumberFormat="1" applyFont="1" applyFill="1" applyBorder="1" applyAlignment="1" applyProtection="1">
      <alignment vertical="center"/>
      <protection/>
    </xf>
    <xf numFmtId="168" fontId="46" fillId="0" borderId="58" xfId="58" applyNumberFormat="1" applyFont="1" applyFill="1" applyBorder="1" applyAlignment="1" applyProtection="1" quotePrefix="1">
      <alignment horizontal="center" vertical="center"/>
      <protection/>
    </xf>
    <xf numFmtId="168" fontId="46" fillId="0" borderId="30" xfId="58" applyNumberFormat="1" applyFont="1" applyFill="1" applyBorder="1" applyAlignment="1" applyProtection="1">
      <alignment vertical="center"/>
      <protection locked="0"/>
    </xf>
    <xf numFmtId="168" fontId="46" fillId="0" borderId="52" xfId="58" applyNumberFormat="1" applyFont="1" applyFill="1" applyBorder="1" applyAlignment="1" applyProtection="1">
      <alignment vertical="center"/>
      <protection/>
    </xf>
    <xf numFmtId="168" fontId="46" fillId="0" borderId="39" xfId="58" applyNumberFormat="1" applyFont="1" applyFill="1" applyBorder="1" applyAlignment="1" applyProtection="1">
      <alignment vertical="center"/>
      <protection locked="0"/>
    </xf>
    <xf numFmtId="168" fontId="46" fillId="0" borderId="56" xfId="58" applyNumberFormat="1" applyFont="1" applyFill="1" applyBorder="1" applyAlignment="1" applyProtection="1">
      <alignment vertical="center"/>
      <protection/>
    </xf>
    <xf numFmtId="168" fontId="48" fillId="0" borderId="54" xfId="58" applyNumberFormat="1" applyFont="1" applyFill="1" applyBorder="1" applyAlignment="1" applyProtection="1">
      <alignment vertical="center"/>
      <protection/>
    </xf>
    <xf numFmtId="168" fontId="48" fillId="0" borderId="57" xfId="58" applyNumberFormat="1" applyFont="1" applyFill="1" applyBorder="1" applyAlignment="1" applyProtection="1">
      <alignment vertical="center"/>
      <protection/>
    </xf>
    <xf numFmtId="168" fontId="48" fillId="0" borderId="54" xfId="58" applyNumberFormat="1" applyFont="1" applyFill="1" applyBorder="1" applyProtection="1">
      <alignment/>
      <protection/>
    </xf>
    <xf numFmtId="168" fontId="48" fillId="0" borderId="57" xfId="58" applyNumberFormat="1" applyFont="1" applyFill="1" applyBorder="1" applyAlignment="1" applyProtection="1" quotePrefix="1">
      <alignment horizontal="center"/>
      <protection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37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0" fontId="37" fillId="0" borderId="16" xfId="0" applyFont="1" applyFill="1" applyBorder="1" applyAlignment="1">
      <alignment/>
    </xf>
    <xf numFmtId="0" fontId="10" fillId="0" borderId="16" xfId="0" applyFont="1" applyFill="1" applyBorder="1" applyAlignment="1">
      <alignment wrapText="1"/>
    </xf>
    <xf numFmtId="0" fontId="39" fillId="0" borderId="16" xfId="0" applyFont="1" applyFill="1" applyBorder="1" applyAlignment="1">
      <alignment/>
    </xf>
    <xf numFmtId="0" fontId="37" fillId="0" borderId="11" xfId="0" applyFont="1" applyFill="1" applyBorder="1" applyAlignment="1">
      <alignment/>
    </xf>
    <xf numFmtId="0" fontId="37" fillId="0" borderId="21" xfId="0" applyFont="1" applyFill="1" applyBorder="1" applyAlignment="1">
      <alignment wrapText="1"/>
    </xf>
    <xf numFmtId="0" fontId="37" fillId="0" borderId="16" xfId="0" applyFont="1" applyFill="1" applyBorder="1" applyAlignment="1">
      <alignment/>
    </xf>
    <xf numFmtId="0" fontId="38" fillId="0" borderId="16" xfId="0" applyFont="1" applyFill="1" applyBorder="1" applyAlignment="1">
      <alignment/>
    </xf>
    <xf numFmtId="0" fontId="40" fillId="0" borderId="21" xfId="0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164" fontId="37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32" fillId="0" borderId="59" xfId="0" applyNumberFormat="1" applyFont="1" applyFill="1" applyBorder="1" applyAlignment="1">
      <alignment/>
    </xf>
    <xf numFmtId="3" fontId="29" fillId="0" borderId="59" xfId="0" applyNumberFormat="1" applyFont="1" applyFill="1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right" vertical="top" wrapText="1"/>
    </xf>
    <xf numFmtId="0" fontId="23" fillId="0" borderId="0" xfId="56" applyFont="1" applyFill="1">
      <alignment/>
      <protection/>
    </xf>
    <xf numFmtId="168" fontId="22" fillId="0" borderId="0" xfId="56" applyNumberFormat="1" applyFont="1" applyFill="1" applyBorder="1" applyAlignment="1" applyProtection="1">
      <alignment horizontal="centerContinuous" vertical="center"/>
      <protection/>
    </xf>
    <xf numFmtId="0" fontId="50" fillId="0" borderId="0" xfId="0" applyFont="1" applyFill="1" applyBorder="1" applyAlignment="1" applyProtection="1">
      <alignment horizontal="right"/>
      <protection/>
    </xf>
    <xf numFmtId="0" fontId="51" fillId="0" borderId="0" xfId="0" applyFont="1" applyFill="1" applyBorder="1" applyAlignment="1" applyProtection="1">
      <alignment/>
      <protection/>
    </xf>
    <xf numFmtId="0" fontId="41" fillId="0" borderId="60" xfId="56" applyFont="1" applyFill="1" applyBorder="1" applyAlignment="1" applyProtection="1">
      <alignment horizontal="center" vertical="center" wrapText="1"/>
      <protection/>
    </xf>
    <xf numFmtId="0" fontId="41" fillId="0" borderId="61" xfId="56" applyFont="1" applyFill="1" applyBorder="1" applyAlignment="1" applyProtection="1">
      <alignment horizontal="center" vertical="center" wrapText="1"/>
      <protection/>
    </xf>
    <xf numFmtId="0" fontId="41" fillId="0" borderId="50" xfId="56" applyFont="1" applyFill="1" applyBorder="1" applyAlignment="1" applyProtection="1">
      <alignment horizontal="center" vertical="center" wrapText="1"/>
      <protection/>
    </xf>
    <xf numFmtId="0" fontId="42" fillId="0" borderId="46" xfId="56" applyFont="1" applyFill="1" applyBorder="1" applyAlignment="1" applyProtection="1">
      <alignment horizontal="center" vertical="center"/>
      <protection/>
    </xf>
    <xf numFmtId="0" fontId="42" fillId="0" borderId="54" xfId="56" applyFont="1" applyFill="1" applyBorder="1" applyAlignment="1" applyProtection="1">
      <alignment horizontal="center" vertical="center"/>
      <protection/>
    </xf>
    <xf numFmtId="0" fontId="42" fillId="0" borderId="57" xfId="56" applyFont="1" applyFill="1" applyBorder="1" applyAlignment="1" applyProtection="1">
      <alignment horizontal="center" vertical="center"/>
      <protection/>
    </xf>
    <xf numFmtId="0" fontId="42" fillId="0" borderId="61" xfId="56" applyFont="1" applyFill="1" applyBorder="1" applyProtection="1">
      <alignment/>
      <protection/>
    </xf>
    <xf numFmtId="3" fontId="15" fillId="0" borderId="50" xfId="0" applyNumberFormat="1" applyFont="1" applyBorder="1" applyAlignment="1">
      <alignment horizontal="right" vertical="center" wrapText="1"/>
    </xf>
    <xf numFmtId="0" fontId="42" fillId="0" borderId="30" xfId="56" applyFont="1" applyFill="1" applyBorder="1" applyProtection="1">
      <alignment/>
      <protection/>
    </xf>
    <xf numFmtId="3" fontId="15" fillId="0" borderId="52" xfId="0" applyNumberFormat="1" applyFont="1" applyBorder="1" applyAlignment="1">
      <alignment horizontal="right" vertical="center" wrapText="1"/>
    </xf>
    <xf numFmtId="0" fontId="42" fillId="0" borderId="30" xfId="56" applyFont="1" applyFill="1" applyBorder="1" applyAlignment="1" applyProtection="1">
      <alignment wrapText="1"/>
      <protection/>
    </xf>
    <xf numFmtId="0" fontId="42" fillId="0" borderId="35" xfId="56" applyFont="1" applyFill="1" applyBorder="1" applyProtection="1">
      <alignment/>
      <protection/>
    </xf>
    <xf numFmtId="3" fontId="18" fillId="0" borderId="57" xfId="0" applyNumberFormat="1" applyFont="1" applyBorder="1" applyAlignment="1">
      <alignment horizontal="right" vertical="center" wrapText="1"/>
    </xf>
    <xf numFmtId="3" fontId="42" fillId="0" borderId="0" xfId="58" applyNumberFormat="1" applyFill="1" applyProtection="1">
      <alignment/>
      <protection/>
    </xf>
    <xf numFmtId="0" fontId="41" fillId="0" borderId="0" xfId="58" applyFont="1" applyFill="1" applyAlignment="1" applyProtection="1">
      <alignment horizontal="center" wrapText="1"/>
      <protection/>
    </xf>
    <xf numFmtId="0" fontId="41" fillId="0" borderId="0" xfId="58" applyFont="1" applyFill="1" applyAlignment="1" applyProtection="1">
      <alignment horizontal="center"/>
      <protection/>
    </xf>
    <xf numFmtId="0" fontId="41" fillId="0" borderId="41" xfId="56" applyFont="1" applyFill="1" applyBorder="1" applyAlignment="1" applyProtection="1">
      <alignment/>
      <protection/>
    </xf>
    <xf numFmtId="3" fontId="15" fillId="0" borderId="62" xfId="0" applyNumberFormat="1" applyFont="1" applyBorder="1" applyAlignment="1">
      <alignment horizontal="right" vertical="center" wrapText="1"/>
    </xf>
    <xf numFmtId="0" fontId="19" fillId="0" borderId="60" xfId="56" applyFont="1" applyFill="1" applyBorder="1" applyAlignment="1" applyProtection="1">
      <alignment horizontal="right" vertical="center"/>
      <protection/>
    </xf>
    <xf numFmtId="0" fontId="19" fillId="0" borderId="51" xfId="56" applyFont="1" applyFill="1" applyBorder="1" applyAlignment="1" applyProtection="1">
      <alignment horizontal="right" vertical="center"/>
      <protection/>
    </xf>
    <xf numFmtId="0" fontId="19" fillId="0" borderId="63" xfId="56" applyFont="1" applyFill="1" applyBorder="1" applyAlignment="1" applyProtection="1">
      <alignment horizontal="right" vertical="center"/>
      <protection/>
    </xf>
    <xf numFmtId="0" fontId="52" fillId="0" borderId="41" xfId="56" applyFont="1" applyFill="1" applyBorder="1" applyAlignment="1">
      <alignment horizontal="right"/>
      <protection/>
    </xf>
    <xf numFmtId="0" fontId="0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42" fillId="0" borderId="0" xfId="58" applyFont="1" applyFill="1" applyProtection="1">
      <alignment/>
      <protection/>
    </xf>
    <xf numFmtId="0" fontId="42" fillId="0" borderId="0" xfId="58" applyFont="1" applyFill="1" applyProtection="1">
      <alignment/>
      <protection locked="0"/>
    </xf>
    <xf numFmtId="0" fontId="42" fillId="0" borderId="0" xfId="58" applyFont="1" applyFill="1" applyAlignment="1" applyProtection="1">
      <alignment horizontal="right"/>
      <protection/>
    </xf>
    <xf numFmtId="0" fontId="42" fillId="0" borderId="0" xfId="58" applyFont="1" applyFill="1" applyAlignment="1" applyProtection="1">
      <alignment horizontal="right"/>
      <protection locked="0"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Alignment="1">
      <alignment wrapText="1"/>
    </xf>
    <xf numFmtId="3" fontId="18" fillId="0" borderId="0" xfId="0" applyNumberFormat="1" applyFont="1" applyAlignment="1">
      <alignment/>
    </xf>
    <xf numFmtId="3" fontId="22" fillId="0" borderId="21" xfId="0" applyNumberFormat="1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3" fontId="11" fillId="0" borderId="13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176" fontId="0" fillId="0" borderId="0" xfId="0" applyNumberFormat="1" applyAlignment="1">
      <alignment/>
    </xf>
    <xf numFmtId="3" fontId="3" fillId="0" borderId="40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3" fontId="12" fillId="0" borderId="14" xfId="0" applyNumberFormat="1" applyFont="1" applyFill="1" applyBorder="1" applyAlignment="1">
      <alignment/>
    </xf>
    <xf numFmtId="3" fontId="12" fillId="0" borderId="15" xfId="0" applyNumberFormat="1" applyFont="1" applyFill="1" applyBorder="1" applyAlignment="1">
      <alignment/>
    </xf>
    <xf numFmtId="3" fontId="12" fillId="0" borderId="40" xfId="0" applyNumberFormat="1" applyFont="1" applyFill="1" applyBorder="1" applyAlignment="1">
      <alignment/>
    </xf>
    <xf numFmtId="3" fontId="12" fillId="0" borderId="18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11" fillId="0" borderId="13" xfId="0" applyFont="1" applyFill="1" applyBorder="1" applyAlignment="1">
      <alignment/>
    </xf>
    <xf numFmtId="3" fontId="55" fillId="0" borderId="0" xfId="0" applyNumberFormat="1" applyFont="1" applyAlignment="1">
      <alignment/>
    </xf>
    <xf numFmtId="3" fontId="56" fillId="0" borderId="0" xfId="0" applyNumberFormat="1" applyFont="1" applyAlignment="1">
      <alignment/>
    </xf>
    <xf numFmtId="3" fontId="0" fillId="0" borderId="28" xfId="0" applyNumberFormat="1" applyBorder="1" applyAlignment="1">
      <alignment/>
    </xf>
    <xf numFmtId="3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3" fontId="25" fillId="0" borderId="24" xfId="0" applyNumberFormat="1" applyFont="1" applyFill="1" applyBorder="1" applyAlignment="1">
      <alignment/>
    </xf>
    <xf numFmtId="3" fontId="25" fillId="0" borderId="59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0" fontId="30" fillId="0" borderId="0" xfId="0" applyFont="1" applyFill="1" applyAlignment="1">
      <alignment horizontal="left"/>
    </xf>
    <xf numFmtId="0" fontId="32" fillId="0" borderId="0" xfId="0" applyFont="1" applyFill="1" applyAlignment="1">
      <alignment/>
    </xf>
    <xf numFmtId="1" fontId="14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0" fontId="57" fillId="0" borderId="0" xfId="0" applyFont="1" applyFill="1" applyBorder="1" applyAlignment="1">
      <alignment horizontal="right"/>
    </xf>
    <xf numFmtId="0" fontId="57" fillId="0" borderId="0" xfId="0" applyFont="1" applyFill="1" applyBorder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4" fillId="0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right"/>
    </xf>
    <xf numFmtId="0" fontId="14" fillId="0" borderId="0" xfId="0" applyFont="1" applyFill="1" applyAlignment="1">
      <alignment wrapText="1"/>
    </xf>
    <xf numFmtId="3" fontId="4" fillId="0" borderId="0" xfId="0" applyNumberFormat="1" applyFont="1" applyFill="1" applyAlignment="1">
      <alignment/>
    </xf>
    <xf numFmtId="0" fontId="9" fillId="0" borderId="0" xfId="0" applyFont="1" applyFill="1" applyAlignment="1">
      <alignment wrapText="1"/>
    </xf>
    <xf numFmtId="0" fontId="14" fillId="0" borderId="0" xfId="0" applyFont="1" applyFill="1" applyAlignment="1">
      <alignment horizontal="righ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64" xfId="0" applyFont="1" applyFill="1" applyBorder="1" applyAlignment="1">
      <alignment/>
    </xf>
    <xf numFmtId="3" fontId="3" fillId="0" borderId="13" xfId="0" applyNumberFormat="1" applyFont="1" applyFill="1" applyBorder="1" applyAlignment="1">
      <alignment horizontal="center" wrapText="1"/>
    </xf>
    <xf numFmtId="3" fontId="3" fillId="0" borderId="17" xfId="0" applyNumberFormat="1" applyFont="1" applyFill="1" applyBorder="1" applyAlignment="1">
      <alignment horizontal="center" wrapText="1"/>
    </xf>
    <xf numFmtId="3" fontId="3" fillId="0" borderId="41" xfId="0" applyNumberFormat="1" applyFont="1" applyFill="1" applyBorder="1" applyAlignment="1">
      <alignment/>
    </xf>
    <xf numFmtId="3" fontId="3" fillId="0" borderId="42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10" fillId="0" borderId="0" xfId="0" applyFont="1" applyFill="1" applyBorder="1" applyAlignment="1">
      <alignment/>
    </xf>
    <xf numFmtId="1" fontId="0" fillId="0" borderId="16" xfId="0" applyNumberFormat="1" applyFont="1" applyFill="1" applyBorder="1" applyAlignment="1">
      <alignment horizontal="left" wrapText="1"/>
    </xf>
    <xf numFmtId="164" fontId="0" fillId="0" borderId="16" xfId="0" applyNumberFormat="1" applyFont="1" applyFill="1" applyBorder="1" applyAlignment="1">
      <alignment horizontal="left" wrapText="1"/>
    </xf>
    <xf numFmtId="164" fontId="0" fillId="0" borderId="16" xfId="0" applyNumberFormat="1" applyFont="1" applyFill="1" applyBorder="1" applyAlignment="1">
      <alignment wrapText="1"/>
    </xf>
    <xf numFmtId="164" fontId="37" fillId="0" borderId="21" xfId="0" applyNumberFormat="1" applyFont="1" applyFill="1" applyBorder="1" applyAlignment="1">
      <alignment/>
    </xf>
    <xf numFmtId="164" fontId="37" fillId="0" borderId="16" xfId="0" applyNumberFormat="1" applyFont="1" applyFill="1" applyBorder="1" applyAlignment="1">
      <alignment wrapText="1"/>
    </xf>
    <xf numFmtId="0" fontId="28" fillId="0" borderId="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3" fontId="0" fillId="0" borderId="30" xfId="0" applyNumberFormat="1" applyBorder="1" applyAlignment="1">
      <alignment/>
    </xf>
    <xf numFmtId="3" fontId="36" fillId="0" borderId="52" xfId="0" applyNumberFormat="1" applyFont="1" applyBorder="1" applyAlignment="1">
      <alignment horizontal="right" vertical="top" wrapText="1"/>
    </xf>
    <xf numFmtId="3" fontId="10" fillId="0" borderId="0" xfId="0" applyNumberFormat="1" applyFont="1" applyAlignment="1">
      <alignment horizontal="right"/>
    </xf>
    <xf numFmtId="0" fontId="22" fillId="0" borderId="15" xfId="0" applyFont="1" applyBorder="1" applyAlignment="1">
      <alignment horizontal="center"/>
    </xf>
    <xf numFmtId="4" fontId="22" fillId="0" borderId="17" xfId="0" applyNumberFormat="1" applyFont="1" applyBorder="1" applyAlignment="1">
      <alignment/>
    </xf>
    <xf numFmtId="3" fontId="22" fillId="0" borderId="13" xfId="0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3" fontId="22" fillId="0" borderId="0" xfId="0" applyNumberFormat="1" applyFont="1" applyBorder="1" applyAlignment="1">
      <alignment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2" fillId="0" borderId="40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/>
    </xf>
    <xf numFmtId="3" fontId="22" fillId="0" borderId="19" xfId="0" applyNumberFormat="1" applyFont="1" applyBorder="1" applyAlignment="1">
      <alignment/>
    </xf>
    <xf numFmtId="3" fontId="22" fillId="0" borderId="18" xfId="0" applyNumberFormat="1" applyFont="1" applyBorder="1" applyAlignment="1">
      <alignment/>
    </xf>
    <xf numFmtId="3" fontId="22" fillId="0" borderId="10" xfId="0" applyNumberFormat="1" applyFont="1" applyBorder="1" applyAlignment="1">
      <alignment/>
    </xf>
    <xf numFmtId="3" fontId="22" fillId="0" borderId="16" xfId="0" applyNumberFormat="1" applyFont="1" applyBorder="1" applyAlignment="1">
      <alignment/>
    </xf>
    <xf numFmtId="0" fontId="9" fillId="0" borderId="20" xfId="0" applyFont="1" applyFill="1" applyBorder="1" applyAlignment="1">
      <alignment wrapText="1"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3" fontId="23" fillId="0" borderId="15" xfId="0" applyNumberFormat="1" applyFont="1" applyBorder="1" applyAlignment="1">
      <alignment/>
    </xf>
    <xf numFmtId="3" fontId="23" fillId="0" borderId="40" xfId="0" applyNumberFormat="1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7" xfId="0" applyFont="1" applyBorder="1" applyAlignment="1">
      <alignment wrapText="1"/>
    </xf>
    <xf numFmtId="3" fontId="23" fillId="0" borderId="17" xfId="0" applyNumberFormat="1" applyFont="1" applyBorder="1" applyAlignment="1">
      <alignment/>
    </xf>
    <xf numFmtId="3" fontId="23" fillId="0" borderId="12" xfId="0" applyNumberFormat="1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15" fillId="0" borderId="0" xfId="0" applyFont="1" applyAlignment="1">
      <alignment horizontal="right" wrapText="1"/>
    </xf>
    <xf numFmtId="0" fontId="19" fillId="0" borderId="0" xfId="0" applyFont="1" applyFill="1" applyBorder="1" applyAlignment="1">
      <alignment horizontal="center"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 horizontal="right"/>
    </xf>
    <xf numFmtId="0" fontId="58" fillId="0" borderId="0" xfId="0" applyFont="1" applyFill="1" applyBorder="1" applyAlignment="1">
      <alignment horizontal="left"/>
    </xf>
    <xf numFmtId="0" fontId="59" fillId="0" borderId="0" xfId="0" applyFont="1" applyFill="1" applyAlignment="1">
      <alignment/>
    </xf>
    <xf numFmtId="3" fontId="48" fillId="0" borderId="22" xfId="58" applyNumberFormat="1" applyFont="1" applyFill="1" applyBorder="1" applyAlignment="1" applyProtection="1">
      <alignment vertical="center"/>
      <protection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right" vertical="top" wrapText="1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 wrapText="1"/>
    </xf>
    <xf numFmtId="0" fontId="15" fillId="0" borderId="0" xfId="0" applyFont="1" applyFill="1" applyAlignment="1">
      <alignment wrapText="1"/>
    </xf>
    <xf numFmtId="0" fontId="18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/>
    </xf>
    <xf numFmtId="1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/>
    </xf>
    <xf numFmtId="3" fontId="60" fillId="0" borderId="0" xfId="0" applyNumberFormat="1" applyFont="1" applyFill="1" applyBorder="1" applyAlignment="1">
      <alignment/>
    </xf>
    <xf numFmtId="1" fontId="60" fillId="0" borderId="0" xfId="0" applyNumberFormat="1" applyFont="1" applyFill="1" applyBorder="1" applyAlignment="1">
      <alignment/>
    </xf>
    <xf numFmtId="0" fontId="60" fillId="0" borderId="0" xfId="0" applyFont="1" applyFill="1" applyBorder="1" applyAlignment="1">
      <alignment/>
    </xf>
    <xf numFmtId="4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Alignment="1">
      <alignment/>
    </xf>
    <xf numFmtId="0" fontId="61" fillId="0" borderId="0" xfId="0" applyFont="1" applyFill="1" applyBorder="1" applyAlignment="1">
      <alignment horizontal="right" wrapText="1"/>
    </xf>
    <xf numFmtId="0" fontId="61" fillId="0" borderId="0" xfId="0" applyFont="1" applyFill="1" applyAlignment="1">
      <alignment/>
    </xf>
    <xf numFmtId="0" fontId="15" fillId="0" borderId="0" xfId="0" applyFont="1" applyFill="1" applyBorder="1" applyAlignment="1">
      <alignment horizontal="left" wrapText="1"/>
    </xf>
    <xf numFmtId="1" fontId="15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0" fontId="15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left"/>
    </xf>
    <xf numFmtId="3" fontId="61" fillId="0" borderId="0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3" fontId="13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Alignment="1">
      <alignment wrapText="1"/>
    </xf>
    <xf numFmtId="1" fontId="1" fillId="0" borderId="0" xfId="0" applyNumberFormat="1" applyFont="1" applyFill="1" applyAlignment="1">
      <alignment/>
    </xf>
    <xf numFmtId="0" fontId="62" fillId="0" borderId="0" xfId="0" applyFont="1" applyFill="1" applyBorder="1" applyAlignment="1">
      <alignment/>
    </xf>
    <xf numFmtId="3" fontId="36" fillId="0" borderId="33" xfId="0" applyNumberFormat="1" applyFont="1" applyBorder="1" applyAlignment="1">
      <alignment vertical="top" wrapText="1"/>
    </xf>
    <xf numFmtId="3" fontId="36" fillId="0" borderId="32" xfId="0" applyNumberFormat="1" applyFont="1" applyBorder="1" applyAlignment="1">
      <alignment vertical="top" wrapText="1"/>
    </xf>
    <xf numFmtId="3" fontId="36" fillId="0" borderId="34" xfId="0" applyNumberFormat="1" applyFont="1" applyBorder="1" applyAlignment="1">
      <alignment horizontal="right" vertical="top" wrapText="1"/>
    </xf>
    <xf numFmtId="3" fontId="36" fillId="0" borderId="35" xfId="0" applyNumberFormat="1" applyFont="1" applyBorder="1" applyAlignment="1">
      <alignment horizontal="right" vertical="top" wrapText="1"/>
    </xf>
    <xf numFmtId="3" fontId="0" fillId="0" borderId="27" xfId="0" applyNumberFormat="1" applyBorder="1" applyAlignment="1">
      <alignment/>
    </xf>
    <xf numFmtId="3" fontId="35" fillId="0" borderId="18" xfId="0" applyNumberFormat="1" applyFont="1" applyFill="1" applyBorder="1" applyAlignment="1">
      <alignment horizontal="right" vertical="top" wrapText="1"/>
    </xf>
    <xf numFmtId="3" fontId="0" fillId="0" borderId="0" xfId="0" applyNumberFormat="1" applyBorder="1" applyAlignment="1">
      <alignment/>
    </xf>
    <xf numFmtId="164" fontId="37" fillId="0" borderId="21" xfId="0" applyNumberFormat="1" applyFont="1" applyFill="1" applyBorder="1" applyAlignment="1">
      <alignment wrapText="1"/>
    </xf>
    <xf numFmtId="3" fontId="38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 vertical="top"/>
    </xf>
    <xf numFmtId="0" fontId="11" fillId="0" borderId="0" xfId="0" applyFont="1" applyAlignment="1">
      <alignment/>
    </xf>
    <xf numFmtId="3" fontId="0" fillId="24" borderId="0" xfId="0" applyNumberFormat="1" applyFont="1" applyFill="1" applyBorder="1" applyAlignment="1">
      <alignment/>
    </xf>
    <xf numFmtId="3" fontId="13" fillId="24" borderId="0" xfId="0" applyNumberFormat="1" applyFont="1" applyFill="1" applyBorder="1" applyAlignment="1">
      <alignment/>
    </xf>
    <xf numFmtId="3" fontId="46" fillId="0" borderId="22" xfId="58" applyNumberFormat="1" applyFont="1" applyFill="1" applyBorder="1" applyAlignment="1" applyProtection="1">
      <alignment vertical="center"/>
      <protection locked="0"/>
    </xf>
    <xf numFmtId="3" fontId="48" fillId="0" borderId="49" xfId="58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>
      <alignment horizontal="left"/>
    </xf>
    <xf numFmtId="3" fontId="61" fillId="0" borderId="0" xfId="0" applyNumberFormat="1" applyFont="1" applyFill="1" applyBorder="1" applyAlignment="1">
      <alignment horizontal="right"/>
    </xf>
    <xf numFmtId="0" fontId="58" fillId="0" borderId="0" xfId="0" applyFont="1" applyFill="1" applyBorder="1" applyAlignment="1">
      <alignment horizontal="right" wrapText="1"/>
    </xf>
    <xf numFmtId="0" fontId="61" fillId="0" borderId="0" xfId="0" applyFont="1" applyFill="1" applyBorder="1" applyAlignment="1">
      <alignment horizontal="right"/>
    </xf>
    <xf numFmtId="0" fontId="62" fillId="0" borderId="0" xfId="0" applyFont="1" applyFill="1" applyBorder="1" applyAlignment="1">
      <alignment horizontal="left"/>
    </xf>
    <xf numFmtId="3" fontId="35" fillId="0" borderId="16" xfId="0" applyNumberFormat="1" applyFont="1" applyFill="1" applyBorder="1" applyAlignment="1">
      <alignment horizontal="right" vertical="top" wrapText="1"/>
    </xf>
    <xf numFmtId="0" fontId="35" fillId="0" borderId="65" xfId="0" applyFont="1" applyBorder="1" applyAlignment="1">
      <alignment vertical="top" wrapText="1"/>
    </xf>
    <xf numFmtId="0" fontId="36" fillId="0" borderId="65" xfId="0" applyFont="1" applyBorder="1" applyAlignment="1">
      <alignment horizontal="right" vertical="top" wrapText="1"/>
    </xf>
    <xf numFmtId="0" fontId="36" fillId="0" borderId="66" xfId="0" applyFont="1" applyBorder="1" applyAlignment="1">
      <alignment horizontal="right" vertical="top" wrapText="1"/>
    </xf>
    <xf numFmtId="0" fontId="36" fillId="0" borderId="65" xfId="0" applyFont="1" applyBorder="1" applyAlignment="1">
      <alignment horizontal="right" vertical="center" wrapText="1"/>
    </xf>
    <xf numFmtId="0" fontId="36" fillId="0" borderId="67" xfId="0" applyFont="1" applyBorder="1" applyAlignment="1">
      <alignment horizontal="right" vertical="top" wrapText="1"/>
    </xf>
    <xf numFmtId="0" fontId="36" fillId="0" borderId="61" xfId="0" applyFont="1" applyBorder="1" applyAlignment="1">
      <alignment horizontal="right" vertical="top" wrapText="1"/>
    </xf>
    <xf numFmtId="3" fontId="35" fillId="0" borderId="68" xfId="0" applyNumberFormat="1" applyFont="1" applyBorder="1" applyAlignment="1">
      <alignment horizontal="right" vertical="top" wrapText="1"/>
    </xf>
    <xf numFmtId="3" fontId="35" fillId="0" borderId="65" xfId="0" applyNumberFormat="1" applyFont="1" applyBorder="1" applyAlignment="1">
      <alignment horizontal="right" vertical="top" wrapText="1"/>
    </xf>
    <xf numFmtId="0" fontId="36" fillId="0" borderId="11" xfId="0" applyFont="1" applyBorder="1" applyAlignment="1">
      <alignment vertical="top" wrapText="1"/>
    </xf>
    <xf numFmtId="3" fontId="36" fillId="0" borderId="11" xfId="0" applyNumberFormat="1" applyFont="1" applyBorder="1" applyAlignment="1">
      <alignment horizontal="right" vertical="top" wrapText="1"/>
    </xf>
    <xf numFmtId="3" fontId="36" fillId="0" borderId="17" xfId="0" applyNumberFormat="1" applyFont="1" applyBorder="1" applyAlignment="1">
      <alignment horizontal="right" vertical="top" wrapText="1"/>
    </xf>
    <xf numFmtId="3" fontId="36" fillId="0" borderId="69" xfId="0" applyNumberFormat="1" applyFont="1" applyBorder="1" applyAlignment="1">
      <alignment horizontal="right" vertical="top" wrapText="1"/>
    </xf>
    <xf numFmtId="3" fontId="36" fillId="0" borderId="70" xfId="0" applyNumberFormat="1" applyFont="1" applyBorder="1" applyAlignment="1">
      <alignment horizontal="right" vertical="top" wrapText="1"/>
    </xf>
    <xf numFmtId="3" fontId="36" fillId="0" borderId="71" xfId="0" applyNumberFormat="1" applyFont="1" applyBorder="1" applyAlignment="1">
      <alignment horizontal="right" vertical="top" wrapText="1"/>
    </xf>
    <xf numFmtId="3" fontId="35" fillId="0" borderId="72" xfId="0" applyNumberFormat="1" applyFont="1" applyBorder="1" applyAlignment="1">
      <alignment horizontal="right" vertical="top" wrapText="1"/>
    </xf>
    <xf numFmtId="0" fontId="9" fillId="0" borderId="0" xfId="0" applyFont="1" applyAlignment="1">
      <alignment wrapText="1"/>
    </xf>
    <xf numFmtId="0" fontId="1" fillId="25" borderId="0" xfId="0" applyFont="1" applyFill="1" applyAlignment="1">
      <alignment/>
    </xf>
    <xf numFmtId="2" fontId="15" fillId="0" borderId="0" xfId="0" applyNumberFormat="1" applyFont="1" applyAlignment="1">
      <alignment wrapText="1"/>
    </xf>
    <xf numFmtId="49" fontId="15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Alignment="1">
      <alignment/>
    </xf>
    <xf numFmtId="0" fontId="37" fillId="0" borderId="41" xfId="0" applyFont="1" applyFill="1" applyBorder="1" applyAlignment="1">
      <alignment horizontal="center"/>
    </xf>
    <xf numFmtId="0" fontId="37" fillId="0" borderId="20" xfId="0" applyFont="1" applyFill="1" applyBorder="1" applyAlignment="1">
      <alignment horizontal="center"/>
    </xf>
    <xf numFmtId="3" fontId="48" fillId="0" borderId="73" xfId="58" applyNumberFormat="1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41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7" fillId="0" borderId="20" xfId="0" applyFont="1" applyFill="1" applyBorder="1" applyAlignment="1">
      <alignment horizontal="center" wrapText="1"/>
    </xf>
    <xf numFmtId="0" fontId="37" fillId="0" borderId="21" xfId="0" applyFont="1" applyFill="1" applyBorder="1" applyAlignment="1">
      <alignment horizontal="center" wrapText="1"/>
    </xf>
    <xf numFmtId="0" fontId="37" fillId="0" borderId="17" xfId="0" applyFont="1" applyFill="1" applyBorder="1" applyAlignment="1">
      <alignment horizontal="center"/>
    </xf>
    <xf numFmtId="0" fontId="37" fillId="0" borderId="17" xfId="0" applyFont="1" applyFill="1" applyBorder="1" applyAlignment="1">
      <alignment horizontal="center" wrapText="1"/>
    </xf>
    <xf numFmtId="0" fontId="38" fillId="0" borderId="20" xfId="0" applyFont="1" applyFill="1" applyBorder="1" applyAlignment="1">
      <alignment wrapText="1"/>
    </xf>
    <xf numFmtId="0" fontId="38" fillId="0" borderId="20" xfId="0" applyFont="1" applyFill="1" applyBorder="1" applyAlignment="1">
      <alignment/>
    </xf>
    <xf numFmtId="0" fontId="38" fillId="0" borderId="42" xfId="0" applyFont="1" applyFill="1" applyBorder="1" applyAlignment="1">
      <alignment wrapText="1"/>
    </xf>
    <xf numFmtId="0" fontId="37" fillId="0" borderId="21" xfId="0" applyFont="1" applyFill="1" applyBorder="1" applyAlignment="1">
      <alignment wrapText="1"/>
    </xf>
    <xf numFmtId="0" fontId="37" fillId="0" borderId="0" xfId="0" applyFont="1" applyFill="1" applyBorder="1" applyAlignment="1">
      <alignment horizontal="right"/>
    </xf>
    <xf numFmtId="0" fontId="37" fillId="0" borderId="0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 wrapText="1"/>
    </xf>
    <xf numFmtId="3" fontId="37" fillId="0" borderId="16" xfId="0" applyNumberFormat="1" applyFont="1" applyFill="1" applyBorder="1" applyAlignment="1">
      <alignment horizontal="right" wrapText="1"/>
    </xf>
    <xf numFmtId="0" fontId="37" fillId="0" borderId="18" xfId="0" applyFont="1" applyFill="1" applyBorder="1" applyAlignment="1">
      <alignment horizontal="right"/>
    </xf>
    <xf numFmtId="0" fontId="38" fillId="0" borderId="0" xfId="0" applyFont="1" applyFill="1" applyBorder="1" applyAlignment="1">
      <alignment/>
    </xf>
    <xf numFmtId="0" fontId="38" fillId="0" borderId="19" xfId="0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37" fillId="0" borderId="0" xfId="0" applyNumberFormat="1" applyFont="1" applyFill="1" applyBorder="1" applyAlignment="1">
      <alignment/>
    </xf>
    <xf numFmtId="3" fontId="37" fillId="0" borderId="16" xfId="0" applyNumberFormat="1" applyFont="1" applyFill="1" applyBorder="1" applyAlignment="1">
      <alignment/>
    </xf>
    <xf numFmtId="3" fontId="37" fillId="0" borderId="18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37" fillId="0" borderId="16" xfId="0" applyFont="1" applyFill="1" applyBorder="1" applyAlignment="1">
      <alignment horizontal="center" wrapText="1"/>
    </xf>
    <xf numFmtId="0" fontId="37" fillId="0" borderId="18" xfId="0" applyFont="1" applyFill="1" applyBorder="1" applyAlignment="1">
      <alignment horizontal="center"/>
    </xf>
    <xf numFmtId="0" fontId="38" fillId="0" borderId="16" xfId="0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right" wrapText="1"/>
    </xf>
    <xf numFmtId="0" fontId="37" fillId="0" borderId="20" xfId="0" applyFont="1" applyFill="1" applyBorder="1" applyAlignment="1">
      <alignment/>
    </xf>
    <xf numFmtId="3" fontId="37" fillId="0" borderId="20" xfId="0" applyNumberFormat="1" applyFont="1" applyFill="1" applyBorder="1" applyAlignment="1">
      <alignment/>
    </xf>
    <xf numFmtId="3" fontId="37" fillId="0" borderId="41" xfId="0" applyNumberFormat="1" applyFont="1" applyFill="1" applyBorder="1" applyAlignment="1">
      <alignment/>
    </xf>
    <xf numFmtId="3" fontId="37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1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7" fillId="0" borderId="11" xfId="0" applyFont="1" applyFill="1" applyBorder="1" applyAlignment="1">
      <alignment horizontal="center" wrapText="1"/>
    </xf>
    <xf numFmtId="0" fontId="37" fillId="0" borderId="13" xfId="0" applyFont="1" applyFill="1" applyBorder="1" applyAlignment="1">
      <alignment horizontal="center"/>
    </xf>
    <xf numFmtId="0" fontId="38" fillId="0" borderId="17" xfId="0" applyFont="1" applyFill="1" applyBorder="1" applyAlignment="1">
      <alignment wrapText="1"/>
    </xf>
    <xf numFmtId="0" fontId="38" fillId="0" borderId="17" xfId="0" applyFont="1" applyFill="1" applyBorder="1" applyAlignment="1">
      <alignment/>
    </xf>
    <xf numFmtId="0" fontId="38" fillId="0" borderId="12" xfId="0" applyFont="1" applyFill="1" applyBorder="1" applyAlignment="1">
      <alignment wrapText="1"/>
    </xf>
    <xf numFmtId="0" fontId="37" fillId="0" borderId="12" xfId="0" applyFont="1" applyFill="1" applyBorder="1" applyAlignment="1">
      <alignment wrapText="1"/>
    </xf>
    <xf numFmtId="164" fontId="10" fillId="0" borderId="0" xfId="0" applyNumberFormat="1" applyFont="1" applyFill="1" applyAlignment="1">
      <alignment horizontal="right"/>
    </xf>
    <xf numFmtId="164" fontId="37" fillId="0" borderId="16" xfId="0" applyNumberFormat="1" applyFont="1" applyFill="1" applyBorder="1" applyAlignment="1">
      <alignment horizontal="right" wrapText="1"/>
    </xf>
    <xf numFmtId="3" fontId="10" fillId="0" borderId="19" xfId="0" applyNumberFormat="1" applyFont="1" applyFill="1" applyBorder="1" applyAlignment="1">
      <alignment/>
    </xf>
    <xf numFmtId="164" fontId="0" fillId="0" borderId="0" xfId="0" applyNumberFormat="1" applyFont="1" applyFill="1" applyAlignment="1">
      <alignment horizontal="right"/>
    </xf>
    <xf numFmtId="164" fontId="10" fillId="0" borderId="16" xfId="0" applyNumberFormat="1" applyFont="1" applyFill="1" applyBorder="1" applyAlignment="1">
      <alignment horizontal="right"/>
    </xf>
    <xf numFmtId="164" fontId="0" fillId="0" borderId="18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164" fontId="37" fillId="0" borderId="20" xfId="0" applyNumberFormat="1" applyFont="1" applyFill="1" applyBorder="1" applyAlignment="1">
      <alignment horizontal="right"/>
    </xf>
    <xf numFmtId="164" fontId="37" fillId="0" borderId="41" xfId="0" applyNumberFormat="1" applyFont="1" applyFill="1" applyBorder="1" applyAlignment="1">
      <alignment horizontal="right"/>
    </xf>
    <xf numFmtId="164" fontId="37" fillId="0" borderId="42" xfId="0" applyNumberFormat="1" applyFont="1" applyFill="1" applyBorder="1" applyAlignment="1">
      <alignment horizontal="right"/>
    </xf>
    <xf numFmtId="164" fontId="37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10" fillId="0" borderId="4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7" fillId="0" borderId="42" xfId="0" applyFont="1" applyFill="1" applyBorder="1" applyAlignment="1">
      <alignment horizontal="center" wrapText="1"/>
    </xf>
    <xf numFmtId="164" fontId="37" fillId="0" borderId="18" xfId="0" applyNumberFormat="1" applyFont="1" applyFill="1" applyBorder="1" applyAlignment="1">
      <alignment/>
    </xf>
    <xf numFmtId="164" fontId="37" fillId="0" borderId="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37" fillId="0" borderId="19" xfId="0" applyFont="1" applyFill="1" applyBorder="1" applyAlignment="1">
      <alignment horizontal="center" wrapText="1"/>
    </xf>
    <xf numFmtId="164" fontId="38" fillId="0" borderId="0" xfId="0" applyNumberFormat="1" applyFont="1" applyFill="1" applyBorder="1" applyAlignment="1">
      <alignment/>
    </xf>
    <xf numFmtId="0" fontId="38" fillId="0" borderId="19" xfId="0" applyFont="1" applyFill="1" applyBorder="1" applyAlignment="1">
      <alignment wrapText="1"/>
    </xf>
    <xf numFmtId="164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164" fontId="10" fillId="0" borderId="16" xfId="0" applyNumberFormat="1" applyFont="1" applyFill="1" applyBorder="1" applyAlignment="1">
      <alignment/>
    </xf>
    <xf numFmtId="164" fontId="37" fillId="0" borderId="19" xfId="0" applyNumberFormat="1" applyFont="1" applyFill="1" applyBorder="1" applyAlignment="1">
      <alignment/>
    </xf>
    <xf numFmtId="164" fontId="37" fillId="0" borderId="16" xfId="0" applyNumberFormat="1" applyFont="1" applyFill="1" applyBorder="1" applyAlignment="1">
      <alignment/>
    </xf>
    <xf numFmtId="0" fontId="37" fillId="0" borderId="1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18" xfId="0" applyFont="1" applyFill="1" applyBorder="1" applyAlignment="1">
      <alignment/>
    </xf>
    <xf numFmtId="3" fontId="37" fillId="0" borderId="19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164" fontId="10" fillId="0" borderId="41" xfId="0" applyNumberFormat="1" applyFont="1" applyFill="1" applyBorder="1" applyAlignment="1">
      <alignment/>
    </xf>
    <xf numFmtId="164" fontId="10" fillId="0" borderId="20" xfId="0" applyNumberFormat="1" applyFont="1" applyFill="1" applyBorder="1" applyAlignment="1">
      <alignment/>
    </xf>
    <xf numFmtId="164" fontId="10" fillId="0" borderId="42" xfId="0" applyNumberFormat="1" applyFont="1" applyFill="1" applyBorder="1" applyAlignment="1">
      <alignment/>
    </xf>
    <xf numFmtId="164" fontId="10" fillId="0" borderId="21" xfId="0" applyNumberFormat="1" applyFont="1" applyFill="1" applyBorder="1" applyAlignment="1">
      <alignment/>
    </xf>
    <xf numFmtId="168" fontId="46" fillId="24" borderId="56" xfId="58" applyNumberFormat="1" applyFont="1" applyFill="1" applyBorder="1" applyAlignment="1" applyProtection="1">
      <alignment vertical="center"/>
      <protection/>
    </xf>
    <xf numFmtId="168" fontId="46" fillId="24" borderId="52" xfId="58" applyNumberFormat="1" applyFont="1" applyFill="1" applyBorder="1" applyAlignment="1" applyProtection="1">
      <alignment vertical="center"/>
      <protection/>
    </xf>
    <xf numFmtId="164" fontId="0" fillId="0" borderId="19" xfId="0" applyNumberFormat="1" applyFont="1" applyFill="1" applyBorder="1" applyAlignment="1">
      <alignment/>
    </xf>
    <xf numFmtId="3" fontId="37" fillId="0" borderId="0" xfId="0" applyNumberFormat="1" applyFont="1" applyFill="1" applyBorder="1" applyAlignment="1">
      <alignment horizontal="center" wrapText="1"/>
    </xf>
    <xf numFmtId="3" fontId="37" fillId="0" borderId="21" xfId="0" applyNumberFormat="1" applyFont="1" applyFill="1" applyBorder="1" applyAlignment="1">
      <alignment/>
    </xf>
    <xf numFmtId="164" fontId="37" fillId="0" borderId="21" xfId="0" applyNumberFormat="1" applyFont="1" applyFill="1" applyBorder="1" applyAlignment="1">
      <alignment horizontal="right"/>
    </xf>
    <xf numFmtId="0" fontId="37" fillId="0" borderId="14" xfId="0" applyFont="1" applyFill="1" applyBorder="1" applyAlignment="1">
      <alignment horizontal="center"/>
    </xf>
    <xf numFmtId="0" fontId="37" fillId="0" borderId="15" xfId="0" applyFont="1" applyFill="1" applyBorder="1" applyAlignment="1">
      <alignment horizontal="center"/>
    </xf>
    <xf numFmtId="0" fontId="37" fillId="0" borderId="4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3" fontId="3" fillId="0" borderId="40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5" fillId="0" borderId="10" xfId="0" applyFont="1" applyBorder="1" applyAlignment="1">
      <alignment horizontal="center" vertical="top" wrapText="1"/>
    </xf>
    <xf numFmtId="0" fontId="35" fillId="0" borderId="16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center" vertical="top" wrapText="1"/>
    </xf>
    <xf numFmtId="0" fontId="35" fillId="0" borderId="17" xfId="0" applyFont="1" applyBorder="1" applyAlignment="1">
      <alignment horizontal="center" vertical="top" wrapText="1"/>
    </xf>
    <xf numFmtId="0" fontId="16" fillId="0" borderId="66" xfId="0" applyFont="1" applyBorder="1" applyAlignment="1">
      <alignment horizontal="center"/>
    </xf>
    <xf numFmtId="0" fontId="35" fillId="0" borderId="34" xfId="0" applyFont="1" applyBorder="1" applyAlignment="1">
      <alignment horizontal="center" vertical="top" wrapText="1"/>
    </xf>
    <xf numFmtId="0" fontId="35" fillId="0" borderId="69" xfId="0" applyFont="1" applyBorder="1" applyAlignment="1">
      <alignment horizontal="center" vertical="top" wrapText="1"/>
    </xf>
    <xf numFmtId="0" fontId="35" fillId="0" borderId="35" xfId="0" applyFont="1" applyBorder="1" applyAlignment="1">
      <alignment horizontal="center" vertical="top" wrapText="1"/>
    </xf>
    <xf numFmtId="0" fontId="35" fillId="0" borderId="70" xfId="0" applyFont="1" applyBorder="1" applyAlignment="1">
      <alignment horizontal="center" vertical="top" wrapText="1"/>
    </xf>
    <xf numFmtId="0" fontId="35" fillId="0" borderId="36" xfId="0" applyFont="1" applyBorder="1" applyAlignment="1">
      <alignment horizontal="center" vertical="top" wrapText="1"/>
    </xf>
    <xf numFmtId="0" fontId="10" fillId="0" borderId="71" xfId="0" applyFont="1" applyBorder="1" applyAlignment="1">
      <alignment/>
    </xf>
    <xf numFmtId="0" fontId="0" fillId="0" borderId="42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37" fillId="0" borderId="41" xfId="0" applyFont="1" applyFill="1" applyBorder="1" applyAlignment="1">
      <alignment horizontal="center"/>
    </xf>
    <xf numFmtId="0" fontId="37" fillId="0" borderId="20" xfId="0" applyFont="1" applyFill="1" applyBorder="1" applyAlignment="1">
      <alignment horizontal="center"/>
    </xf>
    <xf numFmtId="0" fontId="37" fillId="0" borderId="42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168" fontId="49" fillId="0" borderId="0" xfId="56" applyNumberFormat="1" applyFont="1" applyFill="1" applyBorder="1" applyAlignment="1" applyProtection="1">
      <alignment horizontal="center" vertical="center" wrapText="1"/>
      <protection/>
    </xf>
    <xf numFmtId="0" fontId="46" fillId="0" borderId="15" xfId="56" applyFont="1" applyFill="1" applyBorder="1" applyAlignment="1">
      <alignment horizontal="justify" vertical="center" wrapText="1"/>
      <protection/>
    </xf>
    <xf numFmtId="0" fontId="41" fillId="0" borderId="0" xfId="58" applyFont="1" applyFill="1" applyBorder="1" applyAlignment="1" applyProtection="1">
      <alignment horizontal="center" wrapText="1"/>
      <protection locked="0"/>
    </xf>
    <xf numFmtId="0" fontId="41" fillId="0" borderId="17" xfId="58" applyFont="1" applyFill="1" applyBorder="1" applyAlignment="1" applyProtection="1">
      <alignment horizontal="center" wrapText="1"/>
      <protection locked="0"/>
    </xf>
    <xf numFmtId="0" fontId="47" fillId="0" borderId="47" xfId="58" applyFont="1" applyFill="1" applyBorder="1" applyAlignment="1" applyProtection="1">
      <alignment horizontal="left" vertical="center" indent="1"/>
      <protection/>
    </xf>
    <xf numFmtId="0" fontId="47" fillId="0" borderId="20" xfId="58" applyFont="1" applyFill="1" applyBorder="1" applyAlignment="1" applyProtection="1">
      <alignment horizontal="left" vertical="center" indent="1"/>
      <protection/>
    </xf>
    <xf numFmtId="0" fontId="47" fillId="0" borderId="40" xfId="58" applyFont="1" applyFill="1" applyBorder="1" applyAlignment="1" applyProtection="1">
      <alignment horizontal="left" vertical="center" indent="1"/>
      <protection/>
    </xf>
    <xf numFmtId="0" fontId="47" fillId="0" borderId="42" xfId="58" applyFont="1" applyFill="1" applyBorder="1" applyAlignment="1" applyProtection="1">
      <alignment horizontal="left" vertical="center" indent="1"/>
      <protection/>
    </xf>
    <xf numFmtId="0" fontId="0" fillId="0" borderId="0" xfId="0" applyAlignment="1">
      <alignment horizontal="right"/>
    </xf>
    <xf numFmtId="0" fontId="41" fillId="0" borderId="0" xfId="58" applyFont="1" applyFill="1" applyAlignment="1" applyProtection="1">
      <alignment horizontal="center" vertical="center" wrapText="1"/>
      <protection/>
    </xf>
    <xf numFmtId="0" fontId="41" fillId="0" borderId="0" xfId="58" applyFont="1" applyFill="1" applyAlignment="1" applyProtection="1">
      <alignment horizontal="center" vertical="center"/>
      <protection/>
    </xf>
    <xf numFmtId="0" fontId="41" fillId="0" borderId="0" xfId="58" applyFont="1" applyFill="1" applyAlignment="1" applyProtection="1">
      <alignment horizontal="center" wrapText="1"/>
      <protection/>
    </xf>
    <xf numFmtId="0" fontId="41" fillId="0" borderId="0" xfId="58" applyFont="1" applyFill="1" applyAlignment="1" applyProtection="1">
      <alignment horizontal="center"/>
      <protection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0" xfId="0" applyFont="1" applyBorder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VRENMUNKA" xfId="56"/>
    <cellStyle name="Normál_Munka1" xfId="57"/>
    <cellStyle name="Normál_SEGED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RBNLA~1\LOCALS~1\Temp\k&#246;ltjavaslat2011csak%20seg&#237;ts&#233;gne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NT&#201;S_C\Documents%20and%20Settings\Kocsisn&#233;\Dokumentumok\Marian2012\k&#246;ltm&#243;d2012&#233;v\november\k&#246;ltm&#243;dnovember2012%20elfogadot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csisn&#233;\Dokumentumok\Marian2012\l&#233;tsz&#225;mcs&#246;kkent&#233;s\2012.&#233;vi%20k&#246;lts&#233;gvet&#233;s%20l&#233;tsz&#225;mcs&#246;kkent&#233;shez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arian2014\k&#246;lts&#233;gvet&#233;s\int&#233;zm&#233;nyi%20sz&#246;veges%20k&#246;lts&#233;gvet&#233;sek%202014&#233;v\ESZESZ%202014%20&#233;vi%20sz&#246;veges%20k&#246;lts&#233;gvet&#233;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arian2014\k&#246;ltm&#243;d2014\j&#250;nius\k&#246;ltm&#243;d&#225;prilis%20el&#337;terjeszt&#233;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k&#246;ltm&#243;d%20%20november%202014%20el&#337;terjeszt&#233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erb_ök_"/>
      <sheetName val="román ök_"/>
      <sheetName val="cigány"/>
      <sheetName val="eszesz"/>
      <sheetName val="vsz"/>
      <sheetName val="Gimi"/>
      <sheetName val="könyvtár"/>
      <sheetName val="Óvoda"/>
      <sheetName val="románok"/>
      <sheetName val="szia"/>
      <sheetName val="szerbek"/>
      <sheetName val="kultúr"/>
      <sheetName val="2mell 2ápr"/>
      <sheetName val="2mell_2"/>
      <sheetName val="Munka2"/>
      <sheetName val="2mell2011k"/>
      <sheetName val="2mell2011"/>
      <sheetName val="2mell 1ápr"/>
      <sheetName val="2mell_1"/>
      <sheetName val="létszám jó"/>
      <sheetName val="er.ei.felhalmozás09"/>
      <sheetName val="felhalmozás"/>
      <sheetName val="szoc jó"/>
      <sheetName val="felhalm2010"/>
      <sheetName val="felhmérleg"/>
      <sheetName val="felh_mérleg"/>
      <sheetName val="felh bev"/>
      <sheetName val="átadott"/>
      <sheetName val="int10"/>
      <sheetName val="norm2011"/>
      <sheetName val="Munka1"/>
      <sheetName val="norm"/>
      <sheetName val="több  éves kötelezettség"/>
      <sheetName val="polg_hiv_"/>
      <sheetName val="kincstár fin_terv"/>
      <sheetName val="_PH_ei_felh_terv_"/>
      <sheetName val="román eifelh"/>
      <sheetName val="szerbeifelh"/>
      <sheetName val="közösségi ell"/>
      <sheetName val="likviditási terv"/>
      <sheetName val="1mell1"/>
      <sheetName val="3 éves terv"/>
      <sheetName val="1mell1a"/>
      <sheetName val="1mell2"/>
    </sheetNames>
    <sheetDataSet>
      <sheetData sheetId="13">
        <row r="110">
          <cell r="A110" t="str">
            <v>Városellátó Szervezet</v>
          </cell>
        </row>
      </sheetData>
      <sheetData sheetId="17">
        <row r="28">
          <cell r="A28" t="str">
            <v>Városellátó  Szervezet</v>
          </cell>
        </row>
        <row r="32">
          <cell r="A32" t="str">
            <v>Egészségügyi és Szociális Ellátó Szervezet</v>
          </cell>
        </row>
      </sheetData>
      <sheetData sheetId="26">
        <row r="35">
          <cell r="A35" t="str">
            <v>Felhalmozási bevételek összesen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ndeletkönyv"/>
      <sheetName val="nettó"/>
      <sheetName val="finanszírozási tábla"/>
      <sheetName val="kiadás"/>
      <sheetName val="bevétel"/>
      <sheetName val="intfinanszírozási terv"/>
      <sheetName val="phfinansz"/>
      <sheetName val="szerb fin."/>
      <sheetName val="román fin"/>
      <sheetName val="cigány fin"/>
      <sheetName val="önkei.felh."/>
      <sheetName val="ei.összesen"/>
      <sheetName val="minimálbér"/>
      <sheetName val="szakfeladatonként"/>
      <sheetName val="adósságkel."/>
      <sheetName val="cigány besz"/>
      <sheetName val="szerb besz"/>
      <sheetName val="román besz"/>
      <sheetName val="szerb"/>
      <sheetName val="cigány"/>
      <sheetName val="pfbevétel"/>
      <sheetName val="pfkiadás"/>
      <sheetName val="több éves"/>
      <sheetName val="közösségi"/>
      <sheetName val="átadott"/>
      <sheetName val="segély"/>
      <sheetName val="felh."/>
      <sheetName val="felhbevétel"/>
      <sheetName val="felhmérleg"/>
      <sheetName val="létszám jó"/>
      <sheetName val="létszám 2012"/>
      <sheetName val="norm2012"/>
    </sheetNames>
    <sheetDataSet>
      <sheetData sheetId="3">
        <row r="24">
          <cell r="B24" t="str">
            <v>Városi Művelődési Központ és Könyvtár</v>
          </cell>
        </row>
      </sheetData>
      <sheetData sheetId="4">
        <row r="34">
          <cell r="B34" t="str">
            <v>Battonya Város Önkormányzata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szírozási tábla"/>
      <sheetName val="kiadás"/>
      <sheetName val="bevétel"/>
      <sheetName val="intfinanszírozási terv"/>
      <sheetName val="phfinansz"/>
      <sheetName val="szerb fin."/>
      <sheetName val="román fin"/>
      <sheetName val="cigány fin"/>
      <sheetName val="önkei.felh."/>
      <sheetName val="ei.összesen"/>
      <sheetName val="minimálbér"/>
      <sheetName val="szakfeladatonként"/>
      <sheetName val="adósságkel."/>
      <sheetName val="román"/>
      <sheetName val="szerb"/>
      <sheetName val="cigány"/>
      <sheetName val="pfbevétel"/>
      <sheetName val="pfkiadás"/>
      <sheetName val="több éves"/>
      <sheetName val="közösségi"/>
      <sheetName val="átadott"/>
      <sheetName val="segély"/>
      <sheetName val="felh."/>
      <sheetName val="felhbevétel"/>
      <sheetName val="felhmérleg"/>
      <sheetName val="létszám 2012"/>
      <sheetName val="norm2012"/>
    </sheetNames>
    <sheetDataSet>
      <sheetData sheetId="2">
        <row r="40">
          <cell r="A40" t="str">
            <v>Városellátó  Szervezet</v>
          </cell>
        </row>
        <row r="46">
          <cell r="A46" t="str">
            <v>Egészségügyi és Szociális Ellátó Szervezet</v>
          </cell>
        </row>
        <row r="62">
          <cell r="A62" t="str">
            <v>Városi Művelődési Központ és Könyvtár</v>
          </cell>
        </row>
        <row r="76">
          <cell r="A76" t="str">
            <v>Battonya Város Önkormányzata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nterv"/>
      <sheetName val="2013bérek"/>
      <sheetName val="normatíva2014"/>
      <sheetName val="2014 bérek"/>
      <sheetName val="összesítő"/>
      <sheetName val="889921 szoc.étk."/>
      <sheetName val="856012 Korai fejl.gondozás"/>
      <sheetName val="889926 közösségiell."/>
      <sheetName val="881011 nappaliell."/>
      <sheetName val="881012 demens"/>
      <sheetName val="889201 gyermekjólét"/>
      <sheetName val="889924 családs."/>
      <sheetName val="889922 házis.ny."/>
      <sheetName val="862301 fogorvosi ell."/>
      <sheetName val="869041 védőnők"/>
      <sheetName val="869042 ifjuság-eü.gondozás"/>
      <sheetName val="869031 labor"/>
      <sheetName val="869037 fizikoterápiás szolg."/>
      <sheetName val="862101 háziorv."/>
      <sheetName val="ESZESZ BEVÉTEL"/>
      <sheetName val="ESZESZ2_es"/>
    </sheetNames>
    <sheetDataSet>
      <sheetData sheetId="3">
        <row r="48">
          <cell r="J48">
            <v>130800</v>
          </cell>
        </row>
        <row r="49">
          <cell r="J49">
            <v>126300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unka11"/>
      <sheetName val="ÖK likviditási terv"/>
      <sheetName val="likviditási terv 2014"/>
      <sheetName val="ÖK finansz."/>
      <sheetName val="könyvtár fin terv"/>
      <sheetName val="vsz finterv"/>
      <sheetName val="eszesz finterv"/>
      <sheetName val="PH ei.felh."/>
      <sheetName val="Munka5"/>
      <sheetName val="rendeletkönyv"/>
      <sheetName val="pfkiadás"/>
      <sheetName val="pfbevétel"/>
      <sheetName val="bevétel"/>
      <sheetName val="kiadás"/>
      <sheetName val="átadott"/>
      <sheetName val="segélyek"/>
      <sheetName val="felh."/>
      <sheetName val="több éves"/>
      <sheetName val="állami 2014"/>
      <sheetName val="állami"/>
      <sheetName val="felhalmozási bevétel"/>
      <sheetName val="felh.mérleg"/>
      <sheetName val="nem"/>
      <sheetName val="ph szakfeladatok"/>
      <sheetName val="szakfeladatonként ök összesen"/>
      <sheetName val="közösségi ellátás"/>
      <sheetName val="létszám"/>
      <sheetName val="konszolidáció"/>
      <sheetName val="Munka2"/>
      <sheetName val="Munka1"/>
      <sheetName val="Munka3"/>
      <sheetName val="Munka4"/>
    </sheetNames>
    <sheetDataSet>
      <sheetData sheetId="20">
        <row r="7">
          <cell r="C7">
            <v>150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övpótló"/>
      <sheetName val="bérkomp"/>
      <sheetName val="állami"/>
      <sheetName val="2013 évi közfogi"/>
      <sheetName val="2014 közfogi"/>
      <sheetName val="rendeletkönyv"/>
      <sheetName val="1_mell"/>
      <sheetName val="2_mell"/>
      <sheetName val="3_mell"/>
      <sheetName val="4_mell"/>
      <sheetName val="4_1 mell"/>
      <sheetName val="5_mell"/>
      <sheetName val="6_mell"/>
      <sheetName val="7_mell"/>
      <sheetName val="8_mell"/>
      <sheetName val="9_mell"/>
      <sheetName val="10_mell"/>
      <sheetName val="11_mell"/>
      <sheetName val="12_mell"/>
      <sheetName val="13_mell"/>
      <sheetName val="14_mell"/>
      <sheetName val="15_mell"/>
      <sheetName val="16_mell"/>
      <sheetName val="18_mell"/>
      <sheetName val="17_mell"/>
      <sheetName val="19_mell"/>
      <sheetName val="20_mell"/>
      <sheetName val="21_mell"/>
    </sheetNames>
    <sheetDataSet>
      <sheetData sheetId="6">
        <row r="11">
          <cell r="F11">
            <v>15219</v>
          </cell>
        </row>
        <row r="14">
          <cell r="F14">
            <v>125000</v>
          </cell>
        </row>
        <row r="15">
          <cell r="F15">
            <v>51</v>
          </cell>
        </row>
        <row r="16">
          <cell r="F16">
            <v>2561</v>
          </cell>
        </row>
        <row r="17">
          <cell r="F17">
            <v>2500</v>
          </cell>
        </row>
        <row r="18">
          <cell r="F18">
            <v>51450</v>
          </cell>
        </row>
        <row r="20">
          <cell r="F20">
            <v>10054</v>
          </cell>
        </row>
        <row r="24">
          <cell r="F24">
            <v>609594</v>
          </cell>
        </row>
        <row r="51">
          <cell r="F51">
            <v>304787</v>
          </cell>
        </row>
        <row r="52">
          <cell r="E52">
            <v>32500</v>
          </cell>
          <cell r="F52">
            <v>32500</v>
          </cell>
        </row>
        <row r="58">
          <cell r="F58">
            <v>600</v>
          </cell>
        </row>
        <row r="59">
          <cell r="F59">
            <v>4500</v>
          </cell>
        </row>
        <row r="63">
          <cell r="F63">
            <v>202512</v>
          </cell>
        </row>
        <row r="76">
          <cell r="F76">
            <v>1000</v>
          </cell>
        </row>
        <row r="77">
          <cell r="F77">
            <v>800</v>
          </cell>
        </row>
        <row r="78">
          <cell r="F78">
            <v>54</v>
          </cell>
        </row>
        <row r="95">
          <cell r="F95">
            <v>34406</v>
          </cell>
        </row>
        <row r="97">
          <cell r="F97">
            <v>6094</v>
          </cell>
        </row>
        <row r="102">
          <cell r="F102">
            <v>150</v>
          </cell>
        </row>
        <row r="105">
          <cell r="F105">
            <v>13519</v>
          </cell>
        </row>
        <row r="107">
          <cell r="F107">
            <v>77957</v>
          </cell>
        </row>
      </sheetData>
      <sheetData sheetId="7">
        <row r="25">
          <cell r="F25">
            <v>232405</v>
          </cell>
        </row>
        <row r="26">
          <cell r="C26" t="str">
            <v>Felhalmozási c. hitel törlesztése</v>
          </cell>
        </row>
        <row r="27">
          <cell r="C27" t="str">
            <v>Felhalmozási c. kötvény végtörlesztés</v>
          </cell>
          <cell r="F27">
            <v>162405</v>
          </cell>
        </row>
        <row r="32">
          <cell r="F32">
            <v>1365125</v>
          </cell>
        </row>
      </sheetData>
      <sheetData sheetId="8">
        <row r="8">
          <cell r="D8">
            <v>92943</v>
          </cell>
          <cell r="E8">
            <v>1355</v>
          </cell>
          <cell r="G8">
            <v>27490</v>
          </cell>
        </row>
        <row r="13">
          <cell r="D13">
            <v>8903</v>
          </cell>
          <cell r="E13">
            <v>616</v>
          </cell>
          <cell r="F13">
            <v>34354</v>
          </cell>
          <cell r="G13">
            <v>2356</v>
          </cell>
        </row>
        <row r="18">
          <cell r="D18">
            <v>2200</v>
          </cell>
          <cell r="E18">
            <v>268</v>
          </cell>
          <cell r="F18">
            <v>1727</v>
          </cell>
          <cell r="G18">
            <v>1000</v>
          </cell>
          <cell r="H18">
            <v>1100</v>
          </cell>
          <cell r="L18">
            <v>28752</v>
          </cell>
        </row>
        <row r="23">
          <cell r="D23">
            <v>9231</v>
          </cell>
          <cell r="E23">
            <v>75457</v>
          </cell>
          <cell r="F23">
            <v>229398</v>
          </cell>
          <cell r="H23">
            <v>32306</v>
          </cell>
        </row>
        <row r="28">
          <cell r="D28">
            <v>4600</v>
          </cell>
          <cell r="F28">
            <v>4119</v>
          </cell>
          <cell r="G28">
            <v>5343</v>
          </cell>
        </row>
        <row r="33">
          <cell r="D33">
            <v>117877</v>
          </cell>
        </row>
      </sheetData>
      <sheetData sheetId="9">
        <row r="7">
          <cell r="D7">
            <v>44210</v>
          </cell>
          <cell r="E7">
            <v>11946</v>
          </cell>
          <cell r="F7">
            <v>170807</v>
          </cell>
          <cell r="M7">
            <v>227482</v>
          </cell>
        </row>
        <row r="12">
          <cell r="D12">
            <v>71263</v>
          </cell>
          <cell r="E12">
            <v>19077</v>
          </cell>
          <cell r="F12">
            <v>47580</v>
          </cell>
          <cell r="M12">
            <v>140570</v>
          </cell>
        </row>
        <row r="16">
          <cell r="B16" t="str">
            <v>Városi Művelődési Központ és Könyvtár</v>
          </cell>
        </row>
        <row r="17">
          <cell r="D17">
            <v>10162</v>
          </cell>
          <cell r="E17">
            <v>2707</v>
          </cell>
          <cell r="F17">
            <v>12529</v>
          </cell>
          <cell r="G17">
            <v>25398</v>
          </cell>
          <cell r="H17">
            <v>454</v>
          </cell>
          <cell r="L17">
            <v>2900</v>
          </cell>
          <cell r="M17">
            <v>28752</v>
          </cell>
        </row>
        <row r="22">
          <cell r="D22">
            <v>183731</v>
          </cell>
          <cell r="E22">
            <v>25178</v>
          </cell>
          <cell r="H22">
            <v>60703</v>
          </cell>
          <cell r="I22">
            <v>15160</v>
          </cell>
          <cell r="K22">
            <v>4000</v>
          </cell>
          <cell r="L22">
            <v>85090</v>
          </cell>
        </row>
        <row r="31">
          <cell r="D31">
            <v>109424</v>
          </cell>
          <cell r="E31">
            <v>29137</v>
          </cell>
          <cell r="F31">
            <v>34545</v>
          </cell>
          <cell r="H31">
            <v>366</v>
          </cell>
          <cell r="I31">
            <v>113495</v>
          </cell>
          <cell r="L31">
            <v>5000</v>
          </cell>
          <cell r="M31">
            <v>291967</v>
          </cell>
        </row>
        <row r="36">
          <cell r="D36">
            <v>418790</v>
          </cell>
          <cell r="E36">
            <v>88045</v>
          </cell>
          <cell r="F36">
            <v>335548</v>
          </cell>
          <cell r="G36">
            <v>842383</v>
          </cell>
          <cell r="H36">
            <v>61523</v>
          </cell>
          <cell r="I36">
            <v>128655</v>
          </cell>
          <cell r="K36">
            <v>4000</v>
          </cell>
          <cell r="L36">
            <v>96159</v>
          </cell>
        </row>
      </sheetData>
      <sheetData sheetId="13">
        <row r="13">
          <cell r="D13">
            <v>1000</v>
          </cell>
        </row>
        <row r="14">
          <cell r="D14">
            <v>2650</v>
          </cell>
        </row>
        <row r="15">
          <cell r="D15">
            <v>1100</v>
          </cell>
        </row>
      </sheetData>
      <sheetData sheetId="14">
        <row r="7">
          <cell r="C7">
            <v>150</v>
          </cell>
        </row>
        <row r="21">
          <cell r="C21">
            <v>51600</v>
          </cell>
        </row>
      </sheetData>
      <sheetData sheetId="17">
        <row r="16">
          <cell r="C16">
            <v>1513</v>
          </cell>
          <cell r="D16">
            <v>407</v>
          </cell>
          <cell r="E16">
            <v>2105</v>
          </cell>
        </row>
        <row r="17">
          <cell r="C17">
            <v>180598</v>
          </cell>
          <cell r="D17">
            <v>24377</v>
          </cell>
          <cell r="E17">
            <v>11748</v>
          </cell>
        </row>
        <row r="19">
          <cell r="I19">
            <v>4000</v>
          </cell>
        </row>
        <row r="20">
          <cell r="E20">
            <v>507</v>
          </cell>
        </row>
        <row r="25">
          <cell r="F25">
            <v>78996</v>
          </cell>
        </row>
        <row r="29">
          <cell r="C29">
            <v>183731</v>
          </cell>
          <cell r="D29">
            <v>25178</v>
          </cell>
          <cell r="E29">
            <v>70087</v>
          </cell>
          <cell r="G29">
            <v>15160</v>
          </cell>
          <cell r="H29">
            <v>60703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1"/>
  <sheetViews>
    <sheetView tabSelected="1" view="pageBreakPreview" zoomScaleSheetLayoutView="100" zoomScalePageLayoutView="0" workbookViewId="0" topLeftCell="A1">
      <selection activeCell="J34" sqref="J34"/>
    </sheetView>
  </sheetViews>
  <sheetFormatPr defaultColWidth="9.140625" defaultRowHeight="15" customHeight="1"/>
  <cols>
    <col min="1" max="1" width="3.57421875" style="487" customWidth="1"/>
    <col min="2" max="2" width="4.57421875" style="487" customWidth="1"/>
    <col min="3" max="3" width="50.28125" style="487" customWidth="1"/>
    <col min="4" max="4" width="10.421875" style="497" hidden="1" customWidth="1"/>
    <col min="5" max="5" width="14.8515625" style="493" bestFit="1" customWidth="1"/>
    <col min="6" max="6" width="14.8515625" style="493" customWidth="1"/>
    <col min="7" max="10" width="15.00390625" style="493" customWidth="1"/>
    <col min="11" max="11" width="10.28125" style="498" bestFit="1" customWidth="1"/>
    <col min="12" max="12" width="16.57421875" style="493" bestFit="1" customWidth="1"/>
    <col min="13" max="13" width="13.140625" style="493" bestFit="1" customWidth="1"/>
    <col min="14" max="14" width="16.57421875" style="493" bestFit="1" customWidth="1"/>
    <col min="15" max="17" width="17.8515625" style="493" bestFit="1" customWidth="1"/>
    <col min="18" max="23" width="19.140625" style="493" customWidth="1"/>
    <col min="24" max="24" width="14.421875" style="493" bestFit="1" customWidth="1"/>
    <col min="25" max="25" width="22.28125" style="491" customWidth="1"/>
    <col min="26" max="26" width="19.00390625" style="491" customWidth="1"/>
    <col min="27" max="28" width="10.57421875" style="491" customWidth="1"/>
    <col min="29" max="36" width="14.421875" style="491" customWidth="1"/>
    <col min="37" max="37" width="14.421875" style="487" customWidth="1"/>
    <col min="38" max="38" width="14.57421875" style="487" customWidth="1"/>
    <col min="39" max="40" width="14.421875" style="487" customWidth="1"/>
    <col min="41" max="41" width="9.140625" style="487" customWidth="1"/>
    <col min="42" max="42" width="14.140625" style="487" customWidth="1"/>
    <col min="43" max="16384" width="9.140625" style="487" customWidth="1"/>
  </cols>
  <sheetData>
    <row r="1" spans="1:35" ht="15" customHeight="1">
      <c r="A1" s="487" t="s">
        <v>266</v>
      </c>
      <c r="C1" s="486"/>
      <c r="D1" s="494" t="s">
        <v>419</v>
      </c>
      <c r="E1" s="488" t="s">
        <v>377</v>
      </c>
      <c r="F1" s="488" t="s">
        <v>377</v>
      </c>
      <c r="G1" s="488"/>
      <c r="H1" s="488"/>
      <c r="I1" s="488"/>
      <c r="J1" s="488"/>
      <c r="K1" s="489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90"/>
      <c r="Z1" s="490"/>
      <c r="AA1" s="490"/>
      <c r="AB1" s="490"/>
      <c r="AC1" s="490"/>
      <c r="AD1" s="490"/>
      <c r="AE1" s="490"/>
      <c r="AF1" s="490"/>
      <c r="AG1" s="490"/>
      <c r="AH1" s="490"/>
      <c r="AI1" s="490"/>
    </row>
    <row r="2" spans="1:36" ht="15" customHeight="1">
      <c r="A2" s="526" t="s">
        <v>176</v>
      </c>
      <c r="C2" s="515"/>
      <c r="D2" s="494" t="s">
        <v>68</v>
      </c>
      <c r="E2" s="488" t="s">
        <v>68</v>
      </c>
      <c r="F2" s="488" t="s">
        <v>467</v>
      </c>
      <c r="G2" s="488"/>
      <c r="H2" s="488"/>
      <c r="I2" s="488"/>
      <c r="J2" s="488"/>
      <c r="K2" s="489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90"/>
      <c r="Z2" s="490"/>
      <c r="AA2" s="490"/>
      <c r="AB2" s="490"/>
      <c r="AC2" s="490"/>
      <c r="AD2" s="490"/>
      <c r="AE2" s="490"/>
      <c r="AF2" s="490"/>
      <c r="AG2" s="490"/>
      <c r="AH2" s="490"/>
      <c r="AI2" s="490"/>
      <c r="AJ2" s="490"/>
    </row>
    <row r="3" spans="1:36" ht="9" customHeight="1">
      <c r="A3" s="526"/>
      <c r="C3" s="515"/>
      <c r="D3" s="494"/>
      <c r="E3" s="488"/>
      <c r="F3" s="488"/>
      <c r="G3" s="488"/>
      <c r="H3" s="488"/>
      <c r="I3" s="488"/>
      <c r="J3" s="488"/>
      <c r="K3" s="489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90"/>
      <c r="Z3" s="490"/>
      <c r="AA3" s="490"/>
      <c r="AB3" s="490"/>
      <c r="AC3" s="490"/>
      <c r="AD3" s="490"/>
      <c r="AE3" s="490"/>
      <c r="AF3" s="490"/>
      <c r="AG3" s="490"/>
      <c r="AH3" s="490"/>
      <c r="AI3" s="490"/>
      <c r="AJ3" s="490"/>
    </row>
    <row r="4" spans="1:36" s="491" customFormat="1" ht="15" customHeight="1">
      <c r="A4" s="491" t="s">
        <v>11</v>
      </c>
      <c r="B4" s="490" t="s">
        <v>12</v>
      </c>
      <c r="C4" s="490" t="s">
        <v>13</v>
      </c>
      <c r="D4" s="488" t="s">
        <v>14</v>
      </c>
      <c r="E4" s="488" t="s">
        <v>14</v>
      </c>
      <c r="F4" s="488" t="s">
        <v>15</v>
      </c>
      <c r="G4" s="488"/>
      <c r="H4" s="488"/>
      <c r="I4" s="488"/>
      <c r="J4" s="488"/>
      <c r="K4" s="489"/>
      <c r="L4" s="488"/>
      <c r="M4" s="488"/>
      <c r="N4" s="488"/>
      <c r="O4" s="488"/>
      <c r="P4" s="488"/>
      <c r="Q4" s="488"/>
      <c r="R4" s="488"/>
      <c r="S4" s="488"/>
      <c r="T4" s="488"/>
      <c r="U4" s="488"/>
      <c r="V4" s="488"/>
      <c r="W4" s="488"/>
      <c r="X4" s="488"/>
      <c r="Y4" s="490"/>
      <c r="Z4" s="490"/>
      <c r="AA4" s="490"/>
      <c r="AB4" s="490"/>
      <c r="AC4" s="490"/>
      <c r="AD4" s="490"/>
      <c r="AE4" s="490"/>
      <c r="AF4" s="490"/>
      <c r="AG4" s="490"/>
      <c r="AH4" s="490"/>
      <c r="AI4" s="490"/>
      <c r="AJ4" s="490"/>
    </row>
    <row r="5" spans="5:29" ht="9" customHeight="1">
      <c r="E5" s="488"/>
      <c r="F5" s="488"/>
      <c r="G5" s="488"/>
      <c r="H5" s="488"/>
      <c r="I5" s="488"/>
      <c r="J5" s="488"/>
      <c r="K5" s="489"/>
      <c r="L5" s="488"/>
      <c r="M5" s="488"/>
      <c r="N5" s="488"/>
      <c r="Q5" s="488"/>
      <c r="R5" s="488"/>
      <c r="S5" s="488"/>
      <c r="T5" s="488"/>
      <c r="U5" s="488"/>
      <c r="V5" s="488"/>
      <c r="W5" s="488"/>
      <c r="X5" s="488"/>
      <c r="Y5" s="490"/>
      <c r="Z5" s="490"/>
      <c r="AA5" s="490"/>
      <c r="AB5" s="490"/>
      <c r="AC5" s="490"/>
    </row>
    <row r="6" spans="1:41" s="486" customFormat="1" ht="15" customHeight="1">
      <c r="A6" s="487" t="s">
        <v>20</v>
      </c>
      <c r="B6" s="486" t="s">
        <v>98</v>
      </c>
      <c r="D6" s="494">
        <f>SUM(D7:D18)-D7-D11</f>
        <v>307125</v>
      </c>
      <c r="E6" s="495">
        <f>SUM(E7:E18)-E7-E11</f>
        <v>296199</v>
      </c>
      <c r="F6" s="495">
        <f>SUM(F7:F18)-F7-F11</f>
        <v>316093</v>
      </c>
      <c r="G6" s="495"/>
      <c r="H6" s="495"/>
      <c r="I6" s="495"/>
      <c r="J6" s="495"/>
      <c r="K6" s="496"/>
      <c r="L6" s="495"/>
      <c r="M6" s="495"/>
      <c r="N6" s="495"/>
      <c r="O6" s="495"/>
      <c r="P6" s="495"/>
      <c r="Q6" s="495"/>
      <c r="R6" s="495"/>
      <c r="S6" s="495"/>
      <c r="T6" s="495"/>
      <c r="U6" s="495"/>
      <c r="V6" s="495"/>
      <c r="W6" s="495"/>
      <c r="X6" s="495"/>
      <c r="Y6" s="495"/>
      <c r="AL6" s="487"/>
      <c r="AN6" s="487"/>
      <c r="AO6" s="487"/>
    </row>
    <row r="7" spans="1:36" ht="15" customHeight="1">
      <c r="A7" s="487" t="s">
        <v>21</v>
      </c>
      <c r="C7" s="487" t="s">
        <v>99</v>
      </c>
      <c r="D7" s="497">
        <f>SUM(D8:D10)</f>
        <v>114297</v>
      </c>
      <c r="E7" s="493">
        <f>SUM(E8:E10)</f>
        <v>99471</v>
      </c>
      <c r="F7" s="493">
        <f>SUM(F8:F10)</f>
        <v>119312</v>
      </c>
      <c r="O7" s="488"/>
      <c r="AJ7" s="490"/>
    </row>
    <row r="8" spans="1:36" ht="15" customHeight="1">
      <c r="A8" s="487" t="s">
        <v>22</v>
      </c>
      <c r="C8" s="516" t="s">
        <v>100</v>
      </c>
      <c r="D8" s="497">
        <f>+'Bev.intézményenként'!D30-2100-500</f>
        <v>111697</v>
      </c>
      <c r="E8" s="493">
        <f>+'Bev.intézményenként'!D32-2100-500</f>
        <v>96871</v>
      </c>
      <c r="F8" s="493">
        <f>+'Bev.intézményenként'!D33-2100-500</f>
        <v>116712</v>
      </c>
      <c r="O8" s="488"/>
      <c r="AJ8" s="490"/>
    </row>
    <row r="9" spans="1:36" ht="15" customHeight="1">
      <c r="A9" s="487" t="s">
        <v>23</v>
      </c>
      <c r="C9" s="516" t="s">
        <v>101</v>
      </c>
      <c r="D9" s="497">
        <v>2100</v>
      </c>
      <c r="E9" s="493">
        <v>2100</v>
      </c>
      <c r="F9" s="493">
        <f>+E9</f>
        <v>2100</v>
      </c>
      <c r="O9" s="488"/>
      <c r="AJ9" s="490"/>
    </row>
    <row r="10" spans="1:36" ht="15" customHeight="1">
      <c r="A10" s="487" t="s">
        <v>24</v>
      </c>
      <c r="C10" s="516" t="s">
        <v>102</v>
      </c>
      <c r="D10" s="497">
        <v>500</v>
      </c>
      <c r="E10" s="493">
        <v>500</v>
      </c>
      <c r="F10" s="493">
        <f>+E10</f>
        <v>500</v>
      </c>
      <c r="O10" s="488"/>
      <c r="AJ10" s="490"/>
    </row>
    <row r="11" spans="1:36" ht="15" customHeight="1">
      <c r="A11" s="487" t="s">
        <v>25</v>
      </c>
      <c r="C11" s="487" t="s">
        <v>103</v>
      </c>
      <c r="D11" s="497">
        <f>SUM(D12:D12)</f>
        <v>15214</v>
      </c>
      <c r="E11" s="493">
        <f>SUM(E12:E12)</f>
        <v>15214</v>
      </c>
      <c r="F11" s="493">
        <f>SUM(F12:F13)</f>
        <v>15219</v>
      </c>
      <c r="AJ11" s="490"/>
    </row>
    <row r="12" spans="1:36" ht="15" customHeight="1">
      <c r="A12" s="487" t="s">
        <v>26</v>
      </c>
      <c r="C12" s="516" t="s">
        <v>104</v>
      </c>
      <c r="D12" s="517">
        <v>15214</v>
      </c>
      <c r="E12" s="493">
        <v>15214</v>
      </c>
      <c r="F12" s="493">
        <f aca="true" t="shared" si="0" ref="F12:F18">+E12</f>
        <v>15214</v>
      </c>
      <c r="O12" s="499"/>
      <c r="P12" s="488"/>
      <c r="Z12" s="493"/>
      <c r="AA12" s="493"/>
      <c r="AJ12" s="490"/>
    </row>
    <row r="13" spans="1:36" ht="15" customHeight="1">
      <c r="A13" s="487" t="s">
        <v>27</v>
      </c>
      <c r="C13" s="516" t="s">
        <v>557</v>
      </c>
      <c r="D13" s="517"/>
      <c r="F13" s="493">
        <v>5</v>
      </c>
      <c r="O13" s="499"/>
      <c r="P13" s="488"/>
      <c r="Z13" s="493"/>
      <c r="AA13" s="493"/>
      <c r="AJ13" s="490"/>
    </row>
    <row r="14" spans="1:36" ht="15" customHeight="1">
      <c r="A14" s="487" t="s">
        <v>28</v>
      </c>
      <c r="C14" s="487" t="s">
        <v>105</v>
      </c>
      <c r="D14" s="497">
        <v>125000</v>
      </c>
      <c r="E14" s="493">
        <v>125000</v>
      </c>
      <c r="F14" s="493">
        <f t="shared" si="0"/>
        <v>125000</v>
      </c>
      <c r="Z14" s="493"/>
      <c r="AA14" s="493"/>
      <c r="AJ14" s="490"/>
    </row>
    <row r="15" spans="1:36" ht="15" customHeight="1">
      <c r="A15" s="487" t="s">
        <v>29</v>
      </c>
      <c r="C15" s="487" t="s">
        <v>106</v>
      </c>
      <c r="D15" s="497">
        <v>3</v>
      </c>
      <c r="E15" s="493">
        <v>3</v>
      </c>
      <c r="F15" s="493">
        <f>+E15+48</f>
        <v>51</v>
      </c>
      <c r="O15" s="499"/>
      <c r="P15" s="488"/>
      <c r="AJ15" s="490"/>
    </row>
    <row r="16" spans="1:36" ht="15" customHeight="1">
      <c r="A16" s="487" t="s">
        <v>30</v>
      </c>
      <c r="C16" s="487" t="s">
        <v>107</v>
      </c>
      <c r="D16" s="497">
        <v>2561</v>
      </c>
      <c r="E16" s="493">
        <v>2561</v>
      </c>
      <c r="F16" s="493">
        <f t="shared" si="0"/>
        <v>2561</v>
      </c>
      <c r="AJ16" s="490"/>
    </row>
    <row r="17" spans="1:36" ht="15" customHeight="1">
      <c r="A17" s="487" t="s">
        <v>31</v>
      </c>
      <c r="C17" s="487" t="s">
        <v>108</v>
      </c>
      <c r="D17" s="497">
        <v>2500</v>
      </c>
      <c r="E17" s="493">
        <v>2500</v>
      </c>
      <c r="F17" s="493">
        <f t="shared" si="0"/>
        <v>2500</v>
      </c>
      <c r="AD17" s="487"/>
      <c r="AE17" s="487"/>
      <c r="AF17" s="487"/>
      <c r="AJ17" s="490"/>
    </row>
    <row r="18" spans="1:36" ht="15" customHeight="1">
      <c r="A18" s="487" t="s">
        <v>32</v>
      </c>
      <c r="C18" s="487" t="s">
        <v>420</v>
      </c>
      <c r="D18" s="497">
        <v>47550</v>
      </c>
      <c r="E18" s="493">
        <f>7000+35000+9450</f>
        <v>51450</v>
      </c>
      <c r="F18" s="493">
        <f t="shared" si="0"/>
        <v>51450</v>
      </c>
      <c r="AD18" s="487"/>
      <c r="AE18" s="487"/>
      <c r="AF18" s="487"/>
      <c r="AJ18" s="490"/>
    </row>
    <row r="19" spans="30:36" ht="8.25" customHeight="1">
      <c r="AD19" s="487"/>
      <c r="AE19" s="487"/>
      <c r="AF19" s="487"/>
      <c r="AJ19" s="490"/>
    </row>
    <row r="20" spans="1:39" s="486" customFormat="1" ht="15" customHeight="1">
      <c r="A20" s="487" t="s">
        <v>33</v>
      </c>
      <c r="B20" s="486" t="s">
        <v>109</v>
      </c>
      <c r="D20" s="494">
        <f>+D21+D22</f>
        <v>9964</v>
      </c>
      <c r="E20" s="495">
        <f>+E21+E22</f>
        <v>9964</v>
      </c>
      <c r="F20" s="495">
        <f>+F21+F22</f>
        <v>10054</v>
      </c>
      <c r="G20" s="495"/>
      <c r="H20" s="495">
        <f>F11+F14+F15+F16+F17</f>
        <v>145331</v>
      </c>
      <c r="I20" s="495"/>
      <c r="J20" s="495"/>
      <c r="K20" s="496"/>
      <c r="L20" s="495"/>
      <c r="M20" s="495"/>
      <c r="N20" s="495"/>
      <c r="O20" s="495"/>
      <c r="P20" s="495"/>
      <c r="Q20" s="495"/>
      <c r="R20" s="495"/>
      <c r="S20" s="495"/>
      <c r="T20" s="495"/>
      <c r="U20" s="495"/>
      <c r="V20" s="495"/>
      <c r="W20" s="495"/>
      <c r="X20" s="495"/>
      <c r="AK20" s="487"/>
      <c r="AL20" s="487"/>
      <c r="AM20" s="487"/>
    </row>
    <row r="21" spans="1:36" ht="15" customHeight="1">
      <c r="A21" s="487" t="s">
        <v>34</v>
      </c>
      <c r="C21" s="487" t="s">
        <v>110</v>
      </c>
      <c r="D21" s="497">
        <v>9814</v>
      </c>
      <c r="E21" s="500">
        <v>9814</v>
      </c>
      <c r="F21" s="500">
        <f>+E21</f>
        <v>9814</v>
      </c>
      <c r="G21" s="487"/>
      <c r="H21" s="487"/>
      <c r="I21" s="487"/>
      <c r="J21" s="487"/>
      <c r="Y21" s="493"/>
      <c r="Z21" s="493"/>
      <c r="AC21" s="493"/>
      <c r="AD21" s="493"/>
      <c r="AJ21" s="486"/>
    </row>
    <row r="22" spans="1:36" ht="15" customHeight="1">
      <c r="A22" s="487" t="s">
        <v>35</v>
      </c>
      <c r="C22" s="487" t="s">
        <v>111</v>
      </c>
      <c r="D22" s="497">
        <v>150</v>
      </c>
      <c r="E22" s="493">
        <v>150</v>
      </c>
      <c r="F22" s="493">
        <f>+E22+90</f>
        <v>240</v>
      </c>
      <c r="Y22" s="493"/>
      <c r="Z22" s="493"/>
      <c r="AC22" s="493"/>
      <c r="AD22" s="493"/>
      <c r="AJ22" s="486"/>
    </row>
    <row r="23" ht="15.75">
      <c r="AJ23" s="486"/>
    </row>
    <row r="24" spans="1:39" s="486" customFormat="1" ht="15" customHeight="1">
      <c r="A24" s="487" t="s">
        <v>36</v>
      </c>
      <c r="B24" s="486" t="s">
        <v>112</v>
      </c>
      <c r="D24" s="494">
        <f>SUM(D25:D25)</f>
        <v>251962</v>
      </c>
      <c r="E24" s="495">
        <f>SUM(E25:E25)</f>
        <v>241074</v>
      </c>
      <c r="F24" s="495">
        <f>SUM(F25:F49)-F27-F28-F38-F40-F43</f>
        <v>610114</v>
      </c>
      <c r="G24" s="495"/>
      <c r="H24" s="495"/>
      <c r="I24" s="495"/>
      <c r="J24" s="495"/>
      <c r="K24" s="496"/>
      <c r="L24" s="495"/>
      <c r="M24" s="495"/>
      <c r="N24" s="495"/>
      <c r="O24" s="495"/>
      <c r="P24" s="495"/>
      <c r="Q24" s="495"/>
      <c r="R24" s="495"/>
      <c r="S24" s="495"/>
      <c r="T24" s="495"/>
      <c r="U24" s="495"/>
      <c r="V24" s="495"/>
      <c r="W24" s="495"/>
      <c r="X24" s="495"/>
      <c r="Y24" s="495"/>
      <c r="AD24" s="495"/>
      <c r="AL24" s="487"/>
      <c r="AM24" s="487"/>
    </row>
    <row r="25" spans="1:36" ht="15" customHeight="1">
      <c r="A25" s="487" t="s">
        <v>37</v>
      </c>
      <c r="C25" s="487" t="s">
        <v>10</v>
      </c>
      <c r="D25" s="497">
        <v>251962</v>
      </c>
      <c r="E25" s="493">
        <f>240773+301</f>
        <v>241074</v>
      </c>
      <c r="F25" s="493">
        <f>+E25</f>
        <v>241074</v>
      </c>
      <c r="Y25" s="493"/>
      <c r="Z25" s="493"/>
      <c r="AA25" s="493"/>
      <c r="AC25" s="493"/>
      <c r="AD25" s="493"/>
      <c r="AJ25" s="490"/>
    </row>
    <row r="26" spans="1:36" ht="15" customHeight="1">
      <c r="A26" s="487" t="s">
        <v>40</v>
      </c>
      <c r="C26" s="487" t="s">
        <v>553</v>
      </c>
      <c r="F26" s="493">
        <v>1248</v>
      </c>
      <c r="Y26" s="493"/>
      <c r="Z26" s="493"/>
      <c r="AA26" s="493"/>
      <c r="AC26" s="493"/>
      <c r="AD26" s="493"/>
      <c r="AJ26" s="490"/>
    </row>
    <row r="27" spans="1:36" ht="15" customHeight="1">
      <c r="A27" s="487" t="s">
        <v>42</v>
      </c>
      <c r="C27" s="526" t="s">
        <v>529</v>
      </c>
      <c r="F27" s="493">
        <f>+F28+F38</f>
        <v>17824</v>
      </c>
      <c r="Y27" s="493"/>
      <c r="Z27" s="493"/>
      <c r="AA27" s="493"/>
      <c r="AC27" s="493"/>
      <c r="AD27" s="493"/>
      <c r="AJ27" s="490"/>
    </row>
    <row r="28" spans="1:36" ht="15" customHeight="1">
      <c r="A28" s="487" t="s">
        <v>43</v>
      </c>
      <c r="C28" s="545" t="s">
        <v>521</v>
      </c>
      <c r="F28" s="493">
        <f>SUM(F29:F36)</f>
        <v>17024</v>
      </c>
      <c r="Y28" s="493"/>
      <c r="Z28" s="493"/>
      <c r="AA28" s="493"/>
      <c r="AC28" s="493"/>
      <c r="AD28" s="493"/>
      <c r="AJ28" s="490"/>
    </row>
    <row r="29" spans="1:36" ht="15" customHeight="1">
      <c r="A29" s="487" t="s">
        <v>44</v>
      </c>
      <c r="C29" s="487" t="s">
        <v>530</v>
      </c>
      <c r="F29" s="493">
        <f>426+639+791+687</f>
        <v>2543</v>
      </c>
      <c r="Y29" s="493"/>
      <c r="Z29" s="493"/>
      <c r="AA29" s="493"/>
      <c r="AC29" s="493"/>
      <c r="AD29" s="493"/>
      <c r="AJ29" s="490"/>
    </row>
    <row r="30" spans="1:36" ht="15" customHeight="1">
      <c r="A30" s="487" t="s">
        <v>45</v>
      </c>
      <c r="C30" s="487" t="s">
        <v>479</v>
      </c>
      <c r="F30" s="493">
        <f>959+1401+890+1542</f>
        <v>4792</v>
      </c>
      <c r="Y30" s="493"/>
      <c r="Z30" s="493"/>
      <c r="AA30" s="493"/>
      <c r="AC30" s="493"/>
      <c r="AD30" s="493"/>
      <c r="AJ30" s="490"/>
    </row>
    <row r="31" spans="1:36" ht="15" customHeight="1">
      <c r="A31" s="487" t="s">
        <v>46</v>
      </c>
      <c r="C31" s="487" t="s">
        <v>524</v>
      </c>
      <c r="F31" s="487">
        <v>281</v>
      </c>
      <c r="Y31" s="493"/>
      <c r="Z31" s="493"/>
      <c r="AA31" s="493"/>
      <c r="AC31" s="493"/>
      <c r="AD31" s="493"/>
      <c r="AJ31" s="490"/>
    </row>
    <row r="32" spans="1:36" ht="15" customHeight="1">
      <c r="A32" s="487" t="s">
        <v>47</v>
      </c>
      <c r="C32" s="487" t="s">
        <v>525</v>
      </c>
      <c r="F32" s="487">
        <v>338</v>
      </c>
      <c r="Y32" s="493"/>
      <c r="Z32" s="493"/>
      <c r="AA32" s="493"/>
      <c r="AC32" s="493"/>
      <c r="AD32" s="493"/>
      <c r="AJ32" s="490"/>
    </row>
    <row r="33" spans="1:36" ht="15" customHeight="1">
      <c r="A33" s="487" t="s">
        <v>48</v>
      </c>
      <c r="C33" s="487" t="s">
        <v>526</v>
      </c>
      <c r="F33" s="487">
        <v>1010</v>
      </c>
      <c r="Y33" s="493"/>
      <c r="Z33" s="493"/>
      <c r="AA33" s="493"/>
      <c r="AC33" s="493"/>
      <c r="AD33" s="493"/>
      <c r="AJ33" s="490"/>
    </row>
    <row r="34" spans="1:36" ht="15" customHeight="1">
      <c r="A34" s="487" t="s">
        <v>49</v>
      </c>
      <c r="C34" s="487" t="s">
        <v>527</v>
      </c>
      <c r="F34" s="487">
        <v>885</v>
      </c>
      <c r="Y34" s="493"/>
      <c r="Z34" s="493"/>
      <c r="AA34" s="493"/>
      <c r="AC34" s="493"/>
      <c r="AD34" s="493"/>
      <c r="AJ34" s="490"/>
    </row>
    <row r="35" spans="1:36" ht="15" customHeight="1">
      <c r="A35" s="487" t="s">
        <v>50</v>
      </c>
      <c r="C35" s="487" t="s">
        <v>523</v>
      </c>
      <c r="F35" s="487">
        <f>800-800</f>
        <v>0</v>
      </c>
      <c r="Y35" s="493"/>
      <c r="Z35" s="493"/>
      <c r="AA35" s="493"/>
      <c r="AC35" s="493"/>
      <c r="AD35" s="493"/>
      <c r="AJ35" s="490"/>
    </row>
    <row r="36" spans="1:36" ht="15" customHeight="1">
      <c r="A36" s="487" t="s">
        <v>51</v>
      </c>
      <c r="C36" s="487" t="s">
        <v>528</v>
      </c>
      <c r="F36" s="487">
        <v>7175</v>
      </c>
      <c r="Y36" s="493"/>
      <c r="Z36" s="493"/>
      <c r="AA36" s="493"/>
      <c r="AC36" s="493"/>
      <c r="AD36" s="493"/>
      <c r="AJ36" s="490"/>
    </row>
    <row r="37" spans="1:36" ht="15" customHeight="1">
      <c r="A37" s="487" t="s">
        <v>52</v>
      </c>
      <c r="C37" s="487" t="s">
        <v>585</v>
      </c>
      <c r="F37" s="493">
        <v>520</v>
      </c>
      <c r="Y37" s="493"/>
      <c r="Z37" s="493"/>
      <c r="AA37" s="493"/>
      <c r="AC37" s="493"/>
      <c r="AD37" s="493"/>
      <c r="AJ37" s="490"/>
    </row>
    <row r="38" spans="1:36" ht="15" customHeight="1">
      <c r="A38" s="487" t="s">
        <v>484</v>
      </c>
      <c r="C38" s="545" t="s">
        <v>522</v>
      </c>
      <c r="F38" s="487">
        <f>+F39</f>
        <v>800</v>
      </c>
      <c r="Y38" s="493"/>
      <c r="Z38" s="493"/>
      <c r="AA38" s="493"/>
      <c r="AC38" s="493"/>
      <c r="AD38" s="493"/>
      <c r="AJ38" s="490"/>
    </row>
    <row r="39" spans="1:36" ht="15" customHeight="1">
      <c r="A39" s="487" t="s">
        <v>485</v>
      </c>
      <c r="C39" s="487" t="s">
        <v>523</v>
      </c>
      <c r="F39" s="487">
        <v>800</v>
      </c>
      <c r="G39" s="566" t="s">
        <v>583</v>
      </c>
      <c r="H39" s="567" t="s">
        <v>584</v>
      </c>
      <c r="Y39" s="493"/>
      <c r="Z39" s="493"/>
      <c r="AA39" s="493"/>
      <c r="AC39" s="493"/>
      <c r="AD39" s="493"/>
      <c r="AJ39" s="490"/>
    </row>
    <row r="40" spans="1:36" ht="15" customHeight="1">
      <c r="A40" s="487" t="s">
        <v>486</v>
      </c>
      <c r="C40" s="546" t="s">
        <v>549</v>
      </c>
      <c r="F40" s="493">
        <f>+F41+F42</f>
        <v>11683</v>
      </c>
      <c r="Y40" s="493"/>
      <c r="Z40" s="493"/>
      <c r="AA40" s="493"/>
      <c r="AC40" s="493"/>
      <c r="AD40" s="493"/>
      <c r="AJ40" s="490"/>
    </row>
    <row r="41" spans="1:36" ht="15" customHeight="1">
      <c r="A41" s="487" t="s">
        <v>487</v>
      </c>
      <c r="C41" s="487" t="s">
        <v>548</v>
      </c>
      <c r="F41" s="493">
        <v>2871</v>
      </c>
      <c r="Y41" s="493"/>
      <c r="Z41" s="493"/>
      <c r="AA41" s="493"/>
      <c r="AC41" s="493"/>
      <c r="AD41" s="493"/>
      <c r="AJ41" s="490"/>
    </row>
    <row r="42" spans="1:36" ht="15" customHeight="1">
      <c r="A42" s="487" t="s">
        <v>488</v>
      </c>
      <c r="C42" s="487" t="s">
        <v>560</v>
      </c>
      <c r="F42" s="493">
        <v>8812</v>
      </c>
      <c r="Y42" s="493"/>
      <c r="Z42" s="493"/>
      <c r="AA42" s="493"/>
      <c r="AC42" s="493"/>
      <c r="AD42" s="493"/>
      <c r="AJ42" s="490"/>
    </row>
    <row r="43" spans="1:36" ht="15" customHeight="1">
      <c r="A43" s="487" t="s">
        <v>586</v>
      </c>
      <c r="C43" s="526" t="s">
        <v>555</v>
      </c>
      <c r="D43" s="517"/>
      <c r="E43" s="543"/>
      <c r="F43" s="543">
        <f>+F44+F45</f>
        <v>244524</v>
      </c>
      <c r="Y43" s="493"/>
      <c r="Z43" s="493"/>
      <c r="AA43" s="493"/>
      <c r="AC43" s="493"/>
      <c r="AD43" s="493"/>
      <c r="AJ43" s="490"/>
    </row>
    <row r="44" spans="1:36" ht="15" customHeight="1">
      <c r="A44" s="487" t="s">
        <v>587</v>
      </c>
      <c r="C44" s="487" t="s">
        <v>554</v>
      </c>
      <c r="F44" s="493">
        <f>244436-8812</f>
        <v>235624</v>
      </c>
      <c r="Y44" s="493"/>
      <c r="Z44" s="493"/>
      <c r="AA44" s="493"/>
      <c r="AC44" s="493"/>
      <c r="AD44" s="493"/>
      <c r="AJ44" s="490"/>
    </row>
    <row r="45" spans="1:36" ht="15" customHeight="1">
      <c r="A45" s="487" t="s">
        <v>588</v>
      </c>
      <c r="C45" s="542" t="s">
        <v>550</v>
      </c>
      <c r="F45" s="493">
        <v>8900</v>
      </c>
      <c r="Y45" s="493"/>
      <c r="Z45" s="493"/>
      <c r="AA45" s="493"/>
      <c r="AC45" s="493"/>
      <c r="AD45" s="493"/>
      <c r="AJ45" s="490"/>
    </row>
    <row r="46" spans="1:36" ht="15" customHeight="1">
      <c r="A46" s="487" t="s">
        <v>589</v>
      </c>
      <c r="C46" s="487" t="s">
        <v>480</v>
      </c>
      <c r="F46" s="493">
        <f>24129+34879+17082+16881</f>
        <v>92971</v>
      </c>
      <c r="Y46" s="493"/>
      <c r="Z46" s="493"/>
      <c r="AA46" s="493"/>
      <c r="AC46" s="493"/>
      <c r="AD46" s="493"/>
      <c r="AJ46" s="490"/>
    </row>
    <row r="47" spans="1:36" ht="15" customHeight="1">
      <c r="A47" s="487" t="s">
        <v>590</v>
      </c>
      <c r="C47" s="487" t="s">
        <v>89</v>
      </c>
      <c r="F47" s="493">
        <v>270</v>
      </c>
      <c r="Y47" s="493"/>
      <c r="Z47" s="493"/>
      <c r="AA47" s="493"/>
      <c r="AC47" s="493"/>
      <c r="AD47" s="493"/>
      <c r="AJ47" s="490"/>
    </row>
    <row r="48" spans="25:36" ht="15" customHeight="1">
      <c r="Y48" s="493"/>
      <c r="Z48" s="493"/>
      <c r="AA48" s="493"/>
      <c r="AC48" s="493"/>
      <c r="AD48" s="493"/>
      <c r="AJ48" s="490"/>
    </row>
    <row r="49" spans="25:36" ht="15" customHeight="1">
      <c r="Y49" s="493"/>
      <c r="Z49" s="493"/>
      <c r="AA49" s="493"/>
      <c r="AC49" s="493"/>
      <c r="AD49" s="493"/>
      <c r="AJ49" s="490"/>
    </row>
    <row r="50" spans="25:36" ht="15.75">
      <c r="Y50" s="493"/>
      <c r="Z50" s="493"/>
      <c r="AA50" s="493"/>
      <c r="AC50" s="493"/>
      <c r="AD50" s="493"/>
      <c r="AJ50" s="490"/>
    </row>
    <row r="51" spans="1:30" ht="14.25" customHeight="1">
      <c r="A51" s="487" t="s">
        <v>591</v>
      </c>
      <c r="B51" s="486" t="s">
        <v>113</v>
      </c>
      <c r="C51" s="486"/>
      <c r="D51" s="495">
        <f>+D53</f>
        <v>198097</v>
      </c>
      <c r="E51" s="495">
        <f>+E53</f>
        <v>150344</v>
      </c>
      <c r="F51" s="495">
        <f>+F53+F98</f>
        <v>346174</v>
      </c>
      <c r="G51" s="495"/>
      <c r="H51" s="495"/>
      <c r="I51" s="495"/>
      <c r="J51" s="495"/>
      <c r="K51" s="496"/>
      <c r="L51" s="495"/>
      <c r="M51" s="495"/>
      <c r="N51" s="495"/>
      <c r="O51" s="495"/>
      <c r="P51" s="495"/>
      <c r="Q51" s="495"/>
      <c r="R51" s="495"/>
      <c r="S51" s="495"/>
      <c r="T51" s="495"/>
      <c r="U51" s="495"/>
      <c r="V51" s="495"/>
      <c r="W51" s="495"/>
      <c r="X51" s="495"/>
      <c r="Y51" s="500"/>
      <c r="Z51" s="486"/>
      <c r="AA51" s="486"/>
      <c r="AB51" s="486"/>
      <c r="AC51" s="486"/>
      <c r="AD51" s="486"/>
    </row>
    <row r="52" spans="2:30" ht="9" customHeight="1">
      <c r="B52" s="486"/>
      <c r="C52" s="486"/>
      <c r="D52" s="494"/>
      <c r="E52" s="495"/>
      <c r="F52" s="495"/>
      <c r="G52" s="495"/>
      <c r="H52" s="495"/>
      <c r="I52" s="495"/>
      <c r="J52" s="495"/>
      <c r="K52" s="496"/>
      <c r="L52" s="495"/>
      <c r="M52" s="495"/>
      <c r="N52" s="495"/>
      <c r="O52" s="495"/>
      <c r="P52" s="495"/>
      <c r="Q52" s="495"/>
      <c r="R52" s="495"/>
      <c r="S52" s="495"/>
      <c r="T52" s="495"/>
      <c r="U52" s="495"/>
      <c r="V52" s="495"/>
      <c r="W52" s="495"/>
      <c r="X52" s="495"/>
      <c r="Y52" s="500"/>
      <c r="Z52" s="486"/>
      <c r="AA52" s="486"/>
      <c r="AB52" s="486"/>
      <c r="AC52" s="486"/>
      <c r="AD52" s="486"/>
    </row>
    <row r="53" spans="1:30" ht="15" customHeight="1">
      <c r="A53" s="487" t="s">
        <v>592</v>
      </c>
      <c r="B53" s="486"/>
      <c r="C53" s="492" t="s">
        <v>114</v>
      </c>
      <c r="D53" s="501">
        <f>SUM(D54:D63)</f>
        <v>198097</v>
      </c>
      <c r="E53" s="501">
        <f>SUM(E54:E64)</f>
        <v>150344</v>
      </c>
      <c r="F53" s="501">
        <f>SUM(F54:F97)-F67</f>
        <v>310606</v>
      </c>
      <c r="G53" s="501"/>
      <c r="H53" s="501"/>
      <c r="I53" s="501"/>
      <c r="J53" s="501"/>
      <c r="K53" s="502"/>
      <c r="L53" s="501"/>
      <c r="M53" s="501"/>
      <c r="N53" s="501"/>
      <c r="O53" s="501"/>
      <c r="P53" s="501"/>
      <c r="Q53" s="501"/>
      <c r="R53" s="501"/>
      <c r="S53" s="501"/>
      <c r="T53" s="501"/>
      <c r="U53" s="501"/>
      <c r="V53" s="501"/>
      <c r="W53" s="501"/>
      <c r="X53" s="501"/>
      <c r="Y53" s="501"/>
      <c r="Z53" s="501"/>
      <c r="AA53" s="501"/>
      <c r="AB53" s="501"/>
      <c r="AC53" s="501"/>
      <c r="AD53" s="503"/>
    </row>
    <row r="54" spans="1:29" ht="15" customHeight="1">
      <c r="A54" s="487" t="s">
        <v>593</v>
      </c>
      <c r="C54" s="487" t="s">
        <v>115</v>
      </c>
      <c r="D54" s="497">
        <v>34000</v>
      </c>
      <c r="E54" s="493">
        <f>+'Bev.intézményenként'!F12</f>
        <v>32500</v>
      </c>
      <c r="F54" s="493">
        <f>+E54</f>
        <v>32500</v>
      </c>
      <c r="AC54" s="493"/>
    </row>
    <row r="55" spans="1:28" ht="15" customHeight="1">
      <c r="A55" s="487" t="s">
        <v>594</v>
      </c>
      <c r="C55" s="487" t="s">
        <v>116</v>
      </c>
      <c r="D55" s="497">
        <v>146826</v>
      </c>
      <c r="E55" s="493">
        <v>94553</v>
      </c>
      <c r="F55" s="493">
        <f>+E55-24129-34879-17082-16881</f>
        <v>1582</v>
      </c>
      <c r="R55" s="504"/>
      <c r="Y55" s="493"/>
      <c r="Z55" s="493"/>
      <c r="AA55" s="493"/>
      <c r="AB55" s="493"/>
    </row>
    <row r="56" spans="1:35" ht="0.75" customHeight="1">
      <c r="A56" s="487" t="s">
        <v>595</v>
      </c>
      <c r="C56" s="486"/>
      <c r="D56" s="494" t="s">
        <v>419</v>
      </c>
      <c r="E56" s="488" t="s">
        <v>377</v>
      </c>
      <c r="F56" s="488" t="s">
        <v>377</v>
      </c>
      <c r="G56" s="488"/>
      <c r="H56" s="488"/>
      <c r="I56" s="488"/>
      <c r="J56" s="488"/>
      <c r="K56" s="489"/>
      <c r="L56" s="488"/>
      <c r="M56" s="488"/>
      <c r="N56" s="488"/>
      <c r="O56" s="488"/>
      <c r="P56" s="488"/>
      <c r="Q56" s="488"/>
      <c r="R56" s="488"/>
      <c r="S56" s="488"/>
      <c r="T56" s="488"/>
      <c r="U56" s="488"/>
      <c r="V56" s="488"/>
      <c r="W56" s="488"/>
      <c r="X56" s="488"/>
      <c r="Y56" s="490"/>
      <c r="Z56" s="490"/>
      <c r="AA56" s="490"/>
      <c r="AB56" s="490"/>
      <c r="AC56" s="490"/>
      <c r="AD56" s="490"/>
      <c r="AE56" s="490"/>
      <c r="AF56" s="490"/>
      <c r="AG56" s="490"/>
      <c r="AH56" s="490"/>
      <c r="AI56" s="490"/>
    </row>
    <row r="57" spans="1:36" ht="2.25" customHeight="1" hidden="1">
      <c r="A57" s="487" t="s">
        <v>596</v>
      </c>
      <c r="C57" s="515"/>
      <c r="D57" s="494" t="s">
        <v>68</v>
      </c>
      <c r="E57" s="488" t="s">
        <v>68</v>
      </c>
      <c r="F57" s="488" t="s">
        <v>467</v>
      </c>
      <c r="G57" s="488"/>
      <c r="H57" s="488"/>
      <c r="I57" s="488"/>
      <c r="J57" s="488"/>
      <c r="K57" s="489"/>
      <c r="L57" s="488"/>
      <c r="M57" s="488"/>
      <c r="N57" s="488"/>
      <c r="O57" s="488"/>
      <c r="P57" s="488"/>
      <c r="Q57" s="488"/>
      <c r="R57" s="488"/>
      <c r="S57" s="488"/>
      <c r="T57" s="488"/>
      <c r="U57" s="488"/>
      <c r="V57" s="488"/>
      <c r="W57" s="488"/>
      <c r="X57" s="488"/>
      <c r="Y57" s="490"/>
      <c r="Z57" s="490"/>
      <c r="AA57" s="490"/>
      <c r="AB57" s="490"/>
      <c r="AC57" s="490"/>
      <c r="AD57" s="490"/>
      <c r="AE57" s="490"/>
      <c r="AF57" s="490"/>
      <c r="AG57" s="490"/>
      <c r="AH57" s="490"/>
      <c r="AI57" s="490"/>
      <c r="AJ57" s="490"/>
    </row>
    <row r="58" spans="1:36" ht="9" customHeight="1" hidden="1">
      <c r="A58" s="487" t="s">
        <v>597</v>
      </c>
      <c r="C58" s="515"/>
      <c r="D58" s="494"/>
      <c r="E58" s="488"/>
      <c r="F58" s="488"/>
      <c r="G58" s="488"/>
      <c r="H58" s="488"/>
      <c r="I58" s="488"/>
      <c r="J58" s="488"/>
      <c r="K58" s="489"/>
      <c r="L58" s="488"/>
      <c r="M58" s="488"/>
      <c r="N58" s="488"/>
      <c r="O58" s="488"/>
      <c r="P58" s="488"/>
      <c r="Q58" s="488"/>
      <c r="R58" s="488"/>
      <c r="S58" s="488"/>
      <c r="T58" s="488"/>
      <c r="U58" s="488"/>
      <c r="V58" s="488"/>
      <c r="W58" s="488"/>
      <c r="X58" s="488"/>
      <c r="Y58" s="490"/>
      <c r="Z58" s="490"/>
      <c r="AA58" s="490"/>
      <c r="AB58" s="490"/>
      <c r="AC58" s="490"/>
      <c r="AD58" s="490"/>
      <c r="AE58" s="490"/>
      <c r="AF58" s="490"/>
      <c r="AG58" s="490"/>
      <c r="AH58" s="490"/>
      <c r="AI58" s="490"/>
      <c r="AJ58" s="490"/>
    </row>
    <row r="59" spans="1:36" s="491" customFormat="1" ht="0.75" customHeight="1" hidden="1">
      <c r="A59" s="487" t="s">
        <v>598</v>
      </c>
      <c r="B59" s="490" t="s">
        <v>12</v>
      </c>
      <c r="C59" s="490" t="s">
        <v>13</v>
      </c>
      <c r="D59" s="488" t="s">
        <v>14</v>
      </c>
      <c r="E59" s="488" t="s">
        <v>14</v>
      </c>
      <c r="F59" s="488" t="s">
        <v>15</v>
      </c>
      <c r="G59" s="488"/>
      <c r="H59" s="488"/>
      <c r="I59" s="488"/>
      <c r="J59" s="488"/>
      <c r="K59" s="489"/>
      <c r="L59" s="488"/>
      <c r="M59" s="488"/>
      <c r="N59" s="488"/>
      <c r="O59" s="488"/>
      <c r="P59" s="488"/>
      <c r="Q59" s="488"/>
      <c r="R59" s="488"/>
      <c r="S59" s="488"/>
      <c r="T59" s="488"/>
      <c r="U59" s="488"/>
      <c r="V59" s="488"/>
      <c r="W59" s="488"/>
      <c r="X59" s="488"/>
      <c r="Y59" s="490"/>
      <c r="Z59" s="490"/>
      <c r="AA59" s="490"/>
      <c r="AB59" s="490"/>
      <c r="AC59" s="490"/>
      <c r="AD59" s="490"/>
      <c r="AE59" s="490"/>
      <c r="AF59" s="490"/>
      <c r="AG59" s="490"/>
      <c r="AH59" s="490"/>
      <c r="AI59" s="490"/>
      <c r="AJ59" s="490"/>
    </row>
    <row r="60" spans="1:6" ht="15" customHeight="1">
      <c r="A60" s="487" t="s">
        <v>595</v>
      </c>
      <c r="C60" s="487" t="s">
        <v>117</v>
      </c>
      <c r="D60" s="497">
        <v>600</v>
      </c>
      <c r="E60" s="493">
        <v>600</v>
      </c>
      <c r="F60" s="493">
        <f>+E60</f>
        <v>600</v>
      </c>
    </row>
    <row r="61" spans="1:6" ht="15" customHeight="1">
      <c r="A61" s="487" t="s">
        <v>596</v>
      </c>
      <c r="C61" s="487" t="s">
        <v>118</v>
      </c>
      <c r="D61" s="497">
        <v>3000</v>
      </c>
      <c r="E61" s="493">
        <v>4500</v>
      </c>
      <c r="F61" s="493">
        <f>+E61</f>
        <v>4500</v>
      </c>
    </row>
    <row r="62" spans="1:6" ht="15" customHeight="1">
      <c r="A62" s="487" t="s">
        <v>597</v>
      </c>
      <c r="C62" s="487" t="s">
        <v>119</v>
      </c>
      <c r="D62" s="497">
        <v>8000</v>
      </c>
      <c r="E62" s="493">
        <v>8000</v>
      </c>
      <c r="F62" s="493">
        <f>+E62</f>
        <v>8000</v>
      </c>
    </row>
    <row r="63" spans="1:6" ht="15" customHeight="1">
      <c r="A63" s="487" t="s">
        <v>598</v>
      </c>
      <c r="C63" s="487" t="s">
        <v>230</v>
      </c>
      <c r="D63" s="497">
        <v>5671</v>
      </c>
      <c r="E63" s="493">
        <f>6900-655</f>
        <v>6245</v>
      </c>
      <c r="F63" s="493">
        <f>+E63</f>
        <v>6245</v>
      </c>
    </row>
    <row r="64" spans="1:6" ht="15" customHeight="1">
      <c r="A64" s="487" t="s">
        <v>599</v>
      </c>
      <c r="C64" s="487" t="s">
        <v>442</v>
      </c>
      <c r="E64" s="493">
        <f>3592+655-301</f>
        <v>3946</v>
      </c>
      <c r="F64" s="493">
        <f>+E64</f>
        <v>3946</v>
      </c>
    </row>
    <row r="65" spans="1:6" ht="15" customHeight="1">
      <c r="A65" s="487" t="s">
        <v>600</v>
      </c>
      <c r="C65" s="487" t="s">
        <v>227</v>
      </c>
      <c r="F65" s="493">
        <f>39316+18901+20787+12055+111453</f>
        <v>202512</v>
      </c>
    </row>
    <row r="66" spans="1:6" ht="15" customHeight="1">
      <c r="A66" s="487" t="s">
        <v>601</v>
      </c>
      <c r="C66" s="487" t="s">
        <v>483</v>
      </c>
      <c r="F66" s="493">
        <f>973+122</f>
        <v>1095</v>
      </c>
    </row>
    <row r="67" spans="1:6" ht="15" customHeight="1">
      <c r="A67" s="487" t="s">
        <v>602</v>
      </c>
      <c r="C67" s="505" t="s">
        <v>516</v>
      </c>
      <c r="F67" s="506">
        <f>SUM(F68:F70)</f>
        <v>35189</v>
      </c>
    </row>
    <row r="68" spans="1:6" ht="15" customHeight="1">
      <c r="A68" s="487" t="s">
        <v>603</v>
      </c>
      <c r="C68" s="507" t="s">
        <v>338</v>
      </c>
      <c r="F68" s="508">
        <v>5343</v>
      </c>
    </row>
    <row r="69" spans="1:6" ht="15" customHeight="1">
      <c r="A69" s="487" t="s">
        <v>604</v>
      </c>
      <c r="C69" s="507" t="s">
        <v>233</v>
      </c>
      <c r="F69" s="508">
        <v>2356</v>
      </c>
    </row>
    <row r="70" spans="1:6" ht="15" customHeight="1">
      <c r="A70" s="487" t="s">
        <v>605</v>
      </c>
      <c r="C70" s="507" t="s">
        <v>273</v>
      </c>
      <c r="F70" s="508">
        <v>27490</v>
      </c>
    </row>
    <row r="71" spans="1:35" ht="15" customHeight="1">
      <c r="A71" s="487" t="s">
        <v>266</v>
      </c>
      <c r="C71" s="486"/>
      <c r="D71" s="494" t="s">
        <v>419</v>
      </c>
      <c r="E71" s="488" t="s">
        <v>377</v>
      </c>
      <c r="F71" s="488" t="s">
        <v>377</v>
      </c>
      <c r="G71" s="488"/>
      <c r="H71" s="488"/>
      <c r="I71" s="488"/>
      <c r="J71" s="488"/>
      <c r="K71" s="489"/>
      <c r="L71" s="488"/>
      <c r="M71" s="488"/>
      <c r="N71" s="488"/>
      <c r="O71" s="488"/>
      <c r="P71" s="488"/>
      <c r="Q71" s="488"/>
      <c r="R71" s="488"/>
      <c r="S71" s="488"/>
      <c r="T71" s="488"/>
      <c r="U71" s="488"/>
      <c r="V71" s="488"/>
      <c r="W71" s="488"/>
      <c r="X71" s="488"/>
      <c r="Y71" s="490"/>
      <c r="Z71" s="490"/>
      <c r="AA71" s="490"/>
      <c r="AB71" s="490"/>
      <c r="AC71" s="490"/>
      <c r="AD71" s="490"/>
      <c r="AE71" s="490"/>
      <c r="AF71" s="490"/>
      <c r="AG71" s="490"/>
      <c r="AH71" s="490"/>
      <c r="AI71" s="490"/>
    </row>
    <row r="72" spans="1:36" ht="15" customHeight="1">
      <c r="A72" s="526" t="s">
        <v>176</v>
      </c>
      <c r="C72" s="515"/>
      <c r="D72" s="494" t="s">
        <v>68</v>
      </c>
      <c r="E72" s="488" t="s">
        <v>68</v>
      </c>
      <c r="F72" s="488" t="s">
        <v>467</v>
      </c>
      <c r="G72" s="488"/>
      <c r="H72" s="488"/>
      <c r="I72" s="488"/>
      <c r="J72" s="488"/>
      <c r="K72" s="489"/>
      <c r="L72" s="488"/>
      <c r="M72" s="488"/>
      <c r="N72" s="488"/>
      <c r="O72" s="488"/>
      <c r="P72" s="488"/>
      <c r="Q72" s="488"/>
      <c r="R72" s="488"/>
      <c r="S72" s="488"/>
      <c r="T72" s="488"/>
      <c r="U72" s="488"/>
      <c r="V72" s="488"/>
      <c r="W72" s="488"/>
      <c r="X72" s="488"/>
      <c r="Y72" s="490"/>
      <c r="Z72" s="490"/>
      <c r="AA72" s="490"/>
      <c r="AB72" s="490"/>
      <c r="AC72" s="490"/>
      <c r="AD72" s="490"/>
      <c r="AE72" s="490"/>
      <c r="AF72" s="490"/>
      <c r="AG72" s="490"/>
      <c r="AH72" s="490"/>
      <c r="AI72" s="490"/>
      <c r="AJ72" s="490"/>
    </row>
    <row r="73" spans="3:6" ht="15" customHeight="1">
      <c r="C73" s="507"/>
      <c r="F73" s="508"/>
    </row>
    <row r="74" spans="1:6" ht="15" customHeight="1">
      <c r="A74" s="490" t="s">
        <v>11</v>
      </c>
      <c r="B74" s="490" t="s">
        <v>12</v>
      </c>
      <c r="C74" s="490" t="s">
        <v>13</v>
      </c>
      <c r="D74" s="488" t="s">
        <v>14</v>
      </c>
      <c r="E74" s="488" t="s">
        <v>14</v>
      </c>
      <c r="F74" s="488" t="s">
        <v>15</v>
      </c>
    </row>
    <row r="75" spans="1:6" ht="15" customHeight="1">
      <c r="A75" s="487" t="s">
        <v>606</v>
      </c>
      <c r="C75" s="509" t="s">
        <v>517</v>
      </c>
      <c r="F75" s="506">
        <f>1248-1248</f>
        <v>0</v>
      </c>
    </row>
    <row r="76" spans="1:6" ht="15" customHeight="1">
      <c r="A76" s="487" t="s">
        <v>607</v>
      </c>
      <c r="C76" s="509" t="s">
        <v>520</v>
      </c>
      <c r="F76" s="506">
        <v>998</v>
      </c>
    </row>
    <row r="77" spans="1:8" ht="31.5">
      <c r="A77" s="487" t="s">
        <v>608</v>
      </c>
      <c r="C77" s="505" t="s">
        <v>577</v>
      </c>
      <c r="F77" s="487">
        <f>280+282</f>
        <v>562</v>
      </c>
      <c r="H77" s="493">
        <f>F66+F76+F87</f>
        <v>3448</v>
      </c>
    </row>
    <row r="78" spans="1:6" ht="15.75">
      <c r="A78" s="487" t="s">
        <v>609</v>
      </c>
      <c r="C78" s="505" t="s">
        <v>532</v>
      </c>
      <c r="F78" s="487">
        <f>39+20</f>
        <v>59</v>
      </c>
    </row>
    <row r="79" spans="1:6" ht="15.75">
      <c r="A79" s="487" t="s">
        <v>610</v>
      </c>
      <c r="C79" s="505" t="s">
        <v>533</v>
      </c>
      <c r="F79" s="487">
        <v>1000</v>
      </c>
    </row>
    <row r="80" spans="1:6" ht="15.75">
      <c r="A80" s="487" t="s">
        <v>611</v>
      </c>
      <c r="C80" s="505" t="s">
        <v>533</v>
      </c>
      <c r="F80" s="487">
        <v>800</v>
      </c>
    </row>
    <row r="81" spans="1:6" ht="15.75">
      <c r="A81" s="487" t="s">
        <v>612</v>
      </c>
      <c r="C81" s="505" t="s">
        <v>533</v>
      </c>
      <c r="F81" s="487">
        <v>54</v>
      </c>
    </row>
    <row r="82" spans="1:8" ht="31.5">
      <c r="A82" s="487" t="s">
        <v>613</v>
      </c>
      <c r="C82" s="505" t="s">
        <v>535</v>
      </c>
      <c r="F82" s="487">
        <v>400</v>
      </c>
      <c r="H82" s="493">
        <f>F55+F60+F61+F62+F63+F64+F65+F78+F85+F86</f>
        <v>229960</v>
      </c>
    </row>
    <row r="83" spans="1:6" ht="31.5">
      <c r="A83" s="487" t="s">
        <v>614</v>
      </c>
      <c r="C83" s="505" t="s">
        <v>537</v>
      </c>
      <c r="F83" s="487">
        <v>305</v>
      </c>
    </row>
    <row r="84" spans="1:6" ht="31.5">
      <c r="A84" s="487" t="s">
        <v>615</v>
      </c>
      <c r="C84" s="505" t="s">
        <v>540</v>
      </c>
      <c r="F84" s="487">
        <v>460</v>
      </c>
    </row>
    <row r="85" spans="1:6" ht="31.5">
      <c r="A85" s="487" t="s">
        <v>616</v>
      </c>
      <c r="C85" s="505" t="s">
        <v>576</v>
      </c>
      <c r="F85" s="487">
        <f>454+562</f>
        <v>1016</v>
      </c>
    </row>
    <row r="86" spans="1:6" ht="15.75">
      <c r="A86" s="487" t="s">
        <v>617</v>
      </c>
      <c r="C86" s="505" t="s">
        <v>552</v>
      </c>
      <c r="F86" s="487">
        <v>1500</v>
      </c>
    </row>
    <row r="87" spans="1:6" ht="15.75">
      <c r="A87" s="487" t="s">
        <v>618</v>
      </c>
      <c r="C87" s="505" t="s">
        <v>564</v>
      </c>
      <c r="F87" s="487">
        <f>1034+321</f>
        <v>1355</v>
      </c>
    </row>
    <row r="88" spans="1:6" ht="31.5">
      <c r="A88" s="487" t="s">
        <v>619</v>
      </c>
      <c r="C88" s="524" t="s">
        <v>570</v>
      </c>
      <c r="F88" s="487">
        <v>406</v>
      </c>
    </row>
    <row r="89" spans="1:7" ht="31.5">
      <c r="A89" s="487" t="s">
        <v>620</v>
      </c>
      <c r="C89" s="524" t="s">
        <v>571</v>
      </c>
      <c r="F89" s="487">
        <v>247</v>
      </c>
      <c r="G89" s="493">
        <f>SUM(F88:F89)</f>
        <v>653</v>
      </c>
    </row>
    <row r="90" spans="1:9" ht="31.5">
      <c r="A90" s="487" t="s">
        <v>621</v>
      </c>
      <c r="C90" s="524" t="s">
        <v>572</v>
      </c>
      <c r="F90" s="487">
        <v>90</v>
      </c>
      <c r="I90" s="493">
        <f>F84+F83+F82+F77+F94+F95</f>
        <v>3257</v>
      </c>
    </row>
    <row r="91" spans="1:6" ht="31.5">
      <c r="A91" s="487" t="s">
        <v>622</v>
      </c>
      <c r="C91" s="524" t="s">
        <v>573</v>
      </c>
      <c r="F91" s="487">
        <v>515</v>
      </c>
    </row>
    <row r="92" spans="1:6" ht="31.5">
      <c r="A92" s="487" t="s">
        <v>623</v>
      </c>
      <c r="C92" s="524" t="s">
        <v>574</v>
      </c>
      <c r="F92" s="487">
        <v>1800</v>
      </c>
    </row>
    <row r="93" spans="1:7" ht="31.5">
      <c r="A93" s="487" t="s">
        <v>624</v>
      </c>
      <c r="C93" s="524" t="s">
        <v>575</v>
      </c>
      <c r="F93" s="487">
        <v>669</v>
      </c>
      <c r="G93" s="493">
        <f>SUM(F90:F93)</f>
        <v>3074</v>
      </c>
    </row>
    <row r="94" spans="1:6" ht="31.5">
      <c r="A94" s="487" t="s">
        <v>625</v>
      </c>
      <c r="C94" s="565" t="s">
        <v>580</v>
      </c>
      <c r="F94" s="487">
        <v>911</v>
      </c>
    </row>
    <row r="95" spans="1:6" ht="15.75">
      <c r="A95" s="487" t="s">
        <v>626</v>
      </c>
      <c r="C95" s="91" t="s">
        <v>581</v>
      </c>
      <c r="F95" s="487">
        <v>619</v>
      </c>
    </row>
    <row r="96" spans="1:9" ht="31.5">
      <c r="A96" s="487" t="s">
        <v>627</v>
      </c>
      <c r="C96" s="524" t="s">
        <v>579</v>
      </c>
      <c r="F96" s="487">
        <v>671</v>
      </c>
      <c r="I96" s="493">
        <f>F96+F87+F76+F66</f>
        <v>4119</v>
      </c>
    </row>
    <row r="97" spans="3:6" ht="15" customHeight="1">
      <c r="C97" s="505"/>
      <c r="F97" s="487"/>
    </row>
    <row r="98" spans="1:6" ht="15" customHeight="1">
      <c r="A98" s="487" t="s">
        <v>628</v>
      </c>
      <c r="C98" s="492" t="s">
        <v>472</v>
      </c>
      <c r="F98" s="488">
        <f>SUM(F99:F103)</f>
        <v>35568</v>
      </c>
    </row>
    <row r="99" spans="1:6" ht="15" customHeight="1">
      <c r="A99" s="487" t="s">
        <v>629</v>
      </c>
      <c r="C99" s="487" t="s">
        <v>471</v>
      </c>
      <c r="F99" s="493">
        <v>26212</v>
      </c>
    </row>
    <row r="100" spans="1:6" ht="15" customHeight="1">
      <c r="A100" s="487" t="s">
        <v>630</v>
      </c>
      <c r="C100" s="487" t="s">
        <v>227</v>
      </c>
      <c r="F100" s="493">
        <v>6094</v>
      </c>
    </row>
    <row r="101" spans="1:6" ht="31.5">
      <c r="A101" s="487" t="s">
        <v>631</v>
      </c>
      <c r="C101" s="505" t="s">
        <v>518</v>
      </c>
      <c r="F101" s="493">
        <v>1000</v>
      </c>
    </row>
    <row r="102" spans="1:6" ht="31.5">
      <c r="A102" s="487" t="s">
        <v>632</v>
      </c>
      <c r="C102" s="505" t="s">
        <v>535</v>
      </c>
      <c r="F102" s="493">
        <v>1100</v>
      </c>
    </row>
    <row r="103" spans="1:6" ht="31.5">
      <c r="A103" s="487" t="s">
        <v>633</v>
      </c>
      <c r="C103" s="524" t="s">
        <v>578</v>
      </c>
      <c r="F103" s="493">
        <v>1162</v>
      </c>
    </row>
    <row r="104" ht="19.5" customHeight="1">
      <c r="C104" s="505"/>
    </row>
    <row r="105" spans="1:37" ht="15" customHeight="1">
      <c r="A105" s="487" t="s">
        <v>634</v>
      </c>
      <c r="B105" s="486" t="s">
        <v>135</v>
      </c>
      <c r="C105" s="486" t="s">
        <v>476</v>
      </c>
      <c r="D105" s="488">
        <f>SUM(D106:D106)</f>
        <v>150</v>
      </c>
      <c r="E105" s="488">
        <f>SUM(E106:E106)</f>
        <v>150</v>
      </c>
      <c r="F105" s="488">
        <f>SUM(F106:F106)</f>
        <v>150</v>
      </c>
      <c r="G105" s="488"/>
      <c r="H105" s="488"/>
      <c r="I105" s="488"/>
      <c r="J105" s="488"/>
      <c r="K105" s="489"/>
      <c r="L105" s="488"/>
      <c r="M105" s="488"/>
      <c r="N105" s="488"/>
      <c r="O105" s="488"/>
      <c r="P105" s="488"/>
      <c r="Q105" s="488"/>
      <c r="R105" s="488"/>
      <c r="S105" s="488"/>
      <c r="T105" s="488"/>
      <c r="U105" s="488"/>
      <c r="V105" s="488"/>
      <c r="W105" s="488"/>
      <c r="X105" s="488"/>
      <c r="Y105" s="490"/>
      <c r="Z105" s="490"/>
      <c r="AA105" s="490"/>
      <c r="AB105" s="490"/>
      <c r="AC105" s="490"/>
      <c r="AD105" s="490"/>
      <c r="AE105" s="490"/>
      <c r="AF105" s="490"/>
      <c r="AG105" s="490"/>
      <c r="AH105" s="490"/>
      <c r="AI105" s="490"/>
      <c r="AJ105" s="490"/>
      <c r="AK105" s="486"/>
    </row>
    <row r="106" spans="1:37" ht="15" customHeight="1">
      <c r="A106" s="487" t="s">
        <v>635</v>
      </c>
      <c r="B106" s="486"/>
      <c r="C106" s="487" t="s">
        <v>120</v>
      </c>
      <c r="D106" s="497">
        <v>150</v>
      </c>
      <c r="E106" s="493">
        <v>150</v>
      </c>
      <c r="F106" s="493">
        <f>+E106</f>
        <v>150</v>
      </c>
      <c r="Y106" s="490"/>
      <c r="Z106" s="490"/>
      <c r="AA106" s="490"/>
      <c r="AB106" s="490"/>
      <c r="AC106" s="490"/>
      <c r="AD106" s="490"/>
      <c r="AE106" s="490"/>
      <c r="AF106" s="490"/>
      <c r="AG106" s="490"/>
      <c r="AH106" s="490"/>
      <c r="AI106" s="490"/>
      <c r="AJ106" s="490"/>
      <c r="AK106" s="486"/>
    </row>
    <row r="107" spans="2:37" ht="15" customHeight="1">
      <c r="B107" s="486"/>
      <c r="Y107" s="490"/>
      <c r="Z107" s="490"/>
      <c r="AA107" s="490"/>
      <c r="AB107" s="490"/>
      <c r="AC107" s="490"/>
      <c r="AD107" s="490"/>
      <c r="AE107" s="490"/>
      <c r="AF107" s="490"/>
      <c r="AG107" s="490"/>
      <c r="AH107" s="490"/>
      <c r="AI107" s="490"/>
      <c r="AJ107" s="490"/>
      <c r="AK107" s="486"/>
    </row>
    <row r="108" spans="1:37" ht="15" customHeight="1">
      <c r="A108" s="487" t="s">
        <v>636</v>
      </c>
      <c r="B108" s="486" t="s">
        <v>136</v>
      </c>
      <c r="C108" s="486" t="s">
        <v>558</v>
      </c>
      <c r="F108" s="488">
        <f>7892-885+1689+280-39+2580+325+88+80-454+1650+110-90-5-48-20+282+84-1435</f>
        <v>12084</v>
      </c>
      <c r="Y108" s="490"/>
      <c r="Z108" s="490"/>
      <c r="AA108" s="490"/>
      <c r="AB108" s="490"/>
      <c r="AC108" s="490"/>
      <c r="AD108" s="490"/>
      <c r="AE108" s="490"/>
      <c r="AF108" s="490"/>
      <c r="AG108" s="490"/>
      <c r="AH108" s="490"/>
      <c r="AI108" s="490"/>
      <c r="AJ108" s="490"/>
      <c r="AK108" s="486"/>
    </row>
    <row r="109" spans="2:37" ht="14.25" customHeight="1">
      <c r="B109" s="486"/>
      <c r="C109" s="486"/>
      <c r="F109" s="488"/>
      <c r="Y109" s="490"/>
      <c r="Z109" s="490"/>
      <c r="AA109" s="490"/>
      <c r="AB109" s="490"/>
      <c r="AC109" s="490"/>
      <c r="AD109" s="490"/>
      <c r="AE109" s="490"/>
      <c r="AF109" s="490"/>
      <c r="AG109" s="490"/>
      <c r="AH109" s="490"/>
      <c r="AI109" s="490"/>
      <c r="AJ109" s="490"/>
      <c r="AK109" s="486"/>
    </row>
    <row r="110" spans="1:37" ht="15" customHeight="1">
      <c r="A110" s="487" t="s">
        <v>637</v>
      </c>
      <c r="B110" s="486" t="s">
        <v>137</v>
      </c>
      <c r="C110" s="486" t="s">
        <v>519</v>
      </c>
      <c r="F110" s="488">
        <f>+'Bev.intézményenként'!E33</f>
        <v>77957</v>
      </c>
      <c r="Y110" s="490"/>
      <c r="Z110" s="490"/>
      <c r="AA110" s="490"/>
      <c r="AB110" s="490"/>
      <c r="AC110" s="490"/>
      <c r="AD110" s="490"/>
      <c r="AE110" s="490"/>
      <c r="AF110" s="490"/>
      <c r="AG110" s="490"/>
      <c r="AH110" s="490"/>
      <c r="AI110" s="490"/>
      <c r="AJ110" s="490"/>
      <c r="AK110" s="486"/>
    </row>
    <row r="111" spans="2:37" ht="15" customHeight="1">
      <c r="B111" s="486"/>
      <c r="Y111" s="490"/>
      <c r="Z111" s="490"/>
      <c r="AA111" s="490"/>
      <c r="AB111" s="490"/>
      <c r="AC111" s="490"/>
      <c r="AD111" s="490"/>
      <c r="AE111" s="490"/>
      <c r="AF111" s="490"/>
      <c r="AG111" s="490"/>
      <c r="AH111" s="490"/>
      <c r="AI111" s="490"/>
      <c r="AJ111" s="490"/>
      <c r="AK111" s="486"/>
    </row>
    <row r="112" spans="1:37" ht="15" customHeight="1">
      <c r="A112" s="487" t="s">
        <v>638</v>
      </c>
      <c r="B112" s="486" t="s">
        <v>121</v>
      </c>
      <c r="D112" s="488">
        <f>+D105+D51+D24+D20+D6</f>
        <v>767298</v>
      </c>
      <c r="E112" s="488">
        <f>+E105+E51+E24+E20+E6</f>
        <v>697731</v>
      </c>
      <c r="F112" s="488">
        <f>+F105+F51+F24+F20+F6+F108+F110</f>
        <v>1372626</v>
      </c>
      <c r="G112" s="493">
        <v>1372106</v>
      </c>
      <c r="H112" s="493">
        <f>G112-F112</f>
        <v>-520</v>
      </c>
      <c r="I112" s="493">
        <v>1358756</v>
      </c>
      <c r="J112" s="493">
        <f>G112-I112</f>
        <v>13350</v>
      </c>
      <c r="Y112" s="490"/>
      <c r="Z112" s="490"/>
      <c r="AA112" s="490"/>
      <c r="AB112" s="490"/>
      <c r="AC112" s="490"/>
      <c r="AD112" s="490"/>
      <c r="AE112" s="490"/>
      <c r="AF112" s="490"/>
      <c r="AG112" s="490"/>
      <c r="AH112" s="490"/>
      <c r="AI112" s="490"/>
      <c r="AJ112" s="490"/>
      <c r="AK112" s="486"/>
    </row>
    <row r="113" spans="2:37" ht="12.75" customHeight="1">
      <c r="B113" s="486"/>
      <c r="Y113" s="490"/>
      <c r="Z113" s="490"/>
      <c r="AA113" s="490"/>
      <c r="AB113" s="490"/>
      <c r="AC113" s="490"/>
      <c r="AD113" s="490"/>
      <c r="AE113" s="490"/>
      <c r="AF113" s="490"/>
      <c r="AG113" s="490"/>
      <c r="AH113" s="490"/>
      <c r="AI113" s="490"/>
      <c r="AJ113" s="490"/>
      <c r="AK113" s="486"/>
    </row>
    <row r="114" spans="1:36" s="486" customFormat="1" ht="15" customHeight="1">
      <c r="A114" s="487" t="s">
        <v>639</v>
      </c>
      <c r="B114" s="486" t="s">
        <v>122</v>
      </c>
      <c r="D114" s="495">
        <f>+D112</f>
        <v>767298</v>
      </c>
      <c r="E114" s="495">
        <f>+E112</f>
        <v>697731</v>
      </c>
      <c r="F114" s="495">
        <f>+F112</f>
        <v>1372626</v>
      </c>
      <c r="G114" s="500">
        <f>F112-F108</f>
        <v>1360542</v>
      </c>
      <c r="H114" s="500"/>
      <c r="I114" s="500"/>
      <c r="J114" s="500"/>
      <c r="K114" s="496"/>
      <c r="L114" s="495"/>
      <c r="M114" s="495"/>
      <c r="N114" s="495"/>
      <c r="O114" s="495"/>
      <c r="P114" s="495"/>
      <c r="Q114" s="495"/>
      <c r="R114" s="500"/>
      <c r="S114" s="500"/>
      <c r="T114" s="500"/>
      <c r="U114" s="500"/>
      <c r="V114" s="500"/>
      <c r="W114" s="500"/>
      <c r="X114" s="500"/>
      <c r="Y114" s="487"/>
      <c r="Z114" s="487"/>
      <c r="AA114" s="487"/>
      <c r="AB114" s="487"/>
      <c r="AC114" s="500"/>
      <c r="AE114" s="487"/>
      <c r="AF114" s="487"/>
      <c r="AH114" s="491"/>
      <c r="AI114" s="491"/>
      <c r="AJ114" s="491"/>
    </row>
    <row r="115" spans="1:6" ht="15" customHeight="1">
      <c r="A115" s="487" t="s">
        <v>640</v>
      </c>
      <c r="B115" s="487" t="s">
        <v>123</v>
      </c>
      <c r="D115" s="497">
        <f>+Kiadás!D32</f>
        <v>0</v>
      </c>
      <c r="E115" s="493">
        <f>+Kiadás!E32</f>
        <v>697731</v>
      </c>
      <c r="F115" s="493">
        <f>+Kiadás!F32</f>
        <v>1372626</v>
      </c>
    </row>
    <row r="116" spans="1:36" s="486" customFormat="1" ht="15" customHeight="1">
      <c r="A116" s="487"/>
      <c r="B116" s="487"/>
      <c r="C116" s="487"/>
      <c r="D116" s="497"/>
      <c r="E116" s="500"/>
      <c r="F116" s="500"/>
      <c r="G116" s="500"/>
      <c r="H116" s="500"/>
      <c r="I116" s="500"/>
      <c r="J116" s="500"/>
      <c r="K116" s="510"/>
      <c r="L116" s="500"/>
      <c r="M116" s="500"/>
      <c r="N116" s="500"/>
      <c r="O116" s="500"/>
      <c r="P116" s="500"/>
      <c r="Q116" s="500"/>
      <c r="R116" s="500"/>
      <c r="S116" s="500"/>
      <c r="T116" s="500"/>
      <c r="U116" s="500"/>
      <c r="V116" s="500"/>
      <c r="W116" s="500"/>
      <c r="X116" s="500"/>
      <c r="Y116" s="487"/>
      <c r="Z116" s="487"/>
      <c r="AA116" s="487"/>
      <c r="AB116" s="487"/>
      <c r="AC116" s="487"/>
      <c r="AD116" s="487"/>
      <c r="AE116" s="487"/>
      <c r="AF116" s="487"/>
      <c r="AG116" s="491"/>
      <c r="AH116" s="491"/>
      <c r="AI116" s="491"/>
      <c r="AJ116" s="491"/>
    </row>
    <row r="117" spans="4:36" ht="15" customHeight="1">
      <c r="D117" s="493">
        <f>+D114-D115</f>
        <v>767298</v>
      </c>
      <c r="E117" s="493">
        <f>+E114-E115</f>
        <v>0</v>
      </c>
      <c r="F117" s="493">
        <f>+F114-F115</f>
        <v>0</v>
      </c>
      <c r="X117" s="495"/>
      <c r="Y117" s="486"/>
      <c r="Z117" s="486"/>
      <c r="AA117" s="486"/>
      <c r="AB117" s="486"/>
      <c r="AC117" s="486"/>
      <c r="AD117" s="486"/>
      <c r="AE117" s="486"/>
      <c r="AF117" s="486"/>
      <c r="AG117" s="486"/>
      <c r="AH117" s="486"/>
      <c r="AI117" s="486"/>
      <c r="AJ117" s="486"/>
    </row>
    <row r="119" spans="2:36" ht="15" customHeight="1">
      <c r="B119" s="486"/>
      <c r="X119" s="500"/>
      <c r="Y119" s="487"/>
      <c r="Z119" s="487"/>
      <c r="AA119" s="487"/>
      <c r="AB119" s="487"/>
      <c r="AC119" s="487"/>
      <c r="AD119" s="487"/>
      <c r="AE119" s="487"/>
      <c r="AF119" s="487"/>
      <c r="AG119" s="487"/>
      <c r="AH119" s="487"/>
      <c r="AI119" s="487"/>
      <c r="AJ119" s="487"/>
    </row>
    <row r="120" spans="5:35" ht="15" customHeight="1">
      <c r="E120" s="511"/>
      <c r="F120" s="511"/>
      <c r="G120" s="511"/>
      <c r="H120" s="511"/>
      <c r="I120" s="511"/>
      <c r="J120" s="511"/>
      <c r="K120" s="512"/>
      <c r="L120" s="511"/>
      <c r="M120" s="511"/>
      <c r="N120" s="511"/>
      <c r="O120" s="511"/>
      <c r="P120" s="511"/>
      <c r="Q120" s="511"/>
      <c r="R120" s="511"/>
      <c r="S120" s="511"/>
      <c r="T120" s="511"/>
      <c r="U120" s="511"/>
      <c r="V120" s="511"/>
      <c r="W120" s="511"/>
      <c r="X120" s="511"/>
      <c r="Y120" s="513"/>
      <c r="Z120" s="513"/>
      <c r="AA120" s="513"/>
      <c r="AB120" s="513"/>
      <c r="AC120" s="487"/>
      <c r="AD120" s="487"/>
      <c r="AE120" s="487"/>
      <c r="AF120" s="487"/>
      <c r="AG120" s="513"/>
      <c r="AH120" s="513"/>
      <c r="AI120" s="513"/>
    </row>
    <row r="121" spans="5:35" ht="15" customHeight="1">
      <c r="E121" s="500"/>
      <c r="F121" s="500"/>
      <c r="G121" s="500"/>
      <c r="H121" s="500"/>
      <c r="I121" s="500"/>
      <c r="J121" s="500"/>
      <c r="K121" s="510"/>
      <c r="L121" s="500"/>
      <c r="M121" s="500"/>
      <c r="N121" s="500"/>
      <c r="O121" s="500"/>
      <c r="P121" s="500"/>
      <c r="Q121" s="500"/>
      <c r="R121" s="500"/>
      <c r="S121" s="500"/>
      <c r="T121" s="500"/>
      <c r="U121" s="500"/>
      <c r="V121" s="500"/>
      <c r="W121" s="500"/>
      <c r="X121" s="500"/>
      <c r="Y121" s="487"/>
      <c r="Z121" s="487"/>
      <c r="AA121" s="487"/>
      <c r="AB121" s="487"/>
      <c r="AC121" s="487"/>
      <c r="AD121" s="487"/>
      <c r="AE121" s="487"/>
      <c r="AF121" s="487"/>
      <c r="AG121" s="513"/>
      <c r="AH121" s="513"/>
      <c r="AI121" s="513"/>
    </row>
    <row r="122" spans="5:32" ht="15" customHeight="1">
      <c r="E122" s="511"/>
      <c r="F122" s="511"/>
      <c r="G122" s="511"/>
      <c r="H122" s="511"/>
      <c r="I122" s="511"/>
      <c r="J122" s="511"/>
      <c r="K122" s="512"/>
      <c r="L122" s="511"/>
      <c r="M122" s="511"/>
      <c r="N122" s="511"/>
      <c r="O122" s="511"/>
      <c r="P122" s="511"/>
      <c r="Q122" s="511"/>
      <c r="R122" s="511"/>
      <c r="S122" s="511"/>
      <c r="T122" s="511"/>
      <c r="U122" s="511"/>
      <c r="V122" s="511"/>
      <c r="W122" s="511"/>
      <c r="X122" s="511"/>
      <c r="Y122" s="513"/>
      <c r="Z122" s="513"/>
      <c r="AA122" s="513"/>
      <c r="AB122" s="513"/>
      <c r="AC122" s="513"/>
      <c r="AD122" s="513"/>
      <c r="AE122" s="513"/>
      <c r="AF122" s="513"/>
    </row>
    <row r="123" ht="15" customHeight="1">
      <c r="B123" s="513"/>
    </row>
    <row r="124" spans="2:36" ht="15" customHeight="1">
      <c r="B124" s="513"/>
      <c r="Y124" s="514"/>
      <c r="Z124" s="514"/>
      <c r="AA124" s="514"/>
      <c r="AB124" s="514"/>
      <c r="AC124" s="514"/>
      <c r="AD124" s="514"/>
      <c r="AE124" s="514"/>
      <c r="AF124" s="514"/>
      <c r="AG124" s="514"/>
      <c r="AH124" s="514"/>
      <c r="AI124" s="514"/>
      <c r="AJ124" s="514"/>
    </row>
    <row r="125" spans="25:36" ht="15" customHeight="1">
      <c r="Y125" s="498"/>
      <c r="Z125" s="514"/>
      <c r="AA125" s="514"/>
      <c r="AB125" s="514"/>
      <c r="AC125" s="514"/>
      <c r="AD125" s="514"/>
      <c r="AE125" s="514"/>
      <c r="AF125" s="514"/>
      <c r="AG125" s="514"/>
      <c r="AH125" s="514"/>
      <c r="AI125" s="514"/>
      <c r="AJ125" s="514"/>
    </row>
    <row r="126" ht="15" customHeight="1">
      <c r="AL126" s="486"/>
    </row>
    <row r="127" spans="25:36" ht="15" customHeight="1">
      <c r="Y127" s="498"/>
      <c r="Z127" s="498"/>
      <c r="AA127" s="498"/>
      <c r="AB127" s="498"/>
      <c r="AC127" s="498"/>
      <c r="AD127" s="498"/>
      <c r="AE127" s="498"/>
      <c r="AF127" s="498"/>
      <c r="AG127" s="514"/>
      <c r="AH127" s="514"/>
      <c r="AI127" s="514"/>
      <c r="AJ127" s="514"/>
    </row>
    <row r="130" spans="25:35" ht="15" customHeight="1">
      <c r="Y130" s="514"/>
      <c r="Z130" s="514"/>
      <c r="AA130" s="514"/>
      <c r="AB130" s="514"/>
      <c r="AC130" s="514"/>
      <c r="AD130" s="514"/>
      <c r="AE130" s="514"/>
      <c r="AF130" s="514"/>
      <c r="AG130" s="514"/>
      <c r="AH130" s="514"/>
      <c r="AI130" s="514"/>
    </row>
    <row r="144" ht="15" customHeight="1">
      <c r="C144" s="513" t="s">
        <v>124</v>
      </c>
    </row>
    <row r="145" ht="15" customHeight="1">
      <c r="C145" s="513"/>
    </row>
    <row r="149" ht="15" customHeight="1">
      <c r="C149" s="491"/>
    </row>
    <row r="150" ht="15" customHeight="1">
      <c r="C150" s="491"/>
    </row>
    <row r="151" ht="15" customHeight="1">
      <c r="C151" s="491"/>
    </row>
  </sheetData>
  <sheetProtection/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scale="68" r:id="rId1"/>
  <headerFooter alignWithMargins="0">
    <oddHeader>&amp;L1. melléklet a 2014. évi 15/2014.(XI.27.) Önkormányzati költségvetési rendelethez&amp;R&amp;D</oddHeader>
    <oddFooter>&amp;R&amp;F</oddFooter>
  </headerFooter>
  <rowBreaks count="1" manualBreakCount="1">
    <brk id="70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5.28125" style="0" customWidth="1"/>
    <col min="2" max="2" width="31.7109375" style="0" customWidth="1"/>
    <col min="3" max="3" width="11.8515625" style="0" customWidth="1"/>
    <col min="4" max="4" width="12.7109375" style="0" customWidth="1"/>
    <col min="5" max="5" width="31.7109375" style="0" customWidth="1"/>
    <col min="6" max="6" width="19.57421875" style="0" customWidth="1"/>
  </cols>
  <sheetData>
    <row r="1" spans="1:7" ht="15.75">
      <c r="A1" s="682" t="s">
        <v>380</v>
      </c>
      <c r="B1" s="682"/>
      <c r="C1" s="682"/>
      <c r="D1" s="682"/>
      <c r="E1" s="682"/>
      <c r="F1" s="682"/>
      <c r="G1" s="682"/>
    </row>
    <row r="2" spans="1:7" ht="15.75">
      <c r="A2" s="82" t="s">
        <v>11</v>
      </c>
      <c r="B2" s="346" t="s">
        <v>360</v>
      </c>
      <c r="C2" s="346" t="s">
        <v>13</v>
      </c>
      <c r="D2" s="346" t="s">
        <v>14</v>
      </c>
      <c r="E2" s="346" t="s">
        <v>379</v>
      </c>
      <c r="F2" s="472" t="s">
        <v>16</v>
      </c>
      <c r="G2" s="472" t="s">
        <v>17</v>
      </c>
    </row>
    <row r="3" spans="1:7" ht="16.5" thickBot="1">
      <c r="A3" t="s">
        <v>20</v>
      </c>
      <c r="B3" s="96" t="s">
        <v>154</v>
      </c>
      <c r="C3" s="96"/>
      <c r="D3" s="96"/>
      <c r="E3" s="96" t="s">
        <v>155</v>
      </c>
      <c r="F3" s="97"/>
      <c r="G3" s="97"/>
    </row>
    <row r="4" spans="1:7" ht="15.75">
      <c r="A4" t="s">
        <v>21</v>
      </c>
      <c r="B4" s="98" t="s">
        <v>156</v>
      </c>
      <c r="C4" s="99" t="s">
        <v>377</v>
      </c>
      <c r="D4" s="99" t="s">
        <v>377</v>
      </c>
      <c r="E4" s="100" t="s">
        <v>156</v>
      </c>
      <c r="F4" s="81" t="s">
        <v>377</v>
      </c>
      <c r="G4" s="101" t="s">
        <v>377</v>
      </c>
    </row>
    <row r="5" spans="1:7" ht="15.75">
      <c r="A5" t="s">
        <v>22</v>
      </c>
      <c r="B5" s="99"/>
      <c r="C5" s="99" t="s">
        <v>68</v>
      </c>
      <c r="D5" s="99" t="s">
        <v>467</v>
      </c>
      <c r="E5" s="100"/>
      <c r="F5" s="101" t="s">
        <v>68</v>
      </c>
      <c r="G5" s="101" t="s">
        <v>467</v>
      </c>
    </row>
    <row r="6" spans="2:5" ht="15.75">
      <c r="B6" s="102"/>
      <c r="C6" s="102"/>
      <c r="D6" s="102"/>
      <c r="E6" s="103"/>
    </row>
    <row r="7" spans="1:7" ht="15.75">
      <c r="A7" t="s">
        <v>23</v>
      </c>
      <c r="B7" s="102" t="str">
        <f>+'[1]felh bev'!A35</f>
        <v>Felhalmozási bevételek összesen</v>
      </c>
      <c r="C7" s="104">
        <f>+'Felhalm.bev.'!C21</f>
        <v>51600</v>
      </c>
      <c r="D7" s="107">
        <f>+'Felhalm.bev.'!D21</f>
        <v>343822</v>
      </c>
      <c r="E7" s="103" t="s">
        <v>157</v>
      </c>
      <c r="F7" s="85">
        <f>+Kiadás!E22</f>
        <v>22241</v>
      </c>
      <c r="G7" s="86">
        <f>+Kiadás!F22</f>
        <v>80434</v>
      </c>
    </row>
    <row r="8" spans="1:7" ht="15.75">
      <c r="A8" t="s">
        <v>24</v>
      </c>
      <c r="B8" s="102"/>
      <c r="C8" s="104"/>
      <c r="D8" s="104"/>
      <c r="E8" s="103" t="s">
        <v>158</v>
      </c>
      <c r="F8">
        <f>+Kiadás!E23</f>
        <v>13637</v>
      </c>
      <c r="G8" s="86">
        <f>+Kiadás!F23</f>
        <v>18220</v>
      </c>
    </row>
    <row r="9" spans="2:7" ht="15.75">
      <c r="B9" s="102"/>
      <c r="C9" s="104"/>
      <c r="D9" s="104"/>
      <c r="E9" s="103"/>
      <c r="G9" s="82"/>
    </row>
    <row r="10" spans="1:7" ht="15.75">
      <c r="A10" t="s">
        <v>25</v>
      </c>
      <c r="B10" s="102"/>
      <c r="C10" s="104"/>
      <c r="D10" s="104"/>
      <c r="E10" s="103" t="s">
        <v>70</v>
      </c>
      <c r="F10" s="85">
        <f>+Kiadás!E19</f>
        <v>3000</v>
      </c>
      <c r="G10" s="86">
        <f>+Kiadás!F19</f>
        <v>4000</v>
      </c>
    </row>
    <row r="11" spans="2:7" ht="15.75">
      <c r="B11" s="102"/>
      <c r="C11" s="104"/>
      <c r="D11" s="104"/>
      <c r="E11" s="103"/>
      <c r="G11" s="82"/>
    </row>
    <row r="12" spans="2:7" ht="15.75">
      <c r="B12" s="102"/>
      <c r="C12" s="104"/>
      <c r="D12" s="104"/>
      <c r="E12" s="103"/>
      <c r="G12" s="82"/>
    </row>
    <row r="13" spans="1:7" ht="15.75">
      <c r="A13" t="s">
        <v>26</v>
      </c>
      <c r="B13" s="102"/>
      <c r="C13" s="104"/>
      <c r="D13" s="104"/>
      <c r="E13" s="105" t="s">
        <v>339</v>
      </c>
      <c r="F13" s="85">
        <v>1200</v>
      </c>
      <c r="G13" s="86" t="e">
        <f>+'Több éves kihatású köt.váll.'!K20</f>
        <v>#REF!</v>
      </c>
    </row>
    <row r="14" spans="1:7" ht="15.75">
      <c r="A14" t="s">
        <v>27</v>
      </c>
      <c r="B14" s="102"/>
      <c r="C14" s="104"/>
      <c r="D14" s="104"/>
      <c r="E14" s="103" t="s">
        <v>159</v>
      </c>
      <c r="F14" s="85">
        <v>1867</v>
      </c>
      <c r="G14" s="86" t="e">
        <f>+'Több éves kihatású köt.váll.'!K18</f>
        <v>#REF!</v>
      </c>
    </row>
    <row r="15" spans="1:7" ht="15.75">
      <c r="A15" t="s">
        <v>28</v>
      </c>
      <c r="B15" s="102"/>
      <c r="C15" s="104"/>
      <c r="D15" s="104"/>
      <c r="E15" s="105" t="s">
        <v>449</v>
      </c>
      <c r="F15">
        <v>9450</v>
      </c>
      <c r="G15" s="86">
        <f>+F15</f>
        <v>9450</v>
      </c>
    </row>
    <row r="16" spans="2:7" ht="15.75">
      <c r="B16" s="102"/>
      <c r="C16" s="104"/>
      <c r="D16" s="104"/>
      <c r="E16" s="103" t="str">
        <f>+Kiadás!C26</f>
        <v>Felhalmozási c. hitel törlesztése</v>
      </c>
      <c r="F16" s="85"/>
      <c r="G16" s="86">
        <v>70000</v>
      </c>
    </row>
    <row r="17" spans="2:7" ht="15.75">
      <c r="B17" s="102"/>
      <c r="C17" s="104"/>
      <c r="D17" s="104"/>
      <c r="E17" s="103" t="str">
        <f>+Kiadás!C27</f>
        <v>Felhalmozási c. kötvény végtörlesztés</v>
      </c>
      <c r="G17" s="86">
        <f>+Kiadás!F27</f>
        <v>162405</v>
      </c>
    </row>
    <row r="18" spans="2:6" ht="15.75">
      <c r="B18" s="102"/>
      <c r="C18" s="104"/>
      <c r="D18" s="104"/>
      <c r="E18" s="103"/>
      <c r="F18" s="85"/>
    </row>
    <row r="19" spans="2:5" ht="15.75">
      <c r="B19" s="102"/>
      <c r="C19" s="104"/>
      <c r="D19" s="104"/>
      <c r="E19" s="106"/>
    </row>
    <row r="20" spans="2:5" ht="15.75">
      <c r="B20" s="102"/>
      <c r="C20" s="104"/>
      <c r="D20" s="104"/>
      <c r="E20" s="106"/>
    </row>
    <row r="21" spans="2:5" ht="15.75">
      <c r="B21" s="102"/>
      <c r="C21" s="104"/>
      <c r="D21" s="104"/>
      <c r="E21" s="106"/>
    </row>
    <row r="22" spans="2:5" ht="15.75">
      <c r="B22" s="102"/>
      <c r="C22" s="104"/>
      <c r="D22" s="104"/>
      <c r="E22" s="106"/>
    </row>
    <row r="23" spans="1:7" ht="15.75">
      <c r="A23" t="s">
        <v>29</v>
      </c>
      <c r="B23" s="98" t="s">
        <v>153</v>
      </c>
      <c r="C23" s="107">
        <f>SUM(C7:C22)</f>
        <v>51600</v>
      </c>
      <c r="D23" s="107">
        <f>SUM(D7:D22)</f>
        <v>343822</v>
      </c>
      <c r="E23" s="108" t="s">
        <v>160</v>
      </c>
      <c r="F23" s="109">
        <f>SUM(F7:F22)</f>
        <v>51395</v>
      </c>
      <c r="G23" s="109" t="e">
        <f>SUM(G7:G22)</f>
        <v>#REF!</v>
      </c>
    </row>
    <row r="24" spans="1:5" ht="15.75">
      <c r="A24" t="s">
        <v>30</v>
      </c>
      <c r="B24" s="110" t="s">
        <v>161</v>
      </c>
      <c r="C24" s="111">
        <f>+C23-F23</f>
        <v>205</v>
      </c>
      <c r="D24" s="111" t="e">
        <f>+D23-G23</f>
        <v>#REF!</v>
      </c>
      <c r="E24" s="108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&amp;L9. melléklet a 2014. évi 15/2014.(XI.27.) Önkormányzati költségvetési rendelethez&amp;R&amp;D</oddHeader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91.28125" style="0" customWidth="1"/>
    <col min="2" max="2" width="8.8515625" style="0" customWidth="1"/>
    <col min="3" max="3" width="7.00390625" style="0" customWidth="1"/>
    <col min="4" max="4" width="15.8515625" style="85" bestFit="1" customWidth="1"/>
  </cols>
  <sheetData>
    <row r="1" ht="12.75" customHeight="1">
      <c r="D1" s="435" t="s">
        <v>376</v>
      </c>
    </row>
    <row r="2" spans="1:4" ht="12.75" customHeight="1">
      <c r="A2" t="s">
        <v>455</v>
      </c>
      <c r="B2" t="s">
        <v>61</v>
      </c>
      <c r="D2" s="86"/>
    </row>
    <row r="3" spans="1:4" ht="12.75">
      <c r="A3" t="s">
        <v>151</v>
      </c>
      <c r="B3" s="84" t="s">
        <v>421</v>
      </c>
      <c r="C3" t="s">
        <v>383</v>
      </c>
      <c r="D3" s="86">
        <f>+D7+D8+D18+D20+D24+D25+D37+D38</f>
        <v>241073596</v>
      </c>
    </row>
    <row r="4" ht="12.75" customHeight="1">
      <c r="A4" t="s">
        <v>384</v>
      </c>
    </row>
    <row r="5" ht="12.75" customHeight="1">
      <c r="A5" t="s">
        <v>385</v>
      </c>
    </row>
    <row r="6" spans="1:4" ht="12.75" customHeight="1">
      <c r="A6" t="s">
        <v>386</v>
      </c>
      <c r="B6" t="s">
        <v>127</v>
      </c>
      <c r="C6" s="368">
        <v>20.41</v>
      </c>
      <c r="D6" s="85">
        <v>93477800</v>
      </c>
    </row>
    <row r="7" spans="1:4" ht="12.75" customHeight="1">
      <c r="A7" t="s">
        <v>387</v>
      </c>
      <c r="B7" t="s">
        <v>127</v>
      </c>
      <c r="C7" s="85">
        <v>0</v>
      </c>
      <c r="D7" s="384">
        <v>93477800</v>
      </c>
    </row>
    <row r="8" spans="1:4" ht="12.75" customHeight="1">
      <c r="A8" t="s">
        <v>388</v>
      </c>
      <c r="B8" t="s">
        <v>127</v>
      </c>
      <c r="C8" s="85">
        <v>0</v>
      </c>
      <c r="D8" s="384">
        <v>55853688</v>
      </c>
    </row>
    <row r="9" spans="1:4" ht="12.75" customHeight="1">
      <c r="A9" t="s">
        <v>389</v>
      </c>
      <c r="B9" t="s">
        <v>127</v>
      </c>
      <c r="C9" s="85">
        <v>0</v>
      </c>
      <c r="D9" s="85">
        <v>55853688</v>
      </c>
    </row>
    <row r="10" spans="1:4" ht="12.75" customHeight="1">
      <c r="A10" t="s">
        <v>390</v>
      </c>
      <c r="B10" t="s">
        <v>127</v>
      </c>
      <c r="C10" s="85">
        <v>0</v>
      </c>
      <c r="D10" s="85">
        <v>18963920</v>
      </c>
    </row>
    <row r="11" spans="1:4" ht="12.75" customHeight="1">
      <c r="A11" t="s">
        <v>391</v>
      </c>
      <c r="B11" t="s">
        <v>127</v>
      </c>
      <c r="C11" s="85">
        <v>0</v>
      </c>
      <c r="D11" s="385">
        <v>18963920</v>
      </c>
    </row>
    <row r="12" spans="1:4" ht="12.75" customHeight="1">
      <c r="A12" t="s">
        <v>128</v>
      </c>
      <c r="B12" t="s">
        <v>127</v>
      </c>
      <c r="C12" s="85">
        <v>0</v>
      </c>
      <c r="D12" s="85">
        <v>20985120</v>
      </c>
    </row>
    <row r="13" spans="1:4" ht="12.75" customHeight="1">
      <c r="A13" t="s">
        <v>392</v>
      </c>
      <c r="B13" t="s">
        <v>127</v>
      </c>
      <c r="C13" s="85">
        <v>0</v>
      </c>
      <c r="D13" s="385">
        <v>20985120</v>
      </c>
    </row>
    <row r="14" spans="1:4" ht="12.75" customHeight="1">
      <c r="A14" t="s">
        <v>129</v>
      </c>
      <c r="B14" t="s">
        <v>127</v>
      </c>
      <c r="C14" s="85">
        <v>0</v>
      </c>
      <c r="D14" s="85">
        <v>100000</v>
      </c>
    </row>
    <row r="15" spans="1:4" ht="12.75" customHeight="1">
      <c r="A15" t="s">
        <v>393</v>
      </c>
      <c r="B15" t="s">
        <v>127</v>
      </c>
      <c r="C15" s="85">
        <v>0</v>
      </c>
      <c r="D15" s="385">
        <v>100000</v>
      </c>
    </row>
    <row r="16" spans="1:4" ht="12.75" customHeight="1">
      <c r="A16" t="s">
        <v>130</v>
      </c>
      <c r="B16" t="s">
        <v>127</v>
      </c>
      <c r="C16" s="85">
        <v>0</v>
      </c>
      <c r="D16" s="85">
        <v>15804648</v>
      </c>
    </row>
    <row r="17" spans="1:4" ht="12.75" customHeight="1">
      <c r="A17" t="s">
        <v>394</v>
      </c>
      <c r="B17" t="s">
        <v>127</v>
      </c>
      <c r="C17" s="85">
        <v>0</v>
      </c>
      <c r="D17" s="385">
        <v>15804648</v>
      </c>
    </row>
    <row r="18" spans="1:4" ht="12.75" customHeight="1">
      <c r="A18" t="s">
        <v>395</v>
      </c>
      <c r="B18" t="s">
        <v>127</v>
      </c>
      <c r="C18" s="85">
        <v>0</v>
      </c>
      <c r="D18" s="384">
        <v>16229700</v>
      </c>
    </row>
    <row r="19" spans="1:4" ht="12.75" customHeight="1">
      <c r="A19" t="s">
        <v>396</v>
      </c>
      <c r="B19" t="s">
        <v>127</v>
      </c>
      <c r="C19" s="85">
        <v>0</v>
      </c>
      <c r="D19" s="85">
        <v>16229700</v>
      </c>
    </row>
    <row r="20" spans="1:4" ht="12.75" customHeight="1">
      <c r="A20" t="s">
        <v>397</v>
      </c>
      <c r="B20" t="s">
        <v>398</v>
      </c>
      <c r="C20" s="85">
        <v>131</v>
      </c>
      <c r="D20" s="384">
        <v>13100</v>
      </c>
    </row>
    <row r="21" spans="1:4" ht="12.75" customHeight="1">
      <c r="A21" t="s">
        <v>399</v>
      </c>
      <c r="B21" t="s">
        <v>127</v>
      </c>
      <c r="C21" s="85">
        <v>0</v>
      </c>
      <c r="D21" s="85">
        <v>20651160</v>
      </c>
    </row>
    <row r="22" ht="12.75" customHeight="1">
      <c r="A22" t="s">
        <v>400</v>
      </c>
    </row>
    <row r="23" spans="1:4" ht="12.75" customHeight="1">
      <c r="A23" t="s">
        <v>401</v>
      </c>
      <c r="B23" t="s">
        <v>127</v>
      </c>
      <c r="C23" s="85">
        <v>0</v>
      </c>
      <c r="D23" s="85">
        <v>57411388</v>
      </c>
    </row>
    <row r="24" spans="1:4" ht="12.75" customHeight="1">
      <c r="A24" t="s">
        <v>402</v>
      </c>
      <c r="B24" t="s">
        <v>127</v>
      </c>
      <c r="C24" s="85">
        <v>0</v>
      </c>
      <c r="D24" s="384">
        <v>36760228</v>
      </c>
    </row>
    <row r="25" spans="1:4" ht="12.75" customHeight="1">
      <c r="A25" t="s">
        <v>403</v>
      </c>
      <c r="D25" s="384">
        <f>+D27+D29+D31+D32+D34+D36</f>
        <v>31607690</v>
      </c>
    </row>
    <row r="26" ht="12.75" customHeight="1">
      <c r="A26" t="s">
        <v>404</v>
      </c>
    </row>
    <row r="27" spans="1:4" ht="12.75" customHeight="1">
      <c r="A27" t="s">
        <v>405</v>
      </c>
      <c r="B27" t="s">
        <v>127</v>
      </c>
      <c r="C27" s="369">
        <v>1.2022</v>
      </c>
      <c r="D27" s="85">
        <v>2374345</v>
      </c>
    </row>
    <row r="28" ht="12.75" customHeight="1">
      <c r="A28" t="s">
        <v>406</v>
      </c>
    </row>
    <row r="29" spans="1:4" ht="12.75" customHeight="1">
      <c r="A29" t="s">
        <v>407</v>
      </c>
      <c r="B29" t="s">
        <v>127</v>
      </c>
      <c r="C29" s="369">
        <v>1.2022</v>
      </c>
      <c r="D29" s="85">
        <v>2374345</v>
      </c>
    </row>
    <row r="30" spans="1:4" ht="12.75" customHeight="1">
      <c r="A30" t="s">
        <v>408</v>
      </c>
      <c r="B30" t="s">
        <v>409</v>
      </c>
      <c r="C30" s="85">
        <v>0</v>
      </c>
      <c r="D30" s="85">
        <v>0</v>
      </c>
    </row>
    <row r="31" spans="1:4" ht="12.75" customHeight="1">
      <c r="A31" t="s">
        <v>410</v>
      </c>
      <c r="B31" t="s">
        <v>127</v>
      </c>
      <c r="C31" s="85">
        <v>75</v>
      </c>
      <c r="D31" s="85">
        <v>4152000</v>
      </c>
    </row>
    <row r="32" spans="1:4" ht="12.75" customHeight="1">
      <c r="A32" t="s">
        <v>411</v>
      </c>
      <c r="B32" t="s">
        <v>127</v>
      </c>
      <c r="C32" s="85">
        <v>39</v>
      </c>
      <c r="D32" s="85">
        <v>5655000</v>
      </c>
    </row>
    <row r="33" ht="12.75" customHeight="1">
      <c r="A33" t="s">
        <v>412</v>
      </c>
    </row>
    <row r="34" spans="1:4" ht="12.75" customHeight="1">
      <c r="A34" t="s">
        <v>413</v>
      </c>
      <c r="B34" t="s">
        <v>127</v>
      </c>
      <c r="C34" s="85">
        <v>28</v>
      </c>
      <c r="D34" s="85">
        <v>3052000</v>
      </c>
    </row>
    <row r="35" ht="12.75" customHeight="1">
      <c r="A35" t="s">
        <v>414</v>
      </c>
    </row>
    <row r="36" spans="1:4" ht="12.75" customHeight="1">
      <c r="A36" t="s">
        <v>415</v>
      </c>
      <c r="B36" t="s">
        <v>127</v>
      </c>
      <c r="C36" s="85">
        <v>28</v>
      </c>
      <c r="D36" s="85">
        <v>14000000</v>
      </c>
    </row>
    <row r="37" spans="1:4" ht="12.75">
      <c r="A37" t="s">
        <v>465</v>
      </c>
      <c r="B37">
        <v>1140</v>
      </c>
      <c r="C37">
        <v>6011</v>
      </c>
      <c r="D37" s="85">
        <f>+C37*B37</f>
        <v>6852540</v>
      </c>
    </row>
    <row r="38" spans="1:4" ht="12.75">
      <c r="A38" t="s">
        <v>466</v>
      </c>
      <c r="D38" s="85">
        <v>278850</v>
      </c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&amp;L10. melléklet a 2014. évi 15/2014.(XI.27.) Önkormányzati költségvetési rendelethez&amp;R&amp;D</oddHeader>
    <oddFooter>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M63"/>
  <sheetViews>
    <sheetView view="pageBreakPreview" zoomScale="76" zoomScaleSheetLayoutView="76" zoomScalePageLayoutView="0" workbookViewId="0" topLeftCell="A1">
      <selection activeCell="K36" sqref="K36"/>
    </sheetView>
  </sheetViews>
  <sheetFormatPr defaultColWidth="9.140625" defaultRowHeight="18.75" customHeight="1"/>
  <cols>
    <col min="1" max="1" width="6.00390625" style="0" customWidth="1"/>
    <col min="2" max="2" width="32.421875" style="0" customWidth="1"/>
    <col min="3" max="4" width="13.00390625" style="0" customWidth="1"/>
    <col min="5" max="5" width="18.421875" style="0" customWidth="1"/>
    <col min="6" max="6" width="16.00390625" style="0" customWidth="1"/>
    <col min="7" max="7" width="11.00390625" style="0" customWidth="1"/>
    <col min="8" max="8" width="12.28125" style="0" customWidth="1"/>
    <col min="9" max="9" width="15.7109375" style="0" customWidth="1"/>
    <col min="10" max="10" width="14.28125" style="0" customWidth="1"/>
    <col min="11" max="11" width="13.28125" style="0" bestFit="1" customWidth="1"/>
  </cols>
  <sheetData>
    <row r="2" spans="1:11" ht="18.75" customHeight="1">
      <c r="A2" s="684" t="s">
        <v>582</v>
      </c>
      <c r="B2" s="684"/>
      <c r="C2" s="684"/>
      <c r="D2" s="684"/>
      <c r="E2" s="684"/>
      <c r="F2" s="684"/>
      <c r="G2" s="684"/>
      <c r="H2" s="684"/>
      <c r="I2" s="684"/>
      <c r="J2" s="684"/>
      <c r="K2" s="684"/>
    </row>
    <row r="3" spans="2:11" ht="18.75" customHeight="1">
      <c r="B3" s="160"/>
      <c r="C3" s="160"/>
      <c r="D3" s="160"/>
      <c r="E3" s="160"/>
      <c r="F3" s="160"/>
      <c r="G3" s="160"/>
      <c r="H3" s="160"/>
      <c r="I3" s="160"/>
      <c r="J3" s="160"/>
      <c r="K3" s="81" t="s">
        <v>213</v>
      </c>
    </row>
    <row r="4" spans="1:11" ht="18.75" customHeight="1" thickBot="1">
      <c r="A4" t="s">
        <v>11</v>
      </c>
      <c r="B4" s="160" t="s">
        <v>12</v>
      </c>
      <c r="C4" s="160" t="s">
        <v>13</v>
      </c>
      <c r="D4" s="160" t="s">
        <v>14</v>
      </c>
      <c r="E4" s="160" t="s">
        <v>15</v>
      </c>
      <c r="F4" s="160" t="s">
        <v>16</v>
      </c>
      <c r="G4" s="160" t="s">
        <v>17</v>
      </c>
      <c r="H4" s="160" t="s">
        <v>18</v>
      </c>
      <c r="I4" s="160" t="s">
        <v>63</v>
      </c>
      <c r="J4" s="160" t="s">
        <v>19</v>
      </c>
      <c r="K4" s="160" t="s">
        <v>361</v>
      </c>
    </row>
    <row r="5" spans="1:11" ht="18.75" customHeight="1">
      <c r="A5" t="s">
        <v>20</v>
      </c>
      <c r="B5" s="685" t="s">
        <v>214</v>
      </c>
      <c r="C5" s="685" t="s">
        <v>215</v>
      </c>
      <c r="D5" s="688" t="s">
        <v>216</v>
      </c>
      <c r="E5" s="685" t="s">
        <v>217</v>
      </c>
      <c r="F5" s="685" t="s">
        <v>218</v>
      </c>
      <c r="G5" s="691" t="s">
        <v>219</v>
      </c>
      <c r="H5" s="691"/>
      <c r="I5" s="691"/>
      <c r="J5" s="691"/>
      <c r="K5" s="685" t="s">
        <v>5</v>
      </c>
    </row>
    <row r="6" spans="2:11" ht="18.75" customHeight="1">
      <c r="B6" s="686"/>
      <c r="C6" s="686"/>
      <c r="D6" s="689"/>
      <c r="E6" s="686"/>
      <c r="F6" s="686"/>
      <c r="G6" s="692" t="s">
        <v>220</v>
      </c>
      <c r="H6" s="694" t="s">
        <v>221</v>
      </c>
      <c r="I6" s="694" t="s">
        <v>70</v>
      </c>
      <c r="J6" s="696" t="s">
        <v>222</v>
      </c>
      <c r="K6" s="686"/>
    </row>
    <row r="7" spans="2:11" ht="57" customHeight="1" thickBot="1">
      <c r="B7" s="687"/>
      <c r="C7" s="687"/>
      <c r="D7" s="690"/>
      <c r="E7" s="687"/>
      <c r="F7" s="687"/>
      <c r="G7" s="693"/>
      <c r="H7" s="695"/>
      <c r="I7" s="695"/>
      <c r="J7" s="697"/>
      <c r="K7" s="687"/>
    </row>
    <row r="8" spans="1:11" ht="18.75" customHeight="1">
      <c r="A8" t="s">
        <v>21</v>
      </c>
      <c r="B8" s="548" t="s">
        <v>72</v>
      </c>
      <c r="C8" s="549"/>
      <c r="D8" s="550"/>
      <c r="E8" s="551"/>
      <c r="F8" s="549"/>
      <c r="G8" s="552"/>
      <c r="H8" s="553"/>
      <c r="I8" s="553"/>
      <c r="J8" s="554"/>
      <c r="K8" s="555"/>
    </row>
    <row r="9" spans="1:11" ht="29.25" customHeight="1">
      <c r="A9" t="s">
        <v>22</v>
      </c>
      <c r="B9" s="165" t="s">
        <v>270</v>
      </c>
      <c r="C9" s="531">
        <f>100267+178+1283-600+121+225+253+671</f>
        <v>102398</v>
      </c>
      <c r="D9" s="233">
        <f>26821+48+367-186+33+61+68</f>
        <v>27212</v>
      </c>
      <c r="E9" s="234">
        <f>41135-187-9050-282+2500</f>
        <v>34116</v>
      </c>
      <c r="F9" s="167">
        <v>5000</v>
      </c>
      <c r="G9" s="168">
        <f>+'Kiad.intézményenként'!I31</f>
        <v>113495</v>
      </c>
      <c r="H9" s="169">
        <v>366</v>
      </c>
      <c r="I9" s="169"/>
      <c r="J9" s="170"/>
      <c r="K9" s="171">
        <f>SUM(C9:J9)</f>
        <v>282587</v>
      </c>
    </row>
    <row r="10" spans="1:11" ht="29.25" customHeight="1">
      <c r="A10" t="s">
        <v>23</v>
      </c>
      <c r="B10" s="172" t="s">
        <v>483</v>
      </c>
      <c r="C10" s="531">
        <v>650</v>
      </c>
      <c r="D10" s="527">
        <f>13+186</f>
        <v>199</v>
      </c>
      <c r="E10" s="528">
        <f>59+187</f>
        <v>246</v>
      </c>
      <c r="F10" s="173"/>
      <c r="G10" s="529"/>
      <c r="H10" s="530"/>
      <c r="I10" s="530"/>
      <c r="J10" s="178"/>
      <c r="K10" s="171">
        <f>SUM(C10:J10)</f>
        <v>1095</v>
      </c>
    </row>
    <row r="11" spans="1:11" ht="29.25" customHeight="1">
      <c r="A11" t="s">
        <v>24</v>
      </c>
      <c r="B11" s="172" t="s">
        <v>544</v>
      </c>
      <c r="C11" s="531">
        <v>757</v>
      </c>
      <c r="D11" s="527">
        <v>209</v>
      </c>
      <c r="E11" s="528">
        <v>32</v>
      </c>
      <c r="F11" s="173"/>
      <c r="G11" s="529"/>
      <c r="H11" s="530"/>
      <c r="I11" s="530"/>
      <c r="J11" s="178"/>
      <c r="K11" s="171">
        <f>SUM(C11:J11)</f>
        <v>998</v>
      </c>
    </row>
    <row r="12" spans="2:11" ht="29.25" customHeight="1">
      <c r="B12" s="172" t="s">
        <v>565</v>
      </c>
      <c r="C12" s="235">
        <v>695</v>
      </c>
      <c r="D12" s="527">
        <v>188</v>
      </c>
      <c r="E12" s="528">
        <v>151</v>
      </c>
      <c r="F12" s="173"/>
      <c r="G12" s="529"/>
      <c r="H12" s="530"/>
      <c r="I12" s="530"/>
      <c r="J12" s="178"/>
      <c r="K12" s="171">
        <f>SUM(C12:J12)</f>
        <v>1034</v>
      </c>
    </row>
    <row r="13" spans="1:11" ht="18.75" customHeight="1" thickBot="1">
      <c r="A13" t="s">
        <v>25</v>
      </c>
      <c r="B13" s="172" t="s">
        <v>223</v>
      </c>
      <c r="C13" s="173">
        <f>1560+3364</f>
        <v>4924</v>
      </c>
      <c r="D13" s="174">
        <f>421+908</f>
        <v>1329</v>
      </c>
      <c r="E13" s="173"/>
      <c r="F13" s="175"/>
      <c r="G13" s="176"/>
      <c r="H13" s="177"/>
      <c r="I13" s="177"/>
      <c r="J13" s="178"/>
      <c r="K13" s="179">
        <f>+J13+F13+E13+D13+C13</f>
        <v>6253</v>
      </c>
    </row>
    <row r="14" spans="1:12" ht="18.75" customHeight="1" thickBot="1">
      <c r="A14" t="s">
        <v>26</v>
      </c>
      <c r="B14" s="180" t="s">
        <v>224</v>
      </c>
      <c r="C14" s="181">
        <f>SUM(C9:C13)</f>
        <v>109424</v>
      </c>
      <c r="D14" s="181">
        <f aca="true" t="shared" si="0" ref="D14:J14">SUM(D9:D13)</f>
        <v>29137</v>
      </c>
      <c r="E14" s="181">
        <f t="shared" si="0"/>
        <v>34545</v>
      </c>
      <c r="F14" s="181">
        <f t="shared" si="0"/>
        <v>5000</v>
      </c>
      <c r="G14" s="181">
        <f t="shared" si="0"/>
        <v>113495</v>
      </c>
      <c r="H14" s="181">
        <f t="shared" si="0"/>
        <v>366</v>
      </c>
      <c r="I14" s="181">
        <f t="shared" si="0"/>
        <v>0</v>
      </c>
      <c r="J14" s="181">
        <f t="shared" si="0"/>
        <v>0</v>
      </c>
      <c r="K14" s="181">
        <f>SUM(K9:K13)</f>
        <v>291967</v>
      </c>
      <c r="L14" s="547"/>
    </row>
    <row r="15" spans="1:11" ht="18.75" customHeight="1">
      <c r="A15" t="s">
        <v>27</v>
      </c>
      <c r="B15" s="162" t="s">
        <v>225</v>
      </c>
      <c r="C15" s="164"/>
      <c r="D15" s="182"/>
      <c r="E15" s="164"/>
      <c r="F15" s="183"/>
      <c r="G15" s="184"/>
      <c r="H15" s="185"/>
      <c r="I15" s="185"/>
      <c r="J15" s="163"/>
      <c r="K15" s="164"/>
    </row>
    <row r="16" spans="1:11" ht="18.75" customHeight="1">
      <c r="A16" t="s">
        <v>28</v>
      </c>
      <c r="B16" s="165" t="s">
        <v>226</v>
      </c>
      <c r="C16" s="167">
        <f>1423+40+20+30</f>
        <v>1513</v>
      </c>
      <c r="D16" s="166">
        <f>383+11+5+8</f>
        <v>407</v>
      </c>
      <c r="E16" s="167">
        <v>2105</v>
      </c>
      <c r="F16" s="186"/>
      <c r="G16" s="187"/>
      <c r="H16" s="188"/>
      <c r="I16" s="188"/>
      <c r="J16" s="170"/>
      <c r="K16" s="171">
        <f>SUM(C16:J16)</f>
        <v>4025</v>
      </c>
    </row>
    <row r="17" spans="1:11" ht="18.75" customHeight="1">
      <c r="A17" t="s">
        <v>29</v>
      </c>
      <c r="B17" s="165" t="s">
        <v>227</v>
      </c>
      <c r="C17" s="167">
        <f>44404+13877+15263+8858+98196</f>
        <v>180598</v>
      </c>
      <c r="D17" s="166">
        <f>5994+1874+2060+1192+13257</f>
        <v>24377</v>
      </c>
      <c r="E17" s="167">
        <f>15694-14254+3150+3464+2005+1689</f>
        <v>11748</v>
      </c>
      <c r="F17" s="167">
        <f>+'Felhalm.kiad.'!D11</f>
        <v>6094</v>
      </c>
      <c r="G17" s="168"/>
      <c r="H17" s="169"/>
      <c r="I17" s="169"/>
      <c r="J17" s="170"/>
      <c r="K17" s="171">
        <f aca="true" t="shared" si="1" ref="K17:K28">SUM(C17:J17)</f>
        <v>222817</v>
      </c>
    </row>
    <row r="18" spans="1:11" ht="18.75" customHeight="1">
      <c r="A18" t="s">
        <v>30</v>
      </c>
      <c r="B18" s="165" t="s">
        <v>220</v>
      </c>
      <c r="C18" s="167"/>
      <c r="D18" s="166"/>
      <c r="E18" s="167"/>
      <c r="F18" s="167"/>
      <c r="G18" s="168">
        <f>+'Kiad.intézményenként'!I22</f>
        <v>15160</v>
      </c>
      <c r="H18" s="169"/>
      <c r="I18" s="169"/>
      <c r="J18" s="170"/>
      <c r="K18" s="171">
        <f t="shared" si="1"/>
        <v>15160</v>
      </c>
    </row>
    <row r="19" spans="1:11" ht="15">
      <c r="A19" t="s">
        <v>31</v>
      </c>
      <c r="B19" s="165" t="s">
        <v>228</v>
      </c>
      <c r="C19" s="167"/>
      <c r="D19" s="166"/>
      <c r="E19" s="167"/>
      <c r="F19" s="186"/>
      <c r="G19" s="187"/>
      <c r="H19" s="169">
        <f>+'Kiad.intézményenként'!H22</f>
        <v>60703</v>
      </c>
      <c r="I19" s="169">
        <f>+'Kiad.intézményenként'!K22</f>
        <v>4000</v>
      </c>
      <c r="J19" s="170"/>
      <c r="K19" s="171">
        <f t="shared" si="1"/>
        <v>64703</v>
      </c>
    </row>
    <row r="20" spans="1:11" ht="15">
      <c r="A20" t="s">
        <v>32</v>
      </c>
      <c r="B20" s="165" t="s">
        <v>271</v>
      </c>
      <c r="C20" s="167"/>
      <c r="D20" s="166"/>
      <c r="E20" s="167">
        <v>507</v>
      </c>
      <c r="F20" s="186"/>
      <c r="G20" s="187"/>
      <c r="H20" s="169"/>
      <c r="I20" s="169"/>
      <c r="J20" s="170"/>
      <c r="K20" s="171">
        <f t="shared" si="1"/>
        <v>507</v>
      </c>
    </row>
    <row r="21" spans="1:11" ht="18.75" customHeight="1">
      <c r="A21" t="s">
        <v>33</v>
      </c>
      <c r="B21" s="165" t="s">
        <v>454</v>
      </c>
      <c r="C21" s="191">
        <v>1620</v>
      </c>
      <c r="D21" s="386">
        <v>394</v>
      </c>
      <c r="E21" s="191"/>
      <c r="F21" s="191"/>
      <c r="G21" s="192"/>
      <c r="H21" s="193"/>
      <c r="I21" s="433"/>
      <c r="J21" s="194"/>
      <c r="K21" s="171">
        <f t="shared" si="1"/>
        <v>2014</v>
      </c>
    </row>
    <row r="22" spans="1:11" ht="18.75" customHeight="1">
      <c r="A22" t="s">
        <v>34</v>
      </c>
      <c r="B22" s="165" t="s">
        <v>545</v>
      </c>
      <c r="C22" s="191"/>
      <c r="D22" s="386"/>
      <c r="E22" s="191">
        <v>14254</v>
      </c>
      <c r="F22" s="191"/>
      <c r="G22" s="192"/>
      <c r="H22" s="193"/>
      <c r="I22" s="433"/>
      <c r="J22" s="194"/>
      <c r="K22" s="171">
        <f t="shared" si="1"/>
        <v>14254</v>
      </c>
    </row>
    <row r="23" spans="1:11" ht="18.75" customHeight="1">
      <c r="A23" t="s">
        <v>35</v>
      </c>
      <c r="B23" s="165" t="s">
        <v>562</v>
      </c>
      <c r="C23" s="191"/>
      <c r="D23" s="386"/>
      <c r="E23" s="191">
        <f>8812+2717+2911+1237+9090+3179+520</f>
        <v>28466</v>
      </c>
      <c r="F23" s="191"/>
      <c r="G23" s="192"/>
      <c r="H23" s="193"/>
      <c r="I23" s="433"/>
      <c r="J23" s="194"/>
      <c r="K23" s="171">
        <f t="shared" si="1"/>
        <v>28466</v>
      </c>
    </row>
    <row r="24" spans="1:11" ht="18.75" customHeight="1">
      <c r="A24" t="s">
        <v>36</v>
      </c>
      <c r="B24" s="165" t="s">
        <v>543</v>
      </c>
      <c r="C24" s="191"/>
      <c r="D24" s="386"/>
      <c r="E24" s="191">
        <v>1010</v>
      </c>
      <c r="F24" s="191"/>
      <c r="G24" s="192"/>
      <c r="H24" s="193"/>
      <c r="I24" s="433"/>
      <c r="J24" s="194"/>
      <c r="K24" s="171">
        <f t="shared" si="1"/>
        <v>1010</v>
      </c>
    </row>
    <row r="25" spans="1:11" ht="18.75" customHeight="1">
      <c r="A25" t="s">
        <v>37</v>
      </c>
      <c r="B25" s="165" t="s">
        <v>462</v>
      </c>
      <c r="C25" s="191"/>
      <c r="D25" s="386"/>
      <c r="E25" s="191"/>
      <c r="F25" s="191">
        <f>+'Kiad.intézményenként'!L22-'Felhalm.kiad.'!D11</f>
        <v>78996</v>
      </c>
      <c r="G25" s="192"/>
      <c r="H25" s="193"/>
      <c r="I25" s="433"/>
      <c r="J25" s="194"/>
      <c r="K25" s="171">
        <f t="shared" si="1"/>
        <v>78996</v>
      </c>
    </row>
    <row r="26" spans="1:11" ht="18.75" customHeight="1">
      <c r="A26" t="s">
        <v>40</v>
      </c>
      <c r="B26" s="165" t="s">
        <v>452</v>
      </c>
      <c r="C26" s="189"/>
      <c r="D26" s="190"/>
      <c r="E26" s="189">
        <f>+'Felhalm.bev.és kiad.mérlege'!F15</f>
        <v>9450</v>
      </c>
      <c r="F26" s="189"/>
      <c r="G26" s="192"/>
      <c r="H26" s="193"/>
      <c r="I26" s="193"/>
      <c r="J26" s="194"/>
      <c r="K26" s="171">
        <f t="shared" si="1"/>
        <v>9450</v>
      </c>
    </row>
    <row r="27" spans="1:11" ht="18.75" customHeight="1">
      <c r="A27" t="s">
        <v>42</v>
      </c>
      <c r="B27" s="165" t="s">
        <v>453</v>
      </c>
      <c r="C27" s="167"/>
      <c r="D27" s="166"/>
      <c r="E27" s="167">
        <f>+'Felhalm.bev.és kiad.mérlege'!F14+'Felhalm.bev.és kiad.mérlege'!F13</f>
        <v>3067</v>
      </c>
      <c r="F27" s="167"/>
      <c r="G27" s="168"/>
      <c r="H27" s="169"/>
      <c r="I27" s="169"/>
      <c r="J27" s="434"/>
      <c r="K27" s="171">
        <f t="shared" si="1"/>
        <v>3067</v>
      </c>
    </row>
    <row r="28" spans="1:11" ht="18.75" customHeight="1" thickBot="1">
      <c r="A28" t="s">
        <v>43</v>
      </c>
      <c r="B28" s="556" t="s">
        <v>222</v>
      </c>
      <c r="C28" s="557"/>
      <c r="D28" s="558"/>
      <c r="E28" s="557"/>
      <c r="F28" s="557"/>
      <c r="G28" s="559"/>
      <c r="H28" s="560"/>
      <c r="I28" s="560"/>
      <c r="J28" s="561">
        <f>+'Bev.intézményenként'!J33</f>
        <v>499263</v>
      </c>
      <c r="K28" s="562">
        <f t="shared" si="1"/>
        <v>499263</v>
      </c>
    </row>
    <row r="29" spans="1:13" ht="18.75" customHeight="1" thickBot="1">
      <c r="A29" t="s">
        <v>44</v>
      </c>
      <c r="B29" s="180" t="s">
        <v>229</v>
      </c>
      <c r="C29" s="181">
        <f>SUM(C16:C28)</f>
        <v>183731</v>
      </c>
      <c r="D29" s="181">
        <f>SUM(D16:D28)</f>
        <v>25178</v>
      </c>
      <c r="E29" s="181">
        <f aca="true" t="shared" si="2" ref="E29:J29">SUM(E16:E28)</f>
        <v>70607</v>
      </c>
      <c r="F29" s="181">
        <f t="shared" si="2"/>
        <v>85090</v>
      </c>
      <c r="G29" s="181">
        <f t="shared" si="2"/>
        <v>15160</v>
      </c>
      <c r="H29" s="181">
        <f t="shared" si="2"/>
        <v>60703</v>
      </c>
      <c r="I29" s="181">
        <f t="shared" si="2"/>
        <v>4000</v>
      </c>
      <c r="J29" s="181">
        <f t="shared" si="2"/>
        <v>499263</v>
      </c>
      <c r="K29" s="181">
        <f>SUM(K16:K28)</f>
        <v>943732</v>
      </c>
      <c r="L29" s="532"/>
      <c r="M29" s="533"/>
    </row>
    <row r="30" spans="2:11" ht="18.75" customHeight="1">
      <c r="B30" s="195"/>
      <c r="C30" s="196"/>
      <c r="D30" s="196"/>
      <c r="E30" s="196">
        <f>SUM(C29:E29)</f>
        <v>279516</v>
      </c>
      <c r="F30" s="196"/>
      <c r="G30" s="196"/>
      <c r="H30" s="196"/>
      <c r="I30" s="196"/>
      <c r="J30" s="196"/>
      <c r="K30" s="197"/>
    </row>
    <row r="31" spans="2:11" ht="18.75" customHeight="1">
      <c r="B31" s="195"/>
      <c r="C31" s="196"/>
      <c r="D31" s="196"/>
      <c r="E31" s="196"/>
      <c r="F31" s="196"/>
      <c r="G31" s="196"/>
      <c r="H31" s="196"/>
      <c r="I31" s="196"/>
      <c r="J31" s="196"/>
      <c r="K31" s="196"/>
    </row>
    <row r="32" spans="2:11" ht="30.75" customHeight="1">
      <c r="B32" s="195"/>
      <c r="C32" s="196"/>
      <c r="D32" s="196"/>
      <c r="E32" s="196"/>
      <c r="F32" s="196"/>
      <c r="G32" s="196"/>
      <c r="H32" s="196"/>
      <c r="I32" s="196"/>
      <c r="J32" s="196"/>
      <c r="K32" s="196"/>
    </row>
    <row r="33" spans="2:11" ht="18.75" customHeight="1">
      <c r="B33" s="195"/>
      <c r="C33" s="196"/>
      <c r="D33" s="196"/>
      <c r="E33" s="196"/>
      <c r="F33" s="196"/>
      <c r="G33" s="196"/>
      <c r="H33" s="196"/>
      <c r="I33" s="196"/>
      <c r="J33" s="196"/>
      <c r="K33" s="197"/>
    </row>
    <row r="34" spans="2:11" ht="18.75" customHeight="1">
      <c r="B34" s="195"/>
      <c r="C34" s="196"/>
      <c r="D34" s="196"/>
      <c r="E34" s="196"/>
      <c r="F34" s="196"/>
      <c r="G34" s="196"/>
      <c r="H34" s="196"/>
      <c r="I34" s="196"/>
      <c r="J34" s="196"/>
      <c r="K34" s="196"/>
    </row>
    <row r="35" spans="2:11" ht="18.75" customHeight="1">
      <c r="B35" s="198"/>
      <c r="C35" s="199"/>
      <c r="D35" s="199"/>
      <c r="E35" s="196"/>
      <c r="F35" s="196"/>
      <c r="G35" s="196"/>
      <c r="H35" s="196"/>
      <c r="I35" s="196"/>
      <c r="J35" s="196"/>
      <c r="K35" s="197"/>
    </row>
    <row r="36" spans="2:11" ht="18.75" customHeight="1">
      <c r="B36" s="198"/>
      <c r="C36" s="199"/>
      <c r="D36" s="199"/>
      <c r="E36" s="196"/>
      <c r="F36" s="196"/>
      <c r="G36" s="196"/>
      <c r="H36" s="196"/>
      <c r="I36" s="196"/>
      <c r="J36" s="196"/>
      <c r="K36" s="197"/>
    </row>
    <row r="37" spans="2:11" ht="18.75" customHeight="1">
      <c r="B37" s="200"/>
      <c r="C37" s="196"/>
      <c r="D37" s="196"/>
      <c r="E37" s="196"/>
      <c r="F37" s="196"/>
      <c r="G37" s="196"/>
      <c r="H37" s="196"/>
      <c r="I37" s="196"/>
      <c r="J37" s="196"/>
      <c r="K37" s="197"/>
    </row>
    <row r="38" spans="2:11" ht="18.75" customHeight="1">
      <c r="B38" s="195"/>
      <c r="C38" s="196"/>
      <c r="D38" s="196"/>
      <c r="E38" s="196"/>
      <c r="F38" s="196"/>
      <c r="G38" s="196"/>
      <c r="H38" s="196"/>
      <c r="I38" s="196"/>
      <c r="J38" s="196"/>
      <c r="K38" s="197"/>
    </row>
    <row r="39" spans="2:11" ht="18.75" customHeight="1">
      <c r="B39" s="195"/>
      <c r="C39" s="196"/>
      <c r="D39" s="196"/>
      <c r="E39" s="196"/>
      <c r="F39" s="196"/>
      <c r="G39" s="196"/>
      <c r="H39" s="196"/>
      <c r="I39" s="196"/>
      <c r="J39" s="196"/>
      <c r="K39" s="197"/>
    </row>
    <row r="40" spans="2:11" ht="18.75" customHeight="1">
      <c r="B40" s="158"/>
      <c r="C40" s="158"/>
      <c r="D40" s="158"/>
      <c r="E40" s="158"/>
      <c r="F40" s="158"/>
      <c r="G40" s="158"/>
      <c r="H40" s="158"/>
      <c r="I40" s="158"/>
      <c r="J40" s="158"/>
      <c r="K40" s="158"/>
    </row>
    <row r="41" spans="2:11" ht="18.75" customHeight="1">
      <c r="B41" s="158"/>
      <c r="C41" s="158"/>
      <c r="D41" s="158"/>
      <c r="E41" s="158"/>
      <c r="F41" s="158"/>
      <c r="G41" s="158"/>
      <c r="H41" s="158"/>
      <c r="I41" s="158"/>
      <c r="J41" s="158"/>
      <c r="K41" s="158"/>
    </row>
    <row r="55" spans="2:11" ht="18.75" customHeight="1">
      <c r="B55" s="683"/>
      <c r="C55" s="683"/>
      <c r="D55" s="683"/>
      <c r="E55" s="683"/>
      <c r="F55" s="683"/>
      <c r="G55" s="683"/>
      <c r="H55" s="683"/>
      <c r="I55" s="683"/>
      <c r="J55" s="683"/>
      <c r="K55" s="683"/>
    </row>
    <row r="56" spans="2:11" ht="18.75" customHeight="1">
      <c r="B56" s="202"/>
      <c r="C56" s="158"/>
      <c r="D56" s="158"/>
      <c r="E56" s="158"/>
      <c r="F56" s="158"/>
      <c r="G56" s="158"/>
      <c r="H56" s="158"/>
      <c r="I56" s="158"/>
      <c r="J56" s="158"/>
      <c r="K56" s="158"/>
    </row>
    <row r="57" spans="2:11" ht="18.75" customHeight="1">
      <c r="B57" s="202"/>
      <c r="C57" s="158"/>
      <c r="D57" s="158"/>
      <c r="E57" s="158"/>
      <c r="F57" s="158"/>
      <c r="G57" s="158"/>
      <c r="H57" s="158"/>
      <c r="I57" s="158"/>
      <c r="J57" s="158"/>
      <c r="K57" s="158"/>
    </row>
    <row r="58" spans="2:11" ht="18.75" customHeight="1">
      <c r="B58" s="202"/>
      <c r="C58" s="158"/>
      <c r="D58" s="158"/>
      <c r="E58" s="158"/>
      <c r="F58" s="158"/>
      <c r="G58" s="158"/>
      <c r="H58" s="158"/>
      <c r="I58" s="158"/>
      <c r="J58" s="158"/>
      <c r="K58" s="158"/>
    </row>
    <row r="60" ht="18.75" customHeight="1">
      <c r="B60" s="201"/>
    </row>
    <row r="62" ht="18.75" customHeight="1">
      <c r="B62" s="201"/>
    </row>
    <row r="63" ht="18.75" customHeight="1">
      <c r="B63" s="201"/>
    </row>
  </sheetData>
  <sheetProtection/>
  <mergeCells count="13">
    <mergeCell ref="H6:H7"/>
    <mergeCell ref="I6:I7"/>
    <mergeCell ref="J6:J7"/>
    <mergeCell ref="B55:K55"/>
    <mergeCell ref="A2:K2"/>
    <mergeCell ref="B5:B7"/>
    <mergeCell ref="C5:C7"/>
    <mergeCell ref="D5:D7"/>
    <mergeCell ref="E5:E7"/>
    <mergeCell ref="F5:F7"/>
    <mergeCell ref="G5:J5"/>
    <mergeCell ref="K5:K7"/>
    <mergeCell ref="G6:G7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landscape" paperSize="9" scale="85" r:id="rId1"/>
  <headerFooter alignWithMargins="0">
    <oddHeader>&amp;L11. melléklet a 2014. évi 15/2014.(XI.27.) Önkormányzati költségvetési rendelethez&amp;R&amp;D</oddHeader>
    <oddFooter>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2:AD90"/>
  <sheetViews>
    <sheetView view="pageBreakPreview" zoomScaleSheetLayoutView="100" zoomScalePageLayoutView="0" workbookViewId="0" topLeftCell="A1">
      <selection activeCell="F40" sqref="F40"/>
    </sheetView>
  </sheetViews>
  <sheetFormatPr defaultColWidth="9.140625" defaultRowHeight="12.75"/>
  <cols>
    <col min="1" max="1" width="0.2890625" style="203" customWidth="1"/>
    <col min="2" max="2" width="19.28125" style="203" customWidth="1"/>
    <col min="3" max="3" width="9.7109375" style="203" bestFit="1" customWidth="1"/>
    <col min="4" max="4" width="10.140625" style="203" bestFit="1" customWidth="1"/>
    <col min="5" max="5" width="8.28125" style="203" bestFit="1" customWidth="1"/>
    <col min="6" max="6" width="9.57421875" style="203" bestFit="1" customWidth="1"/>
    <col min="7" max="7" width="8.421875" style="203" customWidth="1"/>
    <col min="8" max="8" width="7.421875" style="203" customWidth="1"/>
    <col min="9" max="9" width="8.140625" style="203" bestFit="1" customWidth="1"/>
    <col min="10" max="11" width="7.7109375" style="203" customWidth="1"/>
    <col min="12" max="12" width="9.57421875" style="203" customWidth="1"/>
    <col min="13" max="13" width="10.140625" style="203" bestFit="1" customWidth="1"/>
    <col min="14" max="15" width="7.8515625" style="203" customWidth="1"/>
    <col min="16" max="16" width="10.7109375" style="203" customWidth="1"/>
    <col min="17" max="17" width="9.28125" style="203" bestFit="1" customWidth="1"/>
    <col min="18" max="20" width="8.421875" style="203" customWidth="1"/>
    <col min="21" max="21" width="10.7109375" style="203" customWidth="1"/>
    <col min="22" max="22" width="9.00390625" style="203" customWidth="1"/>
    <col min="23" max="24" width="7.421875" style="203" customWidth="1"/>
    <col min="25" max="25" width="10.00390625" style="203" customWidth="1"/>
    <col min="26" max="26" width="9.7109375" style="203" customWidth="1"/>
    <col min="27" max="27" width="9.140625" style="203" hidden="1" customWidth="1"/>
    <col min="28" max="16384" width="9.140625" style="203" customWidth="1"/>
  </cols>
  <sheetData>
    <row r="2" spans="2:23" ht="12.75">
      <c r="B2" s="425" t="s">
        <v>446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W2" s="204">
        <f>SUM(Q22:Y22)</f>
        <v>94957</v>
      </c>
    </row>
    <row r="3" ht="13.5" thickBot="1"/>
    <row r="4" spans="2:26" ht="13.5" thickBot="1">
      <c r="B4" s="242" t="s">
        <v>296</v>
      </c>
      <c r="C4" s="676" t="s">
        <v>174</v>
      </c>
      <c r="D4" s="676"/>
      <c r="E4" s="676"/>
      <c r="F4" s="676"/>
      <c r="G4" s="676"/>
      <c r="H4" s="676"/>
      <c r="I4" s="676"/>
      <c r="J4" s="676"/>
      <c r="K4" s="676"/>
      <c r="L4" s="698"/>
      <c r="M4" s="699" t="s">
        <v>297</v>
      </c>
      <c r="N4" s="676"/>
      <c r="O4" s="676"/>
      <c r="P4" s="676"/>
      <c r="Q4" s="676"/>
      <c r="R4" s="676"/>
      <c r="S4" s="676"/>
      <c r="T4" s="676"/>
      <c r="U4" s="676"/>
      <c r="V4" s="676"/>
      <c r="W4" s="676"/>
      <c r="X4" s="676"/>
      <c r="Y4" s="676"/>
      <c r="Z4" s="698"/>
    </row>
    <row r="5" spans="2:26" ht="13.5" thickBot="1">
      <c r="B5" s="294"/>
      <c r="C5" s="572"/>
      <c r="D5" s="572"/>
      <c r="E5" s="572"/>
      <c r="F5" s="572"/>
      <c r="G5" s="572"/>
      <c r="H5" s="572"/>
      <c r="I5" s="572"/>
      <c r="J5" s="572"/>
      <c r="K5" s="572"/>
      <c r="L5" s="573"/>
      <c r="M5" s="574"/>
      <c r="N5" s="575"/>
      <c r="O5" s="575"/>
      <c r="P5" s="576"/>
      <c r="Q5" s="673" t="s">
        <v>281</v>
      </c>
      <c r="R5" s="674"/>
      <c r="S5" s="674"/>
      <c r="T5" s="674"/>
      <c r="U5" s="674"/>
      <c r="V5" s="674"/>
      <c r="W5" s="674"/>
      <c r="X5" s="674"/>
      <c r="Y5" s="675"/>
      <c r="Z5" s="577"/>
    </row>
    <row r="6" spans="2:26" s="237" customFormat="1" ht="51.75" thickBot="1">
      <c r="B6" s="301" t="s">
        <v>233</v>
      </c>
      <c r="C6" s="570" t="s">
        <v>56</v>
      </c>
      <c r="D6" s="570" t="s">
        <v>234</v>
      </c>
      <c r="E6" s="570" t="s">
        <v>235</v>
      </c>
      <c r="F6" s="570" t="s">
        <v>61</v>
      </c>
      <c r="G6" s="578" t="s">
        <v>277</v>
      </c>
      <c r="H6" s="578" t="s">
        <v>278</v>
      </c>
      <c r="I6" s="578" t="s">
        <v>62</v>
      </c>
      <c r="J6" s="578" t="s">
        <v>9</v>
      </c>
      <c r="K6" s="578"/>
      <c r="L6" s="579" t="s">
        <v>279</v>
      </c>
      <c r="M6" s="580" t="s">
        <v>250</v>
      </c>
      <c r="N6" s="580" t="s">
        <v>249</v>
      </c>
      <c r="O6" s="578" t="s">
        <v>477</v>
      </c>
      <c r="P6" s="581" t="s">
        <v>248</v>
      </c>
      <c r="Q6" s="569" t="s">
        <v>265</v>
      </c>
      <c r="R6" s="582" t="s">
        <v>447</v>
      </c>
      <c r="S6" s="583" t="s">
        <v>290</v>
      </c>
      <c r="T6" s="582" t="s">
        <v>291</v>
      </c>
      <c r="U6" s="583" t="s">
        <v>293</v>
      </c>
      <c r="V6" s="582" t="s">
        <v>294</v>
      </c>
      <c r="W6" s="582" t="s">
        <v>489</v>
      </c>
      <c r="X6" s="582" t="s">
        <v>8</v>
      </c>
      <c r="Y6" s="584" t="s">
        <v>292</v>
      </c>
      <c r="Z6" s="585" t="s">
        <v>295</v>
      </c>
    </row>
    <row r="7" spans="2:27" s="237" customFormat="1" ht="12.75">
      <c r="B7" s="295" t="s">
        <v>481</v>
      </c>
      <c r="C7" s="586">
        <f>669+283+623+541+508+1074</f>
        <v>3698</v>
      </c>
      <c r="D7" s="586">
        <f>180+76+168+146+137+110</f>
        <v>817</v>
      </c>
      <c r="E7" s="587"/>
      <c r="F7" s="588">
        <f>SUM(C7:E7)</f>
        <v>4515</v>
      </c>
      <c r="G7" s="589"/>
      <c r="H7" s="589"/>
      <c r="I7" s="589"/>
      <c r="J7" s="589"/>
      <c r="K7" s="589"/>
      <c r="L7" s="590">
        <f>SUM(F7:J7)</f>
        <v>4515</v>
      </c>
      <c r="M7" s="587"/>
      <c r="N7" s="587"/>
      <c r="O7" s="587"/>
      <c r="P7" s="589"/>
      <c r="Q7" s="591">
        <f>849+283+76+623+168</f>
        <v>1999</v>
      </c>
      <c r="R7" s="592"/>
      <c r="S7" s="592"/>
      <c r="T7" s="592"/>
      <c r="U7" s="592"/>
      <c r="V7" s="592"/>
      <c r="W7" s="592"/>
      <c r="X7" s="592"/>
      <c r="Y7" s="593"/>
      <c r="Z7" s="594">
        <f aca="true" t="shared" si="0" ref="Z7:Z13">SUM(M7:Y7)</f>
        <v>1999</v>
      </c>
      <c r="AA7" s="535">
        <f>+Z7-L7</f>
        <v>-2516</v>
      </c>
    </row>
    <row r="8" spans="2:27" ht="12.75">
      <c r="B8" s="296" t="s">
        <v>282</v>
      </c>
      <c r="C8" s="595">
        <v>266</v>
      </c>
      <c r="D8" s="595">
        <v>72</v>
      </c>
      <c r="E8" s="595">
        <v>17983</v>
      </c>
      <c r="F8" s="588">
        <f>SUM(C8:E8)</f>
        <v>18321</v>
      </c>
      <c r="G8" s="588"/>
      <c r="H8" s="588"/>
      <c r="I8" s="588"/>
      <c r="J8" s="588"/>
      <c r="K8" s="588"/>
      <c r="L8" s="594">
        <f>SUM(F8:J8)</f>
        <v>18321</v>
      </c>
      <c r="M8" s="596">
        <v>7493</v>
      </c>
      <c r="N8" s="597"/>
      <c r="O8" s="597"/>
      <c r="P8" s="597"/>
      <c r="Q8" s="598">
        <v>4152</v>
      </c>
      <c r="R8" s="597"/>
      <c r="S8" s="597">
        <v>6676</v>
      </c>
      <c r="T8" s="597"/>
      <c r="U8" s="597"/>
      <c r="V8" s="597"/>
      <c r="W8" s="597"/>
      <c r="X8" s="597"/>
      <c r="Y8" s="599"/>
      <c r="Z8" s="594">
        <f t="shared" si="0"/>
        <v>18321</v>
      </c>
      <c r="AA8" s="535">
        <f aca="true" t="shared" si="1" ref="AA8:AA22">+Z8-L8</f>
        <v>0</v>
      </c>
    </row>
    <row r="9" spans="2:27" ht="12.75">
      <c r="B9" s="296" t="s">
        <v>236</v>
      </c>
      <c r="C9" s="595">
        <v>3259</v>
      </c>
      <c r="D9" s="595">
        <v>880</v>
      </c>
      <c r="E9" s="595">
        <v>2761</v>
      </c>
      <c r="F9" s="588">
        <f>SUM(C9:E9)</f>
        <v>6900</v>
      </c>
      <c r="G9" s="588"/>
      <c r="H9" s="588"/>
      <c r="I9" s="588"/>
      <c r="J9" s="588"/>
      <c r="K9" s="588"/>
      <c r="L9" s="594">
        <f aca="true" t="shared" si="2" ref="L9:L21">SUM(F9:J9)</f>
        <v>6900</v>
      </c>
      <c r="M9" s="597"/>
      <c r="N9" s="597"/>
      <c r="O9" s="597"/>
      <c r="P9" s="595"/>
      <c r="Q9" s="600"/>
      <c r="R9" s="597"/>
      <c r="S9" s="597">
        <v>6900</v>
      </c>
      <c r="T9" s="597"/>
      <c r="U9" s="597"/>
      <c r="V9" s="597"/>
      <c r="W9" s="597"/>
      <c r="X9" s="597"/>
      <c r="Y9" s="599"/>
      <c r="Z9" s="594">
        <f t="shared" si="0"/>
        <v>6900</v>
      </c>
      <c r="AA9" s="535">
        <f t="shared" si="1"/>
        <v>0</v>
      </c>
    </row>
    <row r="10" spans="2:27" ht="12.75">
      <c r="B10" s="296" t="s">
        <v>237</v>
      </c>
      <c r="C10" s="595">
        <v>4551</v>
      </c>
      <c r="D10" s="595">
        <v>1066</v>
      </c>
      <c r="E10" s="595">
        <v>2383</v>
      </c>
      <c r="F10" s="588">
        <f aca="true" t="shared" si="3" ref="F10:F21">SUM(C10:E10)</f>
        <v>8000</v>
      </c>
      <c r="G10" s="588"/>
      <c r="H10" s="588"/>
      <c r="I10" s="588"/>
      <c r="J10" s="588"/>
      <c r="K10" s="588"/>
      <c r="L10" s="594">
        <f t="shared" si="2"/>
        <v>8000</v>
      </c>
      <c r="M10" s="597"/>
      <c r="N10" s="597"/>
      <c r="O10" s="597"/>
      <c r="P10" s="601"/>
      <c r="Q10" s="600"/>
      <c r="R10" s="597"/>
      <c r="S10" s="597">
        <v>8000</v>
      </c>
      <c r="T10" s="597"/>
      <c r="U10" s="597"/>
      <c r="V10" s="597"/>
      <c r="W10" s="597"/>
      <c r="X10" s="597"/>
      <c r="Y10" s="599"/>
      <c r="Z10" s="594">
        <f t="shared" si="0"/>
        <v>8000</v>
      </c>
      <c r="AA10" s="535">
        <f t="shared" si="1"/>
        <v>0</v>
      </c>
    </row>
    <row r="11" spans="2:27" ht="12.75">
      <c r="B11" s="296" t="s">
        <v>238</v>
      </c>
      <c r="C11" s="595">
        <f>3240+1165</f>
        <v>4405</v>
      </c>
      <c r="D11" s="595">
        <f>875+314</f>
        <v>1189</v>
      </c>
      <c r="E11" s="595">
        <v>676</v>
      </c>
      <c r="F11" s="588">
        <f t="shared" si="3"/>
        <v>6270</v>
      </c>
      <c r="G11" s="588"/>
      <c r="H11" s="588"/>
      <c r="I11" s="588"/>
      <c r="J11" s="588"/>
      <c r="K11" s="588"/>
      <c r="L11" s="594">
        <f t="shared" si="2"/>
        <v>6270</v>
      </c>
      <c r="M11" s="595">
        <v>1310</v>
      </c>
      <c r="N11" s="597"/>
      <c r="O11" s="597"/>
      <c r="P11" s="601"/>
      <c r="Q11" s="598">
        <v>3052</v>
      </c>
      <c r="R11" s="597"/>
      <c r="S11" s="597">
        <v>429</v>
      </c>
      <c r="T11" s="597"/>
      <c r="U11" s="597"/>
      <c r="V11" s="597"/>
      <c r="W11" s="597">
        <v>1479</v>
      </c>
      <c r="X11" s="597"/>
      <c r="Y11" s="599"/>
      <c r="Z11" s="594">
        <f t="shared" si="0"/>
        <v>6270</v>
      </c>
      <c r="AA11" s="535">
        <f t="shared" si="1"/>
        <v>0</v>
      </c>
    </row>
    <row r="12" spans="2:27" ht="12.75">
      <c r="B12" s="296" t="s">
        <v>239</v>
      </c>
      <c r="C12" s="595">
        <v>10590</v>
      </c>
      <c r="D12" s="595">
        <v>2859</v>
      </c>
      <c r="E12" s="595">
        <v>1634</v>
      </c>
      <c r="F12" s="588">
        <f>SUM(C12:E12)</f>
        <v>15083</v>
      </c>
      <c r="G12" s="588"/>
      <c r="H12" s="588"/>
      <c r="I12" s="588"/>
      <c r="J12" s="588"/>
      <c r="K12" s="588"/>
      <c r="L12" s="594">
        <f t="shared" si="2"/>
        <v>15083</v>
      </c>
      <c r="M12" s="595"/>
      <c r="N12" s="597"/>
      <c r="O12" s="597"/>
      <c r="P12" s="601"/>
      <c r="Q12" s="598">
        <v>14000</v>
      </c>
      <c r="R12" s="597"/>
      <c r="S12" s="597">
        <v>1083</v>
      </c>
      <c r="T12" s="597"/>
      <c r="U12" s="597"/>
      <c r="V12" s="597"/>
      <c r="W12" s="597"/>
      <c r="X12" s="597"/>
      <c r="Y12" s="599"/>
      <c r="Z12" s="594">
        <f t="shared" si="0"/>
        <v>15083</v>
      </c>
      <c r="AA12" s="535">
        <f t="shared" si="1"/>
        <v>0</v>
      </c>
    </row>
    <row r="13" spans="2:27" ht="12.75">
      <c r="B13" s="296" t="s">
        <v>240</v>
      </c>
      <c r="C13" s="595">
        <v>2954</v>
      </c>
      <c r="D13" s="595">
        <v>798</v>
      </c>
      <c r="E13" s="595">
        <v>144</v>
      </c>
      <c r="F13" s="588">
        <f t="shared" si="3"/>
        <v>3896</v>
      </c>
      <c r="G13" s="588"/>
      <c r="H13" s="588"/>
      <c r="I13" s="588"/>
      <c r="J13" s="588"/>
      <c r="K13" s="588"/>
      <c r="L13" s="594">
        <f t="shared" si="2"/>
        <v>3896</v>
      </c>
      <c r="M13" s="597"/>
      <c r="N13" s="597"/>
      <c r="O13" s="597"/>
      <c r="P13" s="601"/>
      <c r="Q13" s="598">
        <v>2374</v>
      </c>
      <c r="R13" s="597"/>
      <c r="S13" s="597">
        <v>1522</v>
      </c>
      <c r="T13" s="597"/>
      <c r="U13" s="597"/>
      <c r="V13" s="597"/>
      <c r="W13" s="597"/>
      <c r="X13" s="597"/>
      <c r="Y13" s="599"/>
      <c r="Z13" s="594">
        <f t="shared" si="0"/>
        <v>3896</v>
      </c>
      <c r="AA13" s="535">
        <f t="shared" si="1"/>
        <v>0</v>
      </c>
    </row>
    <row r="14" spans="2:27" ht="12.75">
      <c r="B14" s="296" t="s">
        <v>241</v>
      </c>
      <c r="C14" s="595">
        <f>8117+972</f>
        <v>9089</v>
      </c>
      <c r="D14" s="595">
        <f>2192+262</f>
        <v>2454</v>
      </c>
      <c r="E14" s="595">
        <f>2026+800+54+1000+3754+1890</f>
        <v>9524</v>
      </c>
      <c r="F14" s="588">
        <f t="shared" si="3"/>
        <v>21067</v>
      </c>
      <c r="G14" s="588"/>
      <c r="H14" s="588"/>
      <c r="I14" s="588"/>
      <c r="J14" s="588"/>
      <c r="K14" s="588"/>
      <c r="L14" s="594">
        <f t="shared" si="2"/>
        <v>21067</v>
      </c>
      <c r="M14" s="602"/>
      <c r="N14" s="597"/>
      <c r="O14" s="597"/>
      <c r="P14" s="597">
        <f>+'[6]1_mell'!F76+'[6]1_mell'!F77+'[6]1_mell'!F78+'[6]3_mell'!G13+3074</f>
        <v>7284</v>
      </c>
      <c r="Q14" s="598">
        <v>2374</v>
      </c>
      <c r="R14" s="597"/>
      <c r="S14" s="597">
        <f>504+2016+1332</f>
        <v>3852</v>
      </c>
      <c r="T14" s="597"/>
      <c r="U14" s="597">
        <v>9457</v>
      </c>
      <c r="V14" s="597"/>
      <c r="W14" s="597"/>
      <c r="X14" s="597">
        <f>+'[6]3_mell'!E13</f>
        <v>616</v>
      </c>
      <c r="Y14" s="599"/>
      <c r="Z14" s="594">
        <f>SUM(N14:Y14)</f>
        <v>23583</v>
      </c>
      <c r="AA14" s="535">
        <f t="shared" si="1"/>
        <v>2516</v>
      </c>
    </row>
    <row r="15" spans="2:27" ht="12.75">
      <c r="B15" s="296" t="s">
        <v>242</v>
      </c>
      <c r="C15" s="595">
        <v>7497</v>
      </c>
      <c r="D15" s="595">
        <v>2024</v>
      </c>
      <c r="E15" s="595">
        <v>584</v>
      </c>
      <c r="F15" s="588">
        <f>SUM(C15:E15)</f>
        <v>10105</v>
      </c>
      <c r="G15" s="588"/>
      <c r="H15" s="588"/>
      <c r="I15" s="588"/>
      <c r="J15" s="588"/>
      <c r="K15" s="588"/>
      <c r="L15" s="594">
        <f t="shared" si="2"/>
        <v>10105</v>
      </c>
      <c r="M15" s="595">
        <v>100</v>
      </c>
      <c r="N15" s="597"/>
      <c r="O15" s="597"/>
      <c r="P15" s="601"/>
      <c r="Q15" s="598">
        <v>5655</v>
      </c>
      <c r="R15" s="597"/>
      <c r="S15" s="597">
        <v>4350</v>
      </c>
      <c r="T15" s="597"/>
      <c r="U15" s="597"/>
      <c r="V15" s="597"/>
      <c r="W15" s="597"/>
      <c r="X15" s="597"/>
      <c r="Y15" s="599"/>
      <c r="Z15" s="594">
        <f aca="true" t="shared" si="4" ref="Z15:Z21">SUM(M15:Y15)</f>
        <v>10105</v>
      </c>
      <c r="AA15" s="535">
        <f t="shared" si="1"/>
        <v>0</v>
      </c>
    </row>
    <row r="16" spans="2:27" ht="12.75">
      <c r="B16" s="296" t="s">
        <v>243</v>
      </c>
      <c r="C16" s="595">
        <v>8217</v>
      </c>
      <c r="D16" s="595">
        <v>2219</v>
      </c>
      <c r="E16" s="595">
        <v>6496</v>
      </c>
      <c r="F16" s="588">
        <f t="shared" si="3"/>
        <v>16932</v>
      </c>
      <c r="G16" s="588"/>
      <c r="H16" s="588"/>
      <c r="I16" s="588"/>
      <c r="J16" s="588">
        <f>+'[6]7_mell'!D14</f>
        <v>2650</v>
      </c>
      <c r="K16" s="588"/>
      <c r="L16" s="594">
        <f t="shared" si="2"/>
        <v>19582</v>
      </c>
      <c r="M16" s="597"/>
      <c r="N16" s="595">
        <v>9800</v>
      </c>
      <c r="O16" s="595"/>
      <c r="P16" s="601"/>
      <c r="Q16" s="600"/>
      <c r="R16" s="597"/>
      <c r="S16" s="597">
        <v>7132</v>
      </c>
      <c r="T16" s="597"/>
      <c r="U16" s="597"/>
      <c r="V16" s="597"/>
      <c r="W16" s="597">
        <v>2650</v>
      </c>
      <c r="X16" s="597"/>
      <c r="Y16" s="599"/>
      <c r="Z16" s="594">
        <f t="shared" si="4"/>
        <v>19582</v>
      </c>
      <c r="AA16" s="535">
        <f t="shared" si="1"/>
        <v>0</v>
      </c>
    </row>
    <row r="17" spans="2:27" ht="12.75">
      <c r="B17" s="296" t="s">
        <v>244</v>
      </c>
      <c r="C17" s="595">
        <v>7797</v>
      </c>
      <c r="D17" s="595">
        <v>2105</v>
      </c>
      <c r="E17" s="595">
        <v>1113</v>
      </c>
      <c r="F17" s="588">
        <f t="shared" si="3"/>
        <v>11015</v>
      </c>
      <c r="G17" s="588"/>
      <c r="H17" s="588"/>
      <c r="I17" s="588"/>
      <c r="J17" s="588"/>
      <c r="K17" s="588"/>
      <c r="L17" s="594">
        <f t="shared" si="2"/>
        <v>11015</v>
      </c>
      <c r="M17" s="597"/>
      <c r="N17" s="595">
        <v>10900</v>
      </c>
      <c r="O17" s="595"/>
      <c r="P17" s="601"/>
      <c r="Q17" s="600"/>
      <c r="R17" s="597"/>
      <c r="S17" s="597">
        <v>115</v>
      </c>
      <c r="T17" s="597"/>
      <c r="U17" s="597"/>
      <c r="V17" s="597"/>
      <c r="W17" s="597"/>
      <c r="X17" s="597"/>
      <c r="Y17" s="599"/>
      <c r="Z17" s="594">
        <f t="shared" si="4"/>
        <v>11015</v>
      </c>
      <c r="AA17" s="535">
        <f t="shared" si="1"/>
        <v>0</v>
      </c>
    </row>
    <row r="18" spans="2:27" ht="12.75">
      <c r="B18" s="296" t="s">
        <v>245</v>
      </c>
      <c r="C18" s="595"/>
      <c r="D18" s="595"/>
      <c r="E18" s="595">
        <v>489</v>
      </c>
      <c r="F18" s="588">
        <f t="shared" si="3"/>
        <v>489</v>
      </c>
      <c r="G18" s="588"/>
      <c r="H18" s="588"/>
      <c r="I18" s="588"/>
      <c r="J18" s="588"/>
      <c r="K18" s="588"/>
      <c r="L18" s="594">
        <f t="shared" si="2"/>
        <v>489</v>
      </c>
      <c r="M18" s="597"/>
      <c r="N18" s="595">
        <v>489</v>
      </c>
      <c r="O18" s="595"/>
      <c r="P18" s="601"/>
      <c r="Q18" s="600"/>
      <c r="R18" s="597"/>
      <c r="S18" s="597"/>
      <c r="T18" s="597"/>
      <c r="U18" s="597"/>
      <c r="V18" s="597"/>
      <c r="W18" s="597"/>
      <c r="X18" s="597"/>
      <c r="Y18" s="599"/>
      <c r="Z18" s="594">
        <f t="shared" si="4"/>
        <v>489</v>
      </c>
      <c r="AA18" s="535">
        <f t="shared" si="1"/>
        <v>0</v>
      </c>
    </row>
    <row r="19" spans="2:27" ht="12.75">
      <c r="B19" s="296" t="s">
        <v>246</v>
      </c>
      <c r="C19" s="595">
        <v>1742</v>
      </c>
      <c r="D19" s="595">
        <v>470</v>
      </c>
      <c r="E19" s="595">
        <v>863</v>
      </c>
      <c r="F19" s="588">
        <f>SUM(C19:E19)</f>
        <v>3075</v>
      </c>
      <c r="G19" s="588"/>
      <c r="H19" s="588"/>
      <c r="I19" s="588"/>
      <c r="J19" s="588"/>
      <c r="K19" s="588"/>
      <c r="L19" s="594">
        <f t="shared" si="2"/>
        <v>3075</v>
      </c>
      <c r="M19" s="597"/>
      <c r="N19" s="595">
        <v>2040</v>
      </c>
      <c r="O19" s="595"/>
      <c r="P19" s="601"/>
      <c r="Q19" s="600"/>
      <c r="R19" s="597"/>
      <c r="S19" s="597">
        <v>1035</v>
      </c>
      <c r="T19" s="597"/>
      <c r="U19" s="597"/>
      <c r="V19" s="597"/>
      <c r="W19" s="597"/>
      <c r="X19" s="597"/>
      <c r="Y19" s="599"/>
      <c r="Z19" s="594">
        <f t="shared" si="4"/>
        <v>3075</v>
      </c>
      <c r="AA19" s="535">
        <f t="shared" si="1"/>
        <v>0</v>
      </c>
    </row>
    <row r="20" spans="2:27" ht="12.75">
      <c r="B20" s="296" t="s">
        <v>355</v>
      </c>
      <c r="C20" s="595">
        <v>2684</v>
      </c>
      <c r="D20" s="595">
        <v>725</v>
      </c>
      <c r="E20" s="595">
        <v>3512</v>
      </c>
      <c r="F20" s="588">
        <f t="shared" si="3"/>
        <v>6921</v>
      </c>
      <c r="G20" s="588"/>
      <c r="H20" s="588"/>
      <c r="I20" s="588"/>
      <c r="J20" s="588"/>
      <c r="K20" s="588"/>
      <c r="L20" s="594">
        <f t="shared" si="2"/>
        <v>6921</v>
      </c>
      <c r="M20" s="597"/>
      <c r="N20" s="595">
        <v>1620</v>
      </c>
      <c r="O20" s="595"/>
      <c r="P20" s="601"/>
      <c r="Q20" s="600"/>
      <c r="R20" s="597"/>
      <c r="S20" s="597">
        <v>5301</v>
      </c>
      <c r="T20" s="597"/>
      <c r="U20" s="597"/>
      <c r="V20" s="597"/>
      <c r="W20" s="597"/>
      <c r="X20" s="597"/>
      <c r="Y20" s="599"/>
      <c r="Z20" s="594">
        <f t="shared" si="4"/>
        <v>6921</v>
      </c>
      <c r="AA20" s="535">
        <f t="shared" si="1"/>
        <v>0</v>
      </c>
    </row>
    <row r="21" spans="2:27" ht="12.75">
      <c r="B21" s="296" t="s">
        <v>247</v>
      </c>
      <c r="C21" s="595">
        <v>5588</v>
      </c>
      <c r="D21" s="595">
        <v>1509</v>
      </c>
      <c r="E21" s="595">
        <v>1308</v>
      </c>
      <c r="F21" s="588">
        <f t="shared" si="3"/>
        <v>8405</v>
      </c>
      <c r="G21" s="588"/>
      <c r="H21" s="588"/>
      <c r="I21" s="588"/>
      <c r="J21" s="588"/>
      <c r="K21" s="588"/>
      <c r="L21" s="594">
        <f t="shared" si="2"/>
        <v>8405</v>
      </c>
      <c r="M21" s="597"/>
      <c r="N21" s="595">
        <v>7651</v>
      </c>
      <c r="O21" s="595"/>
      <c r="P21" s="601"/>
      <c r="Q21" s="600"/>
      <c r="R21" s="597"/>
      <c r="S21" s="597">
        <v>754</v>
      </c>
      <c r="T21" s="597"/>
      <c r="U21" s="597"/>
      <c r="V21" s="597"/>
      <c r="W21" s="597"/>
      <c r="X21" s="597"/>
      <c r="Y21" s="599"/>
      <c r="Z21" s="594">
        <f t="shared" si="4"/>
        <v>8405</v>
      </c>
      <c r="AA21" s="535">
        <f t="shared" si="1"/>
        <v>0</v>
      </c>
    </row>
    <row r="22" spans="2:27" s="237" customFormat="1" ht="12.75">
      <c r="B22" s="297" t="s">
        <v>272</v>
      </c>
      <c r="C22" s="603">
        <f>SUM(C7:C21)</f>
        <v>72337</v>
      </c>
      <c r="D22" s="603">
        <f>SUM(D7:D21)</f>
        <v>19187</v>
      </c>
      <c r="E22" s="603">
        <f>SUM(E8:E21)</f>
        <v>49470</v>
      </c>
      <c r="F22" s="603">
        <f>SUM(F7:F21)</f>
        <v>140994</v>
      </c>
      <c r="G22" s="603">
        <f>SUM(G8:G21)</f>
        <v>0</v>
      </c>
      <c r="H22" s="603">
        <f>SUM(H8:H21)</f>
        <v>0</v>
      </c>
      <c r="I22" s="603">
        <f>SUM(I8:I21)</f>
        <v>0</v>
      </c>
      <c r="J22" s="603">
        <f>SUM(J8:J21)</f>
        <v>2650</v>
      </c>
      <c r="K22" s="603"/>
      <c r="L22" s="604">
        <f aca="true" t="shared" si="5" ref="L22:Y22">SUM(L7:L21)</f>
        <v>143644</v>
      </c>
      <c r="M22" s="603">
        <f t="shared" si="5"/>
        <v>8903</v>
      </c>
      <c r="N22" s="603">
        <f>SUM(N7:N21)</f>
        <v>32500</v>
      </c>
      <c r="O22" s="603">
        <f t="shared" si="5"/>
        <v>0</v>
      </c>
      <c r="P22" s="603">
        <f t="shared" si="5"/>
        <v>7284</v>
      </c>
      <c r="Q22" s="605">
        <f>SUM(Q7:Q21)</f>
        <v>33606</v>
      </c>
      <c r="R22" s="603">
        <f t="shared" si="5"/>
        <v>0</v>
      </c>
      <c r="S22" s="603">
        <f t="shared" si="5"/>
        <v>47149</v>
      </c>
      <c r="T22" s="603">
        <f t="shared" si="5"/>
        <v>0</v>
      </c>
      <c r="U22" s="603">
        <f t="shared" si="5"/>
        <v>9457</v>
      </c>
      <c r="V22" s="603">
        <f t="shared" si="5"/>
        <v>0</v>
      </c>
      <c r="W22" s="603">
        <f t="shared" si="5"/>
        <v>4129</v>
      </c>
      <c r="X22" s="603">
        <f t="shared" si="5"/>
        <v>616</v>
      </c>
      <c r="Y22" s="603">
        <f t="shared" si="5"/>
        <v>0</v>
      </c>
      <c r="Z22" s="604">
        <f>SUM(Z7:Z21)</f>
        <v>143644</v>
      </c>
      <c r="AA22" s="535">
        <f t="shared" si="1"/>
        <v>0</v>
      </c>
    </row>
    <row r="23" spans="2:26" ht="1.5" customHeight="1">
      <c r="B23" s="296"/>
      <c r="C23" s="595">
        <f>+'[6]4_mell'!D12</f>
        <v>71263</v>
      </c>
      <c r="D23" s="595">
        <f>+'[6]4_mell'!E12</f>
        <v>19077</v>
      </c>
      <c r="E23" s="595">
        <f>+'[6]4_mell'!F12</f>
        <v>47580</v>
      </c>
      <c r="F23" s="595"/>
      <c r="G23" s="595"/>
      <c r="H23" s="595"/>
      <c r="I23" s="595"/>
      <c r="J23" s="595"/>
      <c r="K23" s="595"/>
      <c r="L23" s="606">
        <f>+'[6]4_mell'!M12</f>
        <v>140570</v>
      </c>
      <c r="M23" s="595">
        <f>+'[6]3_mell'!D13</f>
        <v>8903</v>
      </c>
      <c r="N23" s="595">
        <f>+'[6]1_mell'!E52</f>
        <v>32500</v>
      </c>
      <c r="O23" s="595">
        <f>+'[6]3_mell'!H13</f>
        <v>0</v>
      </c>
      <c r="P23" s="595"/>
      <c r="Q23" s="600"/>
      <c r="R23" s="601"/>
      <c r="S23" s="601"/>
      <c r="T23" s="601"/>
      <c r="U23" s="597"/>
      <c r="V23" s="597"/>
      <c r="W23" s="597"/>
      <c r="X23" s="597"/>
      <c r="Y23" s="599"/>
      <c r="Z23" s="607"/>
    </row>
    <row r="24" spans="2:26" ht="12.75" hidden="1">
      <c r="B24" s="296"/>
      <c r="C24" s="595">
        <f>+C23-C22</f>
        <v>-1074</v>
      </c>
      <c r="D24" s="595">
        <f>+D23-D22</f>
        <v>-110</v>
      </c>
      <c r="E24" s="595">
        <f>+E23-E22</f>
        <v>-1890</v>
      </c>
      <c r="F24" s="595"/>
      <c r="G24" s="595"/>
      <c r="H24" s="595"/>
      <c r="I24" s="595"/>
      <c r="J24" s="595"/>
      <c r="K24" s="595"/>
      <c r="L24" s="606">
        <f>+L23-L22</f>
        <v>-3074</v>
      </c>
      <c r="M24" s="595"/>
      <c r="N24" s="595">
        <f>+N22+P22</f>
        <v>39784</v>
      </c>
      <c r="O24" s="595">
        <f>+'[6]3_mell'!F13+'[6]3_mell'!G13</f>
        <v>36710</v>
      </c>
      <c r="P24" s="595"/>
      <c r="Q24" s="600"/>
      <c r="R24" s="601"/>
      <c r="S24" s="601"/>
      <c r="T24" s="601"/>
      <c r="U24" s="597"/>
      <c r="V24" s="597"/>
      <c r="W24" s="597"/>
      <c r="X24" s="597"/>
      <c r="Y24" s="599"/>
      <c r="Z24" s="607"/>
    </row>
    <row r="25" spans="2:26" ht="38.25" customHeight="1">
      <c r="B25" s="298" t="str">
        <f>+'[6]4_mell'!B16</f>
        <v>Városi Művelődési Központ és Könyvtár</v>
      </c>
      <c r="C25" s="587"/>
      <c r="D25" s="587"/>
      <c r="E25" s="587"/>
      <c r="F25" s="587"/>
      <c r="G25" s="589"/>
      <c r="H25" s="589"/>
      <c r="I25" s="589"/>
      <c r="J25" s="589"/>
      <c r="K25" s="589"/>
      <c r="L25" s="608"/>
      <c r="M25" s="587"/>
      <c r="N25" s="587"/>
      <c r="O25" s="587"/>
      <c r="P25" s="589"/>
      <c r="Q25" s="609"/>
      <c r="R25" s="592"/>
      <c r="S25" s="592"/>
      <c r="T25" s="592"/>
      <c r="U25" s="592"/>
      <c r="V25" s="592"/>
      <c r="W25" s="592"/>
      <c r="X25" s="592"/>
      <c r="Y25" s="593"/>
      <c r="Z25" s="610"/>
    </row>
    <row r="26" spans="2:30" ht="12.75">
      <c r="B26" s="307" t="s">
        <v>374</v>
      </c>
      <c r="C26" s="587"/>
      <c r="D26" s="587"/>
      <c r="E26" s="586">
        <f>280+6+282-6</f>
        <v>562</v>
      </c>
      <c r="F26" s="611">
        <f aca="true" t="shared" si="6" ref="F26:F31">SUM(C26:E26)</f>
        <v>562</v>
      </c>
      <c r="G26" s="589">
        <f>454+562</f>
        <v>1016</v>
      </c>
      <c r="H26" s="589"/>
      <c r="I26" s="589"/>
      <c r="J26" s="589"/>
      <c r="K26" s="589"/>
      <c r="L26" s="606">
        <f aca="true" t="shared" si="7" ref="L26:L31">SUM(F26:J26)</f>
        <v>1578</v>
      </c>
      <c r="M26" s="587"/>
      <c r="N26" s="587"/>
      <c r="O26" s="587"/>
      <c r="P26" s="612">
        <f>460+280+282+1530</f>
        <v>2552</v>
      </c>
      <c r="Q26" s="609"/>
      <c r="R26" s="592"/>
      <c r="S26" s="592"/>
      <c r="T26" s="592"/>
      <c r="U26" s="592"/>
      <c r="V26" s="592"/>
      <c r="W26" s="592"/>
      <c r="X26" s="592"/>
      <c r="Y26" s="593"/>
      <c r="Z26" s="594">
        <f aca="true" t="shared" si="8" ref="Z26:Z31">SUM(M26:Y26)</f>
        <v>2552</v>
      </c>
      <c r="AA26" s="204">
        <f aca="true" t="shared" si="9" ref="AA26:AA32">+L26-Z26</f>
        <v>-974</v>
      </c>
      <c r="AD26" s="204">
        <f>SUM(Q32:S32)</f>
        <v>21584</v>
      </c>
    </row>
    <row r="27" spans="2:27" ht="12.75">
      <c r="B27" s="299" t="s">
        <v>284</v>
      </c>
      <c r="C27" s="597">
        <f>4033+46+594+31+51</f>
        <v>4755</v>
      </c>
      <c r="D27" s="597">
        <f>1089+13+124+8+14</f>
        <v>1248</v>
      </c>
      <c r="E27" s="597">
        <f>1990+281+1772</f>
        <v>4043</v>
      </c>
      <c r="F27" s="611">
        <f t="shared" si="6"/>
        <v>10046</v>
      </c>
      <c r="G27" s="595"/>
      <c r="H27" s="595"/>
      <c r="I27" s="595"/>
      <c r="J27" s="595"/>
      <c r="K27" s="595"/>
      <c r="L27" s="606">
        <f t="shared" si="7"/>
        <v>10046</v>
      </c>
      <c r="M27" s="595">
        <f>1500+1435</f>
        <v>2935</v>
      </c>
      <c r="N27" s="595"/>
      <c r="O27" s="595"/>
      <c r="P27" s="595">
        <v>305</v>
      </c>
      <c r="Q27" s="598">
        <f>6853+340+31+8+51+14</f>
        <v>7297</v>
      </c>
      <c r="R27" s="601"/>
      <c r="S27" s="601">
        <v>276</v>
      </c>
      <c r="T27" s="601"/>
      <c r="U27" s="597"/>
      <c r="V27" s="597"/>
      <c r="W27" s="597"/>
      <c r="X27" s="597">
        <v>268</v>
      </c>
      <c r="Y27" s="599">
        <v>400</v>
      </c>
      <c r="Z27" s="594">
        <f t="shared" si="8"/>
        <v>11481</v>
      </c>
      <c r="AA27" s="204">
        <f t="shared" si="9"/>
        <v>-1435</v>
      </c>
    </row>
    <row r="28" spans="2:27" ht="12.75">
      <c r="B28" s="299" t="s">
        <v>285</v>
      </c>
      <c r="C28" s="597"/>
      <c r="D28" s="597"/>
      <c r="E28" s="597">
        <f>786+800-800</f>
        <v>786</v>
      </c>
      <c r="F28" s="611">
        <f t="shared" si="6"/>
        <v>786</v>
      </c>
      <c r="G28" s="595"/>
      <c r="H28" s="595"/>
      <c r="I28" s="595"/>
      <c r="J28" s="595">
        <f>+'[6]7_mell'!D15+800</f>
        <v>1900</v>
      </c>
      <c r="K28" s="595"/>
      <c r="L28" s="606">
        <f t="shared" si="7"/>
        <v>2686</v>
      </c>
      <c r="M28" s="595"/>
      <c r="N28" s="595"/>
      <c r="O28" s="595">
        <v>1100</v>
      </c>
      <c r="P28" s="595">
        <v>400</v>
      </c>
      <c r="Q28" s="600">
        <v>800</v>
      </c>
      <c r="R28" s="601"/>
      <c r="S28" s="601">
        <v>786</v>
      </c>
      <c r="T28" s="601"/>
      <c r="U28" s="597"/>
      <c r="V28" s="597"/>
      <c r="W28" s="597"/>
      <c r="X28" s="597"/>
      <c r="Y28" s="599">
        <v>-400</v>
      </c>
      <c r="Z28" s="594">
        <f t="shared" si="8"/>
        <v>2686</v>
      </c>
      <c r="AA28" s="204">
        <f t="shared" si="9"/>
        <v>0</v>
      </c>
    </row>
    <row r="29" spans="2:27" ht="12.75">
      <c r="B29" s="299" t="s">
        <v>286</v>
      </c>
      <c r="C29" s="597">
        <v>5376</v>
      </c>
      <c r="D29" s="597">
        <v>1450</v>
      </c>
      <c r="E29" s="597">
        <f>1148+700+338+6+1530</f>
        <v>3722</v>
      </c>
      <c r="F29" s="611">
        <f t="shared" si="6"/>
        <v>10548</v>
      </c>
      <c r="G29" s="595"/>
      <c r="H29" s="595"/>
      <c r="I29" s="595"/>
      <c r="J29" s="595">
        <f>+'[6]7_mell'!D13+1162</f>
        <v>2162</v>
      </c>
      <c r="K29" s="595"/>
      <c r="L29" s="606">
        <f t="shared" si="7"/>
        <v>12710</v>
      </c>
      <c r="M29" s="595"/>
      <c r="N29" s="595"/>
      <c r="O29" s="595">
        <v>1162</v>
      </c>
      <c r="P29" s="595">
        <v>1000</v>
      </c>
      <c r="Q29" s="598">
        <v>338</v>
      </c>
      <c r="R29" s="601"/>
      <c r="S29" s="601">
        <f>8674-1435+562</f>
        <v>7801</v>
      </c>
      <c r="T29" s="601"/>
      <c r="U29" s="597"/>
      <c r="V29" s="597"/>
      <c r="W29" s="597"/>
      <c r="X29" s="597"/>
      <c r="Y29" s="599"/>
      <c r="Z29" s="594">
        <f t="shared" si="8"/>
        <v>10301</v>
      </c>
      <c r="AA29" s="204">
        <f t="shared" si="9"/>
        <v>2409</v>
      </c>
    </row>
    <row r="30" spans="2:27" ht="12.75">
      <c r="B30" s="299" t="s">
        <v>287</v>
      </c>
      <c r="C30" s="597">
        <v>31</v>
      </c>
      <c r="D30" s="597">
        <v>9</v>
      </c>
      <c r="E30" s="597">
        <v>1710</v>
      </c>
      <c r="F30" s="611">
        <f t="shared" si="6"/>
        <v>1750</v>
      </c>
      <c r="G30" s="595"/>
      <c r="H30" s="595"/>
      <c r="I30" s="595"/>
      <c r="J30" s="595"/>
      <c r="K30" s="595"/>
      <c r="L30" s="606">
        <f t="shared" si="7"/>
        <v>1750</v>
      </c>
      <c r="M30" s="595"/>
      <c r="N30" s="595"/>
      <c r="O30" s="595"/>
      <c r="P30" s="595"/>
      <c r="Q30" s="600">
        <f>31+9</f>
        <v>40</v>
      </c>
      <c r="R30" s="601"/>
      <c r="S30" s="601">
        <v>1710</v>
      </c>
      <c r="T30" s="601"/>
      <c r="U30" s="597"/>
      <c r="V30" s="597"/>
      <c r="W30" s="597"/>
      <c r="X30" s="597"/>
      <c r="Y30" s="599"/>
      <c r="Z30" s="594">
        <f t="shared" si="8"/>
        <v>1750</v>
      </c>
      <c r="AA30" s="204">
        <f t="shared" si="9"/>
        <v>0</v>
      </c>
    </row>
    <row r="31" spans="2:27" ht="13.5" thickBot="1">
      <c r="B31" s="299" t="s">
        <v>288</v>
      </c>
      <c r="C31" s="597"/>
      <c r="D31" s="597"/>
      <c r="E31" s="597">
        <v>3236</v>
      </c>
      <c r="F31" s="611">
        <f t="shared" si="6"/>
        <v>3236</v>
      </c>
      <c r="G31" s="595"/>
      <c r="H31" s="595"/>
      <c r="I31" s="595"/>
      <c r="J31" s="595"/>
      <c r="K31" s="595"/>
      <c r="L31" s="606">
        <f t="shared" si="7"/>
        <v>3236</v>
      </c>
      <c r="M31" s="595">
        <v>700</v>
      </c>
      <c r="N31" s="595"/>
      <c r="O31" s="595"/>
      <c r="P31" s="595"/>
      <c r="Q31" s="600"/>
      <c r="R31" s="601"/>
      <c r="S31" s="601">
        <v>2536</v>
      </c>
      <c r="T31" s="601"/>
      <c r="U31" s="597"/>
      <c r="V31" s="597"/>
      <c r="W31" s="597"/>
      <c r="X31" s="597"/>
      <c r="Y31" s="599"/>
      <c r="Z31" s="594">
        <f t="shared" si="8"/>
        <v>3236</v>
      </c>
      <c r="AA31" s="204">
        <f t="shared" si="9"/>
        <v>0</v>
      </c>
    </row>
    <row r="32" spans="2:28" s="238" customFormat="1" ht="13.5" thickBot="1">
      <c r="B32" s="304" t="s">
        <v>272</v>
      </c>
      <c r="C32" s="613">
        <f aca="true" t="shared" si="10" ref="C32:I32">SUM(C26:C31)</f>
        <v>10162</v>
      </c>
      <c r="D32" s="613">
        <f t="shared" si="10"/>
        <v>2707</v>
      </c>
      <c r="E32" s="613">
        <f>SUM(E26:E31)</f>
        <v>14059</v>
      </c>
      <c r="F32" s="613">
        <f t="shared" si="10"/>
        <v>26928</v>
      </c>
      <c r="G32" s="613">
        <f t="shared" si="10"/>
        <v>1016</v>
      </c>
      <c r="H32" s="613">
        <f t="shared" si="10"/>
        <v>0</v>
      </c>
      <c r="I32" s="613">
        <f t="shared" si="10"/>
        <v>0</v>
      </c>
      <c r="J32" s="613">
        <f aca="true" t="shared" si="11" ref="J32:R32">SUM(J26:J31)</f>
        <v>4062</v>
      </c>
      <c r="K32" s="613"/>
      <c r="L32" s="671">
        <f t="shared" si="11"/>
        <v>32006</v>
      </c>
      <c r="M32" s="614">
        <f t="shared" si="11"/>
        <v>3635</v>
      </c>
      <c r="N32" s="614">
        <f t="shared" si="11"/>
        <v>0</v>
      </c>
      <c r="O32" s="614">
        <f t="shared" si="11"/>
        <v>2262</v>
      </c>
      <c r="P32" s="614">
        <f>SUM(P26:P31)</f>
        <v>4257</v>
      </c>
      <c r="Q32" s="615">
        <f t="shared" si="11"/>
        <v>8475</v>
      </c>
      <c r="R32" s="614">
        <f t="shared" si="11"/>
        <v>0</v>
      </c>
      <c r="S32" s="614">
        <f aca="true" t="shared" si="12" ref="S32:Y32">SUM(S26:S31)</f>
        <v>13109</v>
      </c>
      <c r="T32" s="614">
        <f t="shared" si="12"/>
        <v>0</v>
      </c>
      <c r="U32" s="614">
        <f t="shared" si="12"/>
        <v>0</v>
      </c>
      <c r="V32" s="614">
        <f t="shared" si="12"/>
        <v>0</v>
      </c>
      <c r="W32" s="614">
        <f t="shared" si="12"/>
        <v>0</v>
      </c>
      <c r="X32" s="614">
        <f t="shared" si="12"/>
        <v>268</v>
      </c>
      <c r="Y32" s="614">
        <f t="shared" si="12"/>
        <v>0</v>
      </c>
      <c r="Z32" s="671">
        <f>SUM(Z26:Z31)</f>
        <v>32006</v>
      </c>
      <c r="AA32" s="204">
        <f t="shared" si="9"/>
        <v>0</v>
      </c>
      <c r="AB32" s="616">
        <f>SUM(M32:X32)</f>
        <v>32006</v>
      </c>
    </row>
    <row r="33" spans="3:27" ht="0.75" customHeight="1" thickBot="1">
      <c r="C33" s="602">
        <f>+'[6]4_mell'!D17</f>
        <v>10162</v>
      </c>
      <c r="D33" s="602">
        <f>+'[6]4_mell'!E17</f>
        <v>2707</v>
      </c>
      <c r="E33" s="602">
        <f>+'[6]4_mell'!F17</f>
        <v>12529</v>
      </c>
      <c r="F33" s="617">
        <f>+'[6]4_mell'!G17</f>
        <v>25398</v>
      </c>
      <c r="G33" s="617">
        <f>+'[6]4_mell'!H17</f>
        <v>454</v>
      </c>
      <c r="H33" s="617"/>
      <c r="I33" s="617"/>
      <c r="J33" s="617">
        <f>+'[6]4_mell'!L17</f>
        <v>2900</v>
      </c>
      <c r="K33" s="617"/>
      <c r="L33" s="617">
        <f>+'[6]4_mell'!M17</f>
        <v>28752</v>
      </c>
      <c r="M33" s="617">
        <f>+'[6]3_mell'!D18</f>
        <v>2200</v>
      </c>
      <c r="N33" s="617"/>
      <c r="O33" s="617">
        <f>+'[6]3_mell'!H18</f>
        <v>1100</v>
      </c>
      <c r="P33" s="617">
        <f>+'[6]3_mell'!F18+'[6]3_mell'!G18</f>
        <v>2727</v>
      </c>
      <c r="Q33" s="602"/>
      <c r="R33" s="618"/>
      <c r="S33" s="618"/>
      <c r="T33" s="618"/>
      <c r="U33" s="602"/>
      <c r="V33" s="602"/>
      <c r="W33" s="602"/>
      <c r="X33" s="602">
        <f>+'[6]3_mell'!E18</f>
        <v>268</v>
      </c>
      <c r="Y33" s="602"/>
      <c r="Z33" s="594">
        <f>+'[6]3_mell'!L18</f>
        <v>28752</v>
      </c>
      <c r="AA33" s="204"/>
    </row>
    <row r="34" spans="3:26" ht="13.5" hidden="1" thickBot="1">
      <c r="C34" s="602">
        <f>+C33-C32</f>
        <v>0</v>
      </c>
      <c r="D34" s="602">
        <f aca="true" t="shared" si="13" ref="D34:Z34">+D33-D32</f>
        <v>0</v>
      </c>
      <c r="E34" s="602">
        <f t="shared" si="13"/>
        <v>-1530</v>
      </c>
      <c r="F34" s="602">
        <f t="shared" si="13"/>
        <v>-1530</v>
      </c>
      <c r="G34" s="602">
        <f t="shared" si="13"/>
        <v>-562</v>
      </c>
      <c r="H34" s="602">
        <f t="shared" si="13"/>
        <v>0</v>
      </c>
      <c r="I34" s="602">
        <f t="shared" si="13"/>
        <v>0</v>
      </c>
      <c r="J34" s="602">
        <f t="shared" si="13"/>
        <v>-1162</v>
      </c>
      <c r="K34" s="602"/>
      <c r="L34" s="602">
        <f t="shared" si="13"/>
        <v>-3254</v>
      </c>
      <c r="M34" s="602">
        <f t="shared" si="13"/>
        <v>-1435</v>
      </c>
      <c r="N34" s="602">
        <f t="shared" si="13"/>
        <v>0</v>
      </c>
      <c r="O34" s="602">
        <f t="shared" si="13"/>
        <v>-1162</v>
      </c>
      <c r="P34" s="602">
        <f t="shared" si="13"/>
        <v>-1530</v>
      </c>
      <c r="Q34" s="602">
        <f t="shared" si="13"/>
        <v>-8475</v>
      </c>
      <c r="R34" s="602">
        <f t="shared" si="13"/>
        <v>0</v>
      </c>
      <c r="S34" s="602">
        <f t="shared" si="13"/>
        <v>-13109</v>
      </c>
      <c r="T34" s="602">
        <f t="shared" si="13"/>
        <v>0</v>
      </c>
      <c r="U34" s="602">
        <f t="shared" si="13"/>
        <v>0</v>
      </c>
      <c r="V34" s="602">
        <f t="shared" si="13"/>
        <v>0</v>
      </c>
      <c r="W34" s="602">
        <f t="shared" si="13"/>
        <v>0</v>
      </c>
      <c r="X34" s="602">
        <f t="shared" si="13"/>
        <v>0</v>
      </c>
      <c r="Y34" s="602">
        <f t="shared" si="13"/>
        <v>0</v>
      </c>
      <c r="Z34" s="602">
        <f t="shared" si="13"/>
        <v>-3254</v>
      </c>
    </row>
    <row r="35" spans="2:26" ht="13.5" thickBot="1">
      <c r="B35" s="242" t="s">
        <v>296</v>
      </c>
      <c r="C35" s="699" t="s">
        <v>174</v>
      </c>
      <c r="D35" s="676"/>
      <c r="E35" s="676"/>
      <c r="F35" s="676"/>
      <c r="G35" s="676"/>
      <c r="H35" s="676"/>
      <c r="I35" s="676"/>
      <c r="J35" s="676"/>
      <c r="K35" s="676"/>
      <c r="L35" s="698"/>
      <c r="M35" s="699" t="s">
        <v>297</v>
      </c>
      <c r="N35" s="676"/>
      <c r="O35" s="676"/>
      <c r="P35" s="676"/>
      <c r="Q35" s="676"/>
      <c r="R35" s="676"/>
      <c r="S35" s="676"/>
      <c r="T35" s="676"/>
      <c r="U35" s="676"/>
      <c r="V35" s="676"/>
      <c r="W35" s="676"/>
      <c r="X35" s="676"/>
      <c r="Y35" s="676"/>
      <c r="Z35" s="698"/>
    </row>
    <row r="36" spans="2:26" ht="13.5" thickBot="1">
      <c r="B36" s="294"/>
      <c r="C36" s="572"/>
      <c r="D36" s="572"/>
      <c r="E36" s="572"/>
      <c r="F36" s="572"/>
      <c r="G36" s="572"/>
      <c r="H36" s="572"/>
      <c r="I36" s="572"/>
      <c r="J36" s="572"/>
      <c r="K36" s="572"/>
      <c r="L36" s="573"/>
      <c r="M36" s="619"/>
      <c r="N36" s="572"/>
      <c r="O36" s="572"/>
      <c r="P36" s="620"/>
      <c r="Q36" s="700" t="s">
        <v>281</v>
      </c>
      <c r="R36" s="701"/>
      <c r="S36" s="701"/>
      <c r="T36" s="701"/>
      <c r="U36" s="701"/>
      <c r="V36" s="701"/>
      <c r="W36" s="701"/>
      <c r="X36" s="701"/>
      <c r="Y36" s="702"/>
      <c r="Z36" s="621"/>
    </row>
    <row r="37" spans="2:26" s="237" customFormat="1" ht="51.75" thickBot="1">
      <c r="B37" s="300" t="s">
        <v>273</v>
      </c>
      <c r="C37" s="580" t="s">
        <v>56</v>
      </c>
      <c r="D37" s="580" t="s">
        <v>234</v>
      </c>
      <c r="E37" s="580" t="s">
        <v>235</v>
      </c>
      <c r="F37" s="580" t="s">
        <v>61</v>
      </c>
      <c r="G37" s="581" t="s">
        <v>277</v>
      </c>
      <c r="H37" s="581" t="s">
        <v>641</v>
      </c>
      <c r="I37" s="581" t="s">
        <v>62</v>
      </c>
      <c r="J37" s="581" t="s">
        <v>9</v>
      </c>
      <c r="K37" s="581"/>
      <c r="L37" s="622" t="s">
        <v>279</v>
      </c>
      <c r="M37" s="623" t="s">
        <v>250</v>
      </c>
      <c r="N37" s="580" t="s">
        <v>249</v>
      </c>
      <c r="O37" s="581" t="s">
        <v>477</v>
      </c>
      <c r="P37" s="581" t="s">
        <v>248</v>
      </c>
      <c r="Q37" s="623" t="s">
        <v>265</v>
      </c>
      <c r="R37" s="624" t="s">
        <v>289</v>
      </c>
      <c r="S37" s="625" t="s">
        <v>290</v>
      </c>
      <c r="T37" s="624" t="s">
        <v>291</v>
      </c>
      <c r="U37" s="625" t="s">
        <v>293</v>
      </c>
      <c r="V37" s="624" t="s">
        <v>294</v>
      </c>
      <c r="W37" s="582" t="s">
        <v>489</v>
      </c>
      <c r="X37" s="624" t="s">
        <v>8</v>
      </c>
      <c r="Y37" s="626" t="s">
        <v>292</v>
      </c>
      <c r="Z37" s="627" t="s">
        <v>295</v>
      </c>
    </row>
    <row r="38" spans="2:27" s="237" customFormat="1" ht="12" customHeight="1">
      <c r="B38" s="303" t="s">
        <v>481</v>
      </c>
      <c r="C38" s="587">
        <f>1466+247+400+600</f>
        <v>2713</v>
      </c>
      <c r="D38" s="587">
        <f>396+66+108+53</f>
        <v>623</v>
      </c>
      <c r="E38" s="587">
        <v>36179</v>
      </c>
      <c r="F38" s="628">
        <f>SUM(C38:E38)</f>
        <v>39515</v>
      </c>
      <c r="G38" s="589"/>
      <c r="H38" s="589"/>
      <c r="I38" s="589"/>
      <c r="J38" s="589"/>
      <c r="K38" s="589"/>
      <c r="L38" s="629">
        <f>SUM(F38:J38)</f>
        <v>39515</v>
      </c>
      <c r="M38" s="609"/>
      <c r="N38" s="587"/>
      <c r="O38" s="587"/>
      <c r="P38" s="670">
        <f>+'[6]3_mell'!G8+653</f>
        <v>28143</v>
      </c>
      <c r="Q38" s="591">
        <f>291+247+66+400+108</f>
        <v>1112</v>
      </c>
      <c r="R38" s="592"/>
      <c r="S38" s="592"/>
      <c r="T38" s="592"/>
      <c r="U38" s="592"/>
      <c r="V38" s="592"/>
      <c r="W38" s="592"/>
      <c r="X38" s="592">
        <f>+'[6]3_mell'!E8</f>
        <v>1355</v>
      </c>
      <c r="Y38" s="593">
        <v>8905</v>
      </c>
      <c r="Z38" s="630">
        <f>SUM(M38:Y38)</f>
        <v>39515</v>
      </c>
      <c r="AA38" s="535">
        <f>+L38-Z38</f>
        <v>0</v>
      </c>
    </row>
    <row r="39" spans="2:27" ht="25.5">
      <c r="B39" s="426" t="s">
        <v>253</v>
      </c>
      <c r="C39" s="631"/>
      <c r="D39" s="631"/>
      <c r="E39" s="631">
        <v>898</v>
      </c>
      <c r="F39" s="628">
        <f>SUM(C39:E39)</f>
        <v>898</v>
      </c>
      <c r="G39" s="628"/>
      <c r="H39" s="628"/>
      <c r="I39" s="628"/>
      <c r="J39" s="628"/>
      <c r="K39" s="628"/>
      <c r="L39" s="632">
        <f>SUM(F39:J39)</f>
        <v>898</v>
      </c>
      <c r="M39" s="600"/>
      <c r="N39" s="597"/>
      <c r="O39" s="597"/>
      <c r="P39" s="597"/>
      <c r="Q39" s="600"/>
      <c r="R39" s="597"/>
      <c r="S39" s="597">
        <v>898</v>
      </c>
      <c r="T39" s="597"/>
      <c r="U39" s="597"/>
      <c r="V39" s="597"/>
      <c r="W39" s="597"/>
      <c r="X39" s="597"/>
      <c r="Y39" s="599">
        <v>0</v>
      </c>
      <c r="Z39" s="630">
        <f>SUM(M39:Y39)</f>
        <v>898</v>
      </c>
      <c r="AA39" s="535">
        <f aca="true" t="shared" si="14" ref="AA39:AA50">+L39-Z39</f>
        <v>0</v>
      </c>
    </row>
    <row r="40" spans="2:27" ht="51">
      <c r="B40" s="427" t="s">
        <v>254</v>
      </c>
      <c r="C40" s="631"/>
      <c r="D40" s="631"/>
      <c r="E40" s="631">
        <f>28+900</f>
        <v>928</v>
      </c>
      <c r="F40" s="628">
        <f aca="true" t="shared" si="15" ref="F40:F50">SUM(C40:E40)</f>
        <v>928</v>
      </c>
      <c r="G40" s="628"/>
      <c r="H40" s="628"/>
      <c r="I40" s="628"/>
      <c r="J40" s="628"/>
      <c r="K40" s="628"/>
      <c r="L40" s="632">
        <f aca="true" t="shared" si="16" ref="L40:L50">SUM(F40:J40)</f>
        <v>928</v>
      </c>
      <c r="M40" s="600"/>
      <c r="N40" s="597"/>
      <c r="O40" s="597"/>
      <c r="P40" s="597"/>
      <c r="Q40" s="600">
        <v>13</v>
      </c>
      <c r="R40" s="597">
        <v>900</v>
      </c>
      <c r="S40" s="597">
        <v>15</v>
      </c>
      <c r="T40" s="597"/>
      <c r="U40" s="597"/>
      <c r="V40" s="597"/>
      <c r="W40" s="597"/>
      <c r="X40" s="597"/>
      <c r="Y40" s="599">
        <v>0</v>
      </c>
      <c r="Z40" s="630">
        <f aca="true" t="shared" si="17" ref="Z40:Z50">SUM(M40:Y40)</f>
        <v>928</v>
      </c>
      <c r="AA40" s="535">
        <f t="shared" si="14"/>
        <v>0</v>
      </c>
    </row>
    <row r="41" spans="2:27" ht="51">
      <c r="B41" s="428" t="s">
        <v>255</v>
      </c>
      <c r="C41" s="631"/>
      <c r="D41" s="631"/>
      <c r="E41" s="631">
        <v>802</v>
      </c>
      <c r="F41" s="628">
        <f t="shared" si="15"/>
        <v>802</v>
      </c>
      <c r="G41" s="628"/>
      <c r="H41" s="628"/>
      <c r="I41" s="628"/>
      <c r="J41" s="628"/>
      <c r="K41" s="628"/>
      <c r="L41" s="632">
        <f t="shared" si="16"/>
        <v>802</v>
      </c>
      <c r="M41" s="600"/>
      <c r="N41" s="597"/>
      <c r="O41" s="597"/>
      <c r="P41" s="597"/>
      <c r="Q41" s="598">
        <v>15804</v>
      </c>
      <c r="R41" s="597"/>
      <c r="S41" s="597"/>
      <c r="T41" s="597"/>
      <c r="U41" s="597"/>
      <c r="V41" s="597"/>
      <c r="W41" s="597"/>
      <c r="X41" s="597"/>
      <c r="Y41" s="599">
        <v>-15002</v>
      </c>
      <c r="Z41" s="630">
        <f t="shared" si="17"/>
        <v>802</v>
      </c>
      <c r="AA41" s="535">
        <f t="shared" si="14"/>
        <v>0</v>
      </c>
    </row>
    <row r="42" spans="2:27" ht="19.5" customHeight="1">
      <c r="B42" s="305" t="s">
        <v>256</v>
      </c>
      <c r="C42" s="631">
        <v>16044</v>
      </c>
      <c r="D42" s="631">
        <v>4332</v>
      </c>
      <c r="E42" s="631">
        <f>64350+110+7175-1333</f>
        <v>70302</v>
      </c>
      <c r="F42" s="628">
        <f t="shared" si="15"/>
        <v>90678</v>
      </c>
      <c r="G42" s="628"/>
      <c r="H42" s="628"/>
      <c r="I42" s="628"/>
      <c r="J42" s="628">
        <f>519+1333</f>
        <v>1852</v>
      </c>
      <c r="K42" s="628"/>
      <c r="L42" s="632">
        <f t="shared" si="16"/>
        <v>92530</v>
      </c>
      <c r="M42" s="633">
        <f>68271+7175</f>
        <v>75446</v>
      </c>
      <c r="N42" s="597"/>
      <c r="O42" s="597"/>
      <c r="P42" s="597"/>
      <c r="Q42" s="600"/>
      <c r="R42" s="597"/>
      <c r="S42" s="597">
        <f>16455-15002</f>
        <v>1453</v>
      </c>
      <c r="T42" s="597"/>
      <c r="U42" s="597"/>
      <c r="V42" s="597"/>
      <c r="W42" s="597"/>
      <c r="X42" s="597"/>
      <c r="Y42" s="599">
        <f>15002+629</f>
        <v>15631</v>
      </c>
      <c r="Z42" s="630">
        <f t="shared" si="17"/>
        <v>92530</v>
      </c>
      <c r="AA42" s="535">
        <f t="shared" si="14"/>
        <v>0</v>
      </c>
    </row>
    <row r="43" spans="2:27" ht="38.25">
      <c r="B43" s="427" t="s">
        <v>257</v>
      </c>
      <c r="C43" s="631"/>
      <c r="D43" s="631"/>
      <c r="E43" s="631">
        <v>2807</v>
      </c>
      <c r="F43" s="628">
        <f t="shared" si="15"/>
        <v>2807</v>
      </c>
      <c r="G43" s="628"/>
      <c r="H43" s="628"/>
      <c r="I43" s="628"/>
      <c r="J43" s="628"/>
      <c r="K43" s="628"/>
      <c r="L43" s="632">
        <f t="shared" si="16"/>
        <v>2807</v>
      </c>
      <c r="M43" s="600">
        <v>4210</v>
      </c>
      <c r="N43" s="597"/>
      <c r="O43" s="597"/>
      <c r="P43" s="597"/>
      <c r="Q43" s="600"/>
      <c r="R43" s="597"/>
      <c r="S43" s="597"/>
      <c r="T43" s="597"/>
      <c r="U43" s="597"/>
      <c r="V43" s="597"/>
      <c r="W43" s="597"/>
      <c r="X43" s="597"/>
      <c r="Y43" s="599">
        <v>-1403</v>
      </c>
      <c r="Z43" s="630">
        <f t="shared" si="17"/>
        <v>2807</v>
      </c>
      <c r="AA43" s="535">
        <f t="shared" si="14"/>
        <v>0</v>
      </c>
    </row>
    <row r="44" spans="2:27" ht="38.25">
      <c r="B44" s="428" t="s">
        <v>258</v>
      </c>
      <c r="C44" s="631"/>
      <c r="D44" s="631"/>
      <c r="E44" s="631">
        <v>2713</v>
      </c>
      <c r="F44" s="628">
        <f t="shared" si="15"/>
        <v>2713</v>
      </c>
      <c r="G44" s="628"/>
      <c r="H44" s="628"/>
      <c r="I44" s="628"/>
      <c r="J44" s="628"/>
      <c r="K44" s="628"/>
      <c r="L44" s="632">
        <f t="shared" si="16"/>
        <v>2713</v>
      </c>
      <c r="M44" s="600">
        <v>10747</v>
      </c>
      <c r="N44" s="597"/>
      <c r="O44" s="597"/>
      <c r="P44" s="597"/>
      <c r="Q44" s="600"/>
      <c r="R44" s="597"/>
      <c r="S44" s="597"/>
      <c r="T44" s="597"/>
      <c r="U44" s="597"/>
      <c r="V44" s="597"/>
      <c r="W44" s="597"/>
      <c r="X44" s="597"/>
      <c r="Y44" s="599">
        <v>-8034</v>
      </c>
      <c r="Z44" s="630">
        <f t="shared" si="17"/>
        <v>2713</v>
      </c>
      <c r="AA44" s="535">
        <f t="shared" si="14"/>
        <v>0</v>
      </c>
    </row>
    <row r="45" spans="2:27" ht="25.5">
      <c r="B45" s="428" t="s">
        <v>259</v>
      </c>
      <c r="C45" s="631"/>
      <c r="D45" s="631"/>
      <c r="E45" s="631">
        <v>3048</v>
      </c>
      <c r="F45" s="628">
        <f t="shared" si="15"/>
        <v>3048</v>
      </c>
      <c r="G45" s="628"/>
      <c r="H45" s="628"/>
      <c r="I45" s="628"/>
      <c r="J45" s="628"/>
      <c r="K45" s="628"/>
      <c r="L45" s="632">
        <f t="shared" si="16"/>
        <v>3048</v>
      </c>
      <c r="M45" s="600"/>
      <c r="N45" s="597"/>
      <c r="O45" s="597"/>
      <c r="P45" s="597"/>
      <c r="Q45" s="600"/>
      <c r="R45" s="597"/>
      <c r="S45" s="597">
        <f>3048-1403</f>
        <v>1645</v>
      </c>
      <c r="T45" s="597"/>
      <c r="U45" s="597"/>
      <c r="V45" s="597"/>
      <c r="W45" s="597"/>
      <c r="X45" s="597"/>
      <c r="Y45" s="599">
        <v>1403</v>
      </c>
      <c r="Z45" s="630">
        <f t="shared" si="17"/>
        <v>3048</v>
      </c>
      <c r="AA45" s="535">
        <f t="shared" si="14"/>
        <v>0</v>
      </c>
    </row>
    <row r="46" spans="2:27" ht="38.25">
      <c r="B46" s="428" t="s">
        <v>260</v>
      </c>
      <c r="C46" s="631">
        <v>22976</v>
      </c>
      <c r="D46" s="631">
        <v>6219</v>
      </c>
      <c r="E46" s="631">
        <v>15794</v>
      </c>
      <c r="F46" s="628">
        <f t="shared" si="15"/>
        <v>44989</v>
      </c>
      <c r="G46" s="628"/>
      <c r="H46" s="628"/>
      <c r="I46" s="628"/>
      <c r="J46" s="628"/>
      <c r="K46" s="628"/>
      <c r="L46" s="632">
        <f t="shared" si="16"/>
        <v>44989</v>
      </c>
      <c r="M46" s="600"/>
      <c r="N46" s="597"/>
      <c r="O46" s="597"/>
      <c r="P46" s="597"/>
      <c r="Q46" s="598">
        <f>55854-36902+16243</f>
        <v>35195</v>
      </c>
      <c r="R46" s="597"/>
      <c r="S46" s="597">
        <f>9794</f>
        <v>9794</v>
      </c>
      <c r="T46" s="597"/>
      <c r="U46" s="597"/>
      <c r="V46" s="597"/>
      <c r="W46" s="597"/>
      <c r="X46" s="597"/>
      <c r="Y46" s="599"/>
      <c r="Z46" s="630">
        <f t="shared" si="17"/>
        <v>44989</v>
      </c>
      <c r="AA46" s="535">
        <f t="shared" si="14"/>
        <v>0</v>
      </c>
    </row>
    <row r="47" spans="2:27" ht="12.75">
      <c r="B47" s="305" t="s">
        <v>261</v>
      </c>
      <c r="C47" s="631"/>
      <c r="D47" s="631"/>
      <c r="E47" s="631">
        <v>31284</v>
      </c>
      <c r="F47" s="628">
        <f t="shared" si="15"/>
        <v>31284</v>
      </c>
      <c r="G47" s="628"/>
      <c r="H47" s="628"/>
      <c r="I47" s="628"/>
      <c r="J47" s="628"/>
      <c r="K47" s="628"/>
      <c r="L47" s="632">
        <f t="shared" si="16"/>
        <v>31284</v>
      </c>
      <c r="M47" s="600"/>
      <c r="N47" s="597"/>
      <c r="O47" s="597"/>
      <c r="P47" s="597"/>
      <c r="Q47" s="598">
        <v>20985</v>
      </c>
      <c r="R47" s="597"/>
      <c r="S47" s="597">
        <f>10299-8033+7223</f>
        <v>9489</v>
      </c>
      <c r="T47" s="597"/>
      <c r="U47" s="634"/>
      <c r="V47" s="597"/>
      <c r="W47" s="597"/>
      <c r="X47" s="597"/>
      <c r="Y47" s="599">
        <v>810</v>
      </c>
      <c r="Z47" s="630">
        <f t="shared" si="17"/>
        <v>31284</v>
      </c>
      <c r="AA47" s="535">
        <f t="shared" si="14"/>
        <v>0</v>
      </c>
    </row>
    <row r="48" spans="2:27" ht="38.25">
      <c r="B48" s="428" t="s">
        <v>262</v>
      </c>
      <c r="C48" s="631"/>
      <c r="D48" s="631"/>
      <c r="E48" s="631">
        <v>19</v>
      </c>
      <c r="F48" s="628">
        <f t="shared" si="15"/>
        <v>19</v>
      </c>
      <c r="G48" s="628"/>
      <c r="H48" s="628"/>
      <c r="I48" s="628"/>
      <c r="J48" s="628"/>
      <c r="K48" s="628"/>
      <c r="L48" s="632">
        <f t="shared" si="16"/>
        <v>19</v>
      </c>
      <c r="M48" s="633">
        <v>2159</v>
      </c>
      <c r="N48" s="597"/>
      <c r="O48" s="597"/>
      <c r="P48" s="597"/>
      <c r="Q48" s="600"/>
      <c r="R48" s="597"/>
      <c r="S48" s="597"/>
      <c r="T48" s="597"/>
      <c r="U48" s="597"/>
      <c r="V48" s="597"/>
      <c r="W48" s="597"/>
      <c r="X48" s="597"/>
      <c r="Y48" s="599">
        <v>-2140</v>
      </c>
      <c r="Z48" s="630">
        <f t="shared" si="17"/>
        <v>19</v>
      </c>
      <c r="AA48" s="535">
        <f t="shared" si="14"/>
        <v>0</v>
      </c>
    </row>
    <row r="49" spans="2:29" ht="38.25">
      <c r="B49" s="428" t="s">
        <v>263</v>
      </c>
      <c r="C49" s="631">
        <v>3077</v>
      </c>
      <c r="D49" s="631">
        <v>825</v>
      </c>
      <c r="E49" s="631">
        <v>4389</v>
      </c>
      <c r="F49" s="628">
        <f t="shared" si="15"/>
        <v>8291</v>
      </c>
      <c r="G49" s="628"/>
      <c r="H49" s="628"/>
      <c r="I49" s="628"/>
      <c r="J49" s="628"/>
      <c r="K49" s="628"/>
      <c r="L49" s="632">
        <f t="shared" si="16"/>
        <v>8291</v>
      </c>
      <c r="M49" s="600"/>
      <c r="N49" s="597"/>
      <c r="O49" s="597"/>
      <c r="P49" s="597"/>
      <c r="Q49" s="600"/>
      <c r="R49" s="597"/>
      <c r="S49" s="597">
        <v>8291</v>
      </c>
      <c r="T49" s="597"/>
      <c r="U49" s="597"/>
      <c r="V49" s="597"/>
      <c r="W49" s="597"/>
      <c r="X49" s="597"/>
      <c r="Y49" s="599"/>
      <c r="Z49" s="630">
        <f t="shared" si="17"/>
        <v>8291</v>
      </c>
      <c r="AA49" s="535">
        <f t="shared" si="14"/>
        <v>0</v>
      </c>
      <c r="AC49" s="204">
        <f>SUM(Z38:Z50)</f>
        <v>228135</v>
      </c>
    </row>
    <row r="50" spans="2:27" ht="26.25" thickBot="1">
      <c r="B50" s="428" t="s">
        <v>264</v>
      </c>
      <c r="C50" s="631"/>
      <c r="D50" s="631"/>
      <c r="E50" s="631">
        <v>311</v>
      </c>
      <c r="F50" s="628">
        <f t="shared" si="15"/>
        <v>311</v>
      </c>
      <c r="G50" s="628"/>
      <c r="H50" s="628"/>
      <c r="I50" s="628"/>
      <c r="J50" s="628"/>
      <c r="K50" s="628"/>
      <c r="L50" s="632">
        <f t="shared" si="16"/>
        <v>311</v>
      </c>
      <c r="M50" s="600">
        <v>381</v>
      </c>
      <c r="N50" s="597"/>
      <c r="O50" s="597"/>
      <c r="P50" s="597"/>
      <c r="Q50" s="598">
        <v>100</v>
      </c>
      <c r="R50" s="597"/>
      <c r="S50" s="597"/>
      <c r="T50" s="597"/>
      <c r="U50" s="597"/>
      <c r="V50" s="597"/>
      <c r="W50" s="597"/>
      <c r="X50" s="597"/>
      <c r="Y50" s="599">
        <v>-170</v>
      </c>
      <c r="Z50" s="630">
        <f t="shared" si="17"/>
        <v>311</v>
      </c>
      <c r="AA50" s="535">
        <f t="shared" si="14"/>
        <v>0</v>
      </c>
    </row>
    <row r="51" spans="2:28" ht="13.5" thickBot="1">
      <c r="B51" s="429" t="s">
        <v>252</v>
      </c>
      <c r="C51" s="635">
        <f>SUM(C38:C50)</f>
        <v>44810</v>
      </c>
      <c r="D51" s="635">
        <f>SUM(D38:D50)</f>
        <v>11999</v>
      </c>
      <c r="E51" s="635">
        <f aca="true" t="shared" si="18" ref="E51:J51">SUM(E38:E50)</f>
        <v>169474</v>
      </c>
      <c r="F51" s="635">
        <f>SUM(F38:F50)</f>
        <v>226283</v>
      </c>
      <c r="G51" s="635">
        <f t="shared" si="18"/>
        <v>0</v>
      </c>
      <c r="H51" s="635">
        <f t="shared" si="18"/>
        <v>0</v>
      </c>
      <c r="I51" s="635">
        <f t="shared" si="18"/>
        <v>0</v>
      </c>
      <c r="J51" s="635">
        <f t="shared" si="18"/>
        <v>1852</v>
      </c>
      <c r="K51" s="635"/>
      <c r="L51" s="636">
        <f>SUM(L38:L50)</f>
        <v>228135</v>
      </c>
      <c r="M51" s="636">
        <f aca="true" t="shared" si="19" ref="M51:X51">SUM(M38:M50)</f>
        <v>92943</v>
      </c>
      <c r="N51" s="635">
        <f t="shared" si="19"/>
        <v>0</v>
      </c>
      <c r="O51" s="635">
        <f t="shared" si="19"/>
        <v>0</v>
      </c>
      <c r="P51" s="637">
        <f t="shared" si="19"/>
        <v>28143</v>
      </c>
      <c r="Q51" s="635">
        <f t="shared" si="19"/>
        <v>73209</v>
      </c>
      <c r="R51" s="635">
        <f t="shared" si="19"/>
        <v>900</v>
      </c>
      <c r="S51" s="635">
        <f t="shared" si="19"/>
        <v>31585</v>
      </c>
      <c r="T51" s="635">
        <f t="shared" si="19"/>
        <v>0</v>
      </c>
      <c r="U51" s="635">
        <f t="shared" si="19"/>
        <v>0</v>
      </c>
      <c r="V51" s="635">
        <f t="shared" si="19"/>
        <v>0</v>
      </c>
      <c r="W51" s="635">
        <f t="shared" si="19"/>
        <v>0</v>
      </c>
      <c r="X51" s="635">
        <f t="shared" si="19"/>
        <v>1355</v>
      </c>
      <c r="Y51" s="637">
        <f>SUM(Y38:Y50)</f>
        <v>0</v>
      </c>
      <c r="Z51" s="672">
        <f>SUM(Z38:Z50)</f>
        <v>228135</v>
      </c>
      <c r="AA51" s="535">
        <f>+L51-Z51</f>
        <v>0</v>
      </c>
      <c r="AB51" s="203">
        <v>227482</v>
      </c>
    </row>
    <row r="52" spans="2:27" ht="0.75" customHeight="1" thickBot="1">
      <c r="B52" s="240"/>
      <c r="C52" s="638">
        <f>+'[6]4_mell'!D7</f>
        <v>44210</v>
      </c>
      <c r="D52" s="638">
        <f>+'[6]4_mell'!E7</f>
        <v>11946</v>
      </c>
      <c r="E52" s="639">
        <f>+'[6]4_mell'!F7</f>
        <v>170807</v>
      </c>
      <c r="F52" s="638">
        <f>SUM(C51:E51)</f>
        <v>226283</v>
      </c>
      <c r="G52" s="638"/>
      <c r="H52" s="638"/>
      <c r="I52" s="638"/>
      <c r="J52" s="638"/>
      <c r="K52" s="638"/>
      <c r="L52" s="638">
        <f>+'[6]4_mell'!M7</f>
        <v>227482</v>
      </c>
      <c r="M52" s="602">
        <f>+'[6]3_mell'!D8</f>
        <v>92943</v>
      </c>
      <c r="N52" s="602"/>
      <c r="O52" s="602"/>
      <c r="P52" s="602">
        <f>+'[6]3_mell'!G8</f>
        <v>27490</v>
      </c>
      <c r="Q52" s="602"/>
      <c r="R52" s="602"/>
      <c r="S52" s="639"/>
      <c r="T52" s="602"/>
      <c r="U52" s="602"/>
      <c r="V52" s="602"/>
      <c r="W52" s="602"/>
      <c r="X52" s="602"/>
      <c r="Y52" s="602"/>
      <c r="Z52" s="602"/>
      <c r="AA52" s="205"/>
    </row>
    <row r="53" spans="2:26" ht="13.5" hidden="1" thickBot="1">
      <c r="B53" s="240"/>
      <c r="C53" s="638">
        <f>+C52-C51</f>
        <v>-600</v>
      </c>
      <c r="D53" s="638">
        <f aca="true" t="shared" si="20" ref="D53:P53">+D52-D51</f>
        <v>-53</v>
      </c>
      <c r="E53" s="638">
        <f t="shared" si="20"/>
        <v>1333</v>
      </c>
      <c r="F53" s="638">
        <f t="shared" si="20"/>
        <v>0</v>
      </c>
      <c r="G53" s="638">
        <f t="shared" si="20"/>
        <v>0</v>
      </c>
      <c r="H53" s="638">
        <f t="shared" si="20"/>
        <v>0</v>
      </c>
      <c r="I53" s="638">
        <f t="shared" si="20"/>
        <v>0</v>
      </c>
      <c r="J53" s="638">
        <f t="shared" si="20"/>
        <v>-1852</v>
      </c>
      <c r="K53" s="638"/>
      <c r="L53" s="638">
        <f t="shared" si="20"/>
        <v>-653</v>
      </c>
      <c r="M53" s="638">
        <f t="shared" si="20"/>
        <v>0</v>
      </c>
      <c r="N53" s="638">
        <f t="shared" si="20"/>
        <v>0</v>
      </c>
      <c r="O53" s="638">
        <f t="shared" si="20"/>
        <v>0</v>
      </c>
      <c r="P53" s="638">
        <f t="shared" si="20"/>
        <v>-653</v>
      </c>
      <c r="Q53" s="602"/>
      <c r="R53" s="602"/>
      <c r="S53" s="602"/>
      <c r="T53" s="602"/>
      <c r="U53" s="602"/>
      <c r="V53" s="602"/>
      <c r="W53" s="602"/>
      <c r="X53" s="602"/>
      <c r="Y53" s="602"/>
      <c r="Z53" s="602"/>
    </row>
    <row r="54" spans="2:26" ht="13.5" thickBot="1">
      <c r="B54" s="242" t="s">
        <v>296</v>
      </c>
      <c r="C54" s="699" t="s">
        <v>174</v>
      </c>
      <c r="D54" s="676"/>
      <c r="E54" s="676"/>
      <c r="F54" s="676"/>
      <c r="G54" s="676"/>
      <c r="H54" s="676"/>
      <c r="I54" s="676"/>
      <c r="J54" s="676"/>
      <c r="K54" s="676"/>
      <c r="L54" s="698"/>
      <c r="M54" s="676"/>
      <c r="N54" s="676"/>
      <c r="O54" s="676"/>
      <c r="P54" s="676"/>
      <c r="Q54" s="676"/>
      <c r="R54" s="676"/>
      <c r="S54" s="676"/>
      <c r="T54" s="676"/>
      <c r="U54" s="676"/>
      <c r="V54" s="676"/>
      <c r="W54" s="676"/>
      <c r="X54" s="676"/>
      <c r="Y54" s="676"/>
      <c r="Z54" s="698"/>
    </row>
    <row r="55" spans="2:30" ht="13.5" thickBot="1">
      <c r="B55" s="294"/>
      <c r="C55" s="619"/>
      <c r="D55" s="572"/>
      <c r="E55" s="572"/>
      <c r="F55" s="572"/>
      <c r="G55" s="572"/>
      <c r="H55" s="572"/>
      <c r="I55" s="572"/>
      <c r="J55" s="572"/>
      <c r="K55" s="572"/>
      <c r="L55" s="640"/>
      <c r="M55" s="572"/>
      <c r="N55" s="572"/>
      <c r="O55" s="641"/>
      <c r="P55" s="597"/>
      <c r="Q55" s="673" t="s">
        <v>281</v>
      </c>
      <c r="R55" s="674"/>
      <c r="S55" s="674"/>
      <c r="T55" s="674"/>
      <c r="U55" s="674"/>
      <c r="V55" s="674"/>
      <c r="W55" s="674"/>
      <c r="X55" s="674"/>
      <c r="Y55" s="675"/>
      <c r="Z55" s="577"/>
      <c r="AD55" s="205">
        <f>SUM(Q51:S51)</f>
        <v>105694</v>
      </c>
    </row>
    <row r="56" spans="2:26" s="237" customFormat="1" ht="51.75" thickBot="1">
      <c r="B56" s="534" t="s">
        <v>72</v>
      </c>
      <c r="C56" s="569" t="s">
        <v>56</v>
      </c>
      <c r="D56" s="570" t="s">
        <v>234</v>
      </c>
      <c r="E56" s="570" t="s">
        <v>235</v>
      </c>
      <c r="F56" s="570" t="s">
        <v>61</v>
      </c>
      <c r="G56" s="578" t="s">
        <v>277</v>
      </c>
      <c r="H56" s="578" t="s">
        <v>278</v>
      </c>
      <c r="I56" s="578" t="s">
        <v>62</v>
      </c>
      <c r="J56" s="578" t="s">
        <v>9</v>
      </c>
      <c r="K56" s="578" t="s">
        <v>563</v>
      </c>
      <c r="L56" s="642" t="s">
        <v>279</v>
      </c>
      <c r="M56" s="570" t="s">
        <v>250</v>
      </c>
      <c r="N56" s="570" t="s">
        <v>249</v>
      </c>
      <c r="O56" s="578" t="s">
        <v>477</v>
      </c>
      <c r="P56" s="578" t="s">
        <v>248</v>
      </c>
      <c r="Q56" s="569" t="s">
        <v>265</v>
      </c>
      <c r="R56" s="582" t="s">
        <v>289</v>
      </c>
      <c r="S56" s="583" t="s">
        <v>290</v>
      </c>
      <c r="T56" s="582" t="s">
        <v>291</v>
      </c>
      <c r="U56" s="583" t="s">
        <v>293</v>
      </c>
      <c r="V56" s="582" t="s">
        <v>294</v>
      </c>
      <c r="W56" s="582" t="s">
        <v>489</v>
      </c>
      <c r="X56" s="582" t="s">
        <v>8</v>
      </c>
      <c r="Y56" s="584" t="s">
        <v>292</v>
      </c>
      <c r="Z56" s="585" t="s">
        <v>295</v>
      </c>
    </row>
    <row r="57" spans="2:26" ht="12.75">
      <c r="B57" s="308"/>
      <c r="C57" s="643"/>
      <c r="D57" s="644"/>
      <c r="E57" s="634"/>
      <c r="F57" s="644"/>
      <c r="G57" s="644"/>
      <c r="H57" s="644"/>
      <c r="I57" s="644"/>
      <c r="J57" s="644"/>
      <c r="K57" s="644"/>
      <c r="L57" s="644"/>
      <c r="M57" s="645"/>
      <c r="N57" s="620"/>
      <c r="O57" s="620"/>
      <c r="P57" s="621"/>
      <c r="Q57" s="600"/>
      <c r="R57" s="597"/>
      <c r="S57" s="597"/>
      <c r="T57" s="597"/>
      <c r="U57" s="597"/>
      <c r="V57" s="597"/>
      <c r="W57" s="597"/>
      <c r="X57" s="597"/>
      <c r="Y57" s="599"/>
      <c r="Z57" s="646"/>
    </row>
    <row r="58" spans="2:26" ht="12.75">
      <c r="B58" s="296"/>
      <c r="C58" s="609"/>
      <c r="D58" s="587"/>
      <c r="E58" s="587"/>
      <c r="F58" s="587"/>
      <c r="G58" s="589"/>
      <c r="H58" s="589"/>
      <c r="I58" s="589"/>
      <c r="J58" s="589"/>
      <c r="K58" s="589"/>
      <c r="L58" s="589"/>
      <c r="M58" s="609"/>
      <c r="N58" s="587"/>
      <c r="O58" s="587"/>
      <c r="P58" s="647"/>
      <c r="Q58" s="609"/>
      <c r="R58" s="592"/>
      <c r="S58" s="592"/>
      <c r="T58" s="592"/>
      <c r="U58" s="648">
        <f>SUM(Q61:V61)</f>
        <v>276269</v>
      </c>
      <c r="V58" s="592"/>
      <c r="W58" s="592"/>
      <c r="X58" s="592"/>
      <c r="Y58" s="649"/>
      <c r="Z58" s="646"/>
    </row>
    <row r="59" spans="2:27" ht="25.5">
      <c r="B59" s="428" t="s">
        <v>274</v>
      </c>
      <c r="C59" s="650">
        <f>+'[6]4_mell'!D31</f>
        <v>109424</v>
      </c>
      <c r="D59" s="634">
        <f>+'[6]4_mell'!E31</f>
        <v>29137</v>
      </c>
      <c r="E59" s="634">
        <f>+'[6]4_mell'!F31</f>
        <v>34545</v>
      </c>
      <c r="F59" s="634">
        <f>SUM(C59:E59)</f>
        <v>173106</v>
      </c>
      <c r="G59" s="634">
        <f>'[6]4_mell'!H31</f>
        <v>366</v>
      </c>
      <c r="H59" s="634"/>
      <c r="I59" s="602"/>
      <c r="J59" s="634">
        <f>'[6]4_mell'!L31</f>
        <v>5000</v>
      </c>
      <c r="K59" s="634"/>
      <c r="L59" s="634">
        <f>SUM(F59:J59)</f>
        <v>178472</v>
      </c>
      <c r="M59" s="650">
        <f>'[6]3_mell'!D28</f>
        <v>4600</v>
      </c>
      <c r="N59" s="597"/>
      <c r="O59" s="597"/>
      <c r="P59" s="651">
        <f>+'[6]3_mell'!F28+'[6]3_mell'!G28</f>
        <v>9462</v>
      </c>
      <c r="Q59" s="598">
        <f>93478+279+151+41+121+225+61+84</f>
        <v>94440</v>
      </c>
      <c r="R59" s="595">
        <f>4272+33</f>
        <v>4305</v>
      </c>
      <c r="S59" s="595">
        <f>67857-279-1650-261+2137-13206-9050</f>
        <v>45548</v>
      </c>
      <c r="T59" s="595"/>
      <c r="U59" s="597"/>
      <c r="V59" s="597"/>
      <c r="W59" s="597">
        <f>1650+13206-13481</f>
        <v>1375</v>
      </c>
      <c r="X59" s="597">
        <v>261</v>
      </c>
      <c r="Y59" s="651"/>
      <c r="Z59" s="652">
        <f>SUM(M59:Y59)</f>
        <v>159991</v>
      </c>
      <c r="AA59" s="205">
        <f>+L59-Z59</f>
        <v>18481</v>
      </c>
    </row>
    <row r="60" spans="2:27" ht="12.75">
      <c r="B60" s="428" t="s">
        <v>283</v>
      </c>
      <c r="C60" s="650"/>
      <c r="D60" s="634"/>
      <c r="E60" s="634"/>
      <c r="F60" s="634">
        <f>SUM(C60:E60)</f>
        <v>0</v>
      </c>
      <c r="G60" s="634"/>
      <c r="H60" s="634"/>
      <c r="I60" s="634">
        <f>+'[6]4_mell'!I31</f>
        <v>113495</v>
      </c>
      <c r="J60" s="634"/>
      <c r="K60" s="634"/>
      <c r="L60" s="634">
        <f>SUM(F60:J60)</f>
        <v>113495</v>
      </c>
      <c r="M60" s="650"/>
      <c r="N60" s="597"/>
      <c r="O60" s="597"/>
      <c r="P60" s="651">
        <v>0</v>
      </c>
      <c r="Q60" s="598">
        <f>Bevétel!F46</f>
        <v>92971</v>
      </c>
      <c r="R60" s="595"/>
      <c r="S60" s="595">
        <f>54217-16812+1600</f>
        <v>39005</v>
      </c>
      <c r="T60" s="595"/>
      <c r="U60" s="597"/>
      <c r="V60" s="597"/>
      <c r="W60" s="597"/>
      <c r="X60" s="597"/>
      <c r="Y60" s="599"/>
      <c r="Z60" s="652">
        <f>SUM(M60:Y60)</f>
        <v>131976</v>
      </c>
      <c r="AA60" s="205">
        <f>+L60-Z60</f>
        <v>-18481</v>
      </c>
    </row>
    <row r="61" spans="2:28" s="238" customFormat="1" ht="12.75">
      <c r="B61" s="308" t="s">
        <v>280</v>
      </c>
      <c r="C61" s="643">
        <f>SUM(C59:C60)</f>
        <v>109424</v>
      </c>
      <c r="D61" s="644">
        <f aca="true" t="shared" si="21" ref="D61:L61">SUM(D59:D60)</f>
        <v>29137</v>
      </c>
      <c r="E61" s="644">
        <f t="shared" si="21"/>
        <v>34545</v>
      </c>
      <c r="F61" s="644">
        <f t="shared" si="21"/>
        <v>173106</v>
      </c>
      <c r="G61" s="644">
        <f>SUM(G59:G60)</f>
        <v>366</v>
      </c>
      <c r="H61" s="644">
        <f t="shared" si="21"/>
        <v>0</v>
      </c>
      <c r="I61" s="644">
        <f>SUM(I60:I60)</f>
        <v>113495</v>
      </c>
      <c r="J61" s="644">
        <f t="shared" si="21"/>
        <v>5000</v>
      </c>
      <c r="K61" s="644"/>
      <c r="L61" s="644">
        <f t="shared" si="21"/>
        <v>291967</v>
      </c>
      <c r="M61" s="643">
        <f>SUM(M59:M60)</f>
        <v>4600</v>
      </c>
      <c r="N61" s="644">
        <f aca="true" t="shared" si="22" ref="N61:V61">SUM(N59:N60)</f>
        <v>0</v>
      </c>
      <c r="O61" s="644"/>
      <c r="P61" s="653">
        <f t="shared" si="22"/>
        <v>9462</v>
      </c>
      <c r="Q61" s="643">
        <f>SUM(Q59:Q60)</f>
        <v>187411</v>
      </c>
      <c r="R61" s="644">
        <f t="shared" si="22"/>
        <v>4305</v>
      </c>
      <c r="S61" s="644">
        <f>SUM(S59:S60)</f>
        <v>84553</v>
      </c>
      <c r="T61" s="644">
        <f t="shared" si="22"/>
        <v>0</v>
      </c>
      <c r="U61" s="644">
        <f t="shared" si="22"/>
        <v>0</v>
      </c>
      <c r="V61" s="644">
        <f t="shared" si="22"/>
        <v>0</v>
      </c>
      <c r="W61" s="644">
        <f>SUM(W59:W60)</f>
        <v>1375</v>
      </c>
      <c r="X61" s="644">
        <f>SUM(X59:X60)</f>
        <v>261</v>
      </c>
      <c r="Y61" s="653">
        <f>SUM(Y59:Y60)</f>
        <v>0</v>
      </c>
      <c r="Z61" s="654">
        <f>SUM(Z59:Z60)</f>
        <v>291967</v>
      </c>
      <c r="AA61" s="205">
        <f>+L61-Z61</f>
        <v>0</v>
      </c>
      <c r="AB61" s="240">
        <f>SUM(M61:Y61)</f>
        <v>291967</v>
      </c>
    </row>
    <row r="62" spans="2:27" s="238" customFormat="1" ht="12.75">
      <c r="B62" s="308"/>
      <c r="C62" s="650">
        <f>+'[6]4_mell'!D31</f>
        <v>109424</v>
      </c>
      <c r="D62" s="634">
        <f>+'[6]4_mell'!E31</f>
        <v>29137</v>
      </c>
      <c r="E62" s="634">
        <f>+'[6]4_mell'!F31</f>
        <v>34545</v>
      </c>
      <c r="F62" s="634">
        <f>SUM(C62:E62)</f>
        <v>173106</v>
      </c>
      <c r="G62" s="634"/>
      <c r="H62" s="634"/>
      <c r="I62" s="634">
        <f>+'[6]4_mell'!I31</f>
        <v>113495</v>
      </c>
      <c r="J62" s="634"/>
      <c r="K62" s="634"/>
      <c r="L62" s="634">
        <f>+'[6]4_mell'!M31</f>
        <v>291967</v>
      </c>
      <c r="M62" s="650">
        <f>'[6]3_mell'!D28</f>
        <v>4600</v>
      </c>
      <c r="N62" s="634"/>
      <c r="O62" s="634"/>
      <c r="P62" s="669">
        <f>+'[6]3_mell'!F28+'[6]3_mell'!G28</f>
        <v>9462</v>
      </c>
      <c r="Q62" s="643"/>
      <c r="R62" s="644"/>
      <c r="S62" s="644"/>
      <c r="T62" s="644"/>
      <c r="U62" s="644"/>
      <c r="V62" s="644"/>
      <c r="W62" s="644"/>
      <c r="X62" s="644"/>
      <c r="Y62" s="653"/>
      <c r="Z62" s="655"/>
      <c r="AA62" s="240"/>
    </row>
    <row r="63" spans="2:30" s="238" customFormat="1" ht="12.75">
      <c r="B63" s="302"/>
      <c r="C63" s="643"/>
      <c r="D63" s="644"/>
      <c r="E63" s="644"/>
      <c r="F63" s="644"/>
      <c r="G63" s="644"/>
      <c r="H63" s="644"/>
      <c r="I63" s="644"/>
      <c r="J63" s="644"/>
      <c r="K63" s="644"/>
      <c r="L63" s="644"/>
      <c r="M63" s="643"/>
      <c r="N63" s="644"/>
      <c r="O63" s="644"/>
      <c r="P63" s="653"/>
      <c r="Q63" s="643"/>
      <c r="R63" s="644"/>
      <c r="S63" s="644"/>
      <c r="T63" s="644"/>
      <c r="U63" s="644"/>
      <c r="V63" s="644"/>
      <c r="W63" s="644"/>
      <c r="X63" s="644"/>
      <c r="Y63" s="653"/>
      <c r="Z63" s="655"/>
      <c r="AD63" s="240">
        <f>SUM(Q61:S61)</f>
        <v>276269</v>
      </c>
    </row>
    <row r="64" spans="2:26" ht="25.5">
      <c r="B64" s="430" t="s">
        <v>41</v>
      </c>
      <c r="C64" s="609"/>
      <c r="D64" s="587"/>
      <c r="E64" s="587"/>
      <c r="F64" s="587"/>
      <c r="G64" s="589"/>
      <c r="H64" s="589"/>
      <c r="I64" s="589"/>
      <c r="J64" s="589"/>
      <c r="K64" s="589"/>
      <c r="L64" s="589"/>
      <c r="M64" s="609"/>
      <c r="N64" s="587"/>
      <c r="O64" s="587"/>
      <c r="P64" s="647"/>
      <c r="Q64" s="609"/>
      <c r="R64" s="592"/>
      <c r="S64" s="592"/>
      <c r="T64" s="592"/>
      <c r="U64" s="592"/>
      <c r="V64" s="592"/>
      <c r="W64" s="592"/>
      <c r="X64" s="592"/>
      <c r="Y64" s="649"/>
      <c r="Z64" s="646"/>
    </row>
    <row r="65" spans="2:27" ht="25.5">
      <c r="B65" s="307" t="s">
        <v>41</v>
      </c>
      <c r="C65" s="598">
        <f>+'[6]11_mell'!C29-'[6]11_mell'!C16-'[6]11_mell'!C17-'[6]11_mell'!C20</f>
        <v>1620</v>
      </c>
      <c r="D65" s="595">
        <f>+'[6]11_mell'!D29-'[6]11_mell'!D16-'[6]11_mell'!D17-'[6]11_mell'!D20</f>
        <v>394</v>
      </c>
      <c r="E65" s="595">
        <f>+'[6]11_mell'!E29-'[6]11_mell'!E16-'[6]11_mell'!E17-'[6]11_mell'!E20+520</f>
        <v>56247</v>
      </c>
      <c r="F65" s="588">
        <f>SUM(C65:E65)</f>
        <v>58261</v>
      </c>
      <c r="G65" s="588">
        <f>+'[6]11_mell'!H29</f>
        <v>60703</v>
      </c>
      <c r="H65" s="588">
        <f>+'[6]11_mell'!I19</f>
        <v>4000</v>
      </c>
      <c r="I65" s="588">
        <f>+'[6]11_mell'!G29</f>
        <v>15160</v>
      </c>
      <c r="J65" s="588">
        <f>+'[6]11_mell'!F25</f>
        <v>78996</v>
      </c>
      <c r="K65" s="588"/>
      <c r="L65" s="656">
        <f aca="true" t="shared" si="23" ref="L65:L70">SUM(F65:K65)</f>
        <v>217120</v>
      </c>
      <c r="M65" s="600">
        <f>+'[6]3_mell'!D23</f>
        <v>9231</v>
      </c>
      <c r="N65" s="597"/>
      <c r="O65" s="595">
        <f>+'[6]3_mell'!H23-'[6]1_mell'!F97</f>
        <v>26212</v>
      </c>
      <c r="P65" s="651">
        <f>+'[6]3_mell'!F23-'[6]1_mell'!F63-'[6]1_mell'!F58-'[6]1_mell'!F59+562</f>
        <v>22348</v>
      </c>
      <c r="Q65" s="598">
        <f>24129+7175+1010+15510+25378+687+1542-100-843+520</f>
        <v>75008</v>
      </c>
      <c r="R65" s="595">
        <f>+'[6]8_mell'!C21-'[6]8_mell'!C7-4272-900-33</f>
        <v>46245</v>
      </c>
      <c r="S65" s="595">
        <f>-52905-2016+25915-3925+843+150+1435-562</f>
        <v>-31065</v>
      </c>
      <c r="T65" s="595"/>
      <c r="U65" s="597">
        <v>90</v>
      </c>
      <c r="V65" s="597">
        <v>150</v>
      </c>
      <c r="W65" s="597">
        <f>-7468+1248-143-25-20+282+13481-1435+84</f>
        <v>6004</v>
      </c>
      <c r="X65" s="597">
        <f>+'[6]3_mell'!E23-12522</f>
        <v>62935</v>
      </c>
      <c r="Y65" s="599"/>
      <c r="Z65" s="652">
        <f>SUM(M65:Y65)</f>
        <v>217158</v>
      </c>
      <c r="AA65" s="205">
        <f aca="true" t="shared" si="24" ref="AA65:AA71">+Z65-L65</f>
        <v>38</v>
      </c>
    </row>
    <row r="66" spans="2:27" ht="12.75">
      <c r="B66" s="296" t="s">
        <v>275</v>
      </c>
      <c r="C66" s="598">
        <f>+'[6]11_mell'!C16</f>
        <v>1513</v>
      </c>
      <c r="D66" s="595">
        <f>+'[6]11_mell'!D16</f>
        <v>407</v>
      </c>
      <c r="E66" s="595">
        <f>+'[6]11_mell'!E16</f>
        <v>2105</v>
      </c>
      <c r="F66" s="656">
        <f>SUM(C66:E66)</f>
        <v>4025</v>
      </c>
      <c r="G66" s="656"/>
      <c r="H66" s="656"/>
      <c r="I66" s="656"/>
      <c r="J66" s="656"/>
      <c r="K66" s="656"/>
      <c r="L66" s="656">
        <f t="shared" si="23"/>
        <v>4025</v>
      </c>
      <c r="M66" s="600"/>
      <c r="N66" s="597"/>
      <c r="O66" s="597"/>
      <c r="P66" s="651">
        <f>+'[6]1_mell'!F58+'[6]1_mell'!F59</f>
        <v>5100</v>
      </c>
      <c r="Q66" s="600"/>
      <c r="R66" s="597"/>
      <c r="S66" s="597"/>
      <c r="T66" s="597"/>
      <c r="U66" s="597"/>
      <c r="V66" s="597"/>
      <c r="W66" s="597">
        <f>-1138+25</f>
        <v>-1113</v>
      </c>
      <c r="X66" s="597"/>
      <c r="Y66" s="599"/>
      <c r="Z66" s="652">
        <f>SUM(M66:Y66)</f>
        <v>3987</v>
      </c>
      <c r="AA66" s="205">
        <f t="shared" si="24"/>
        <v>-38</v>
      </c>
    </row>
    <row r="67" spans="2:27" ht="25.5">
      <c r="B67" s="307" t="s">
        <v>276</v>
      </c>
      <c r="C67" s="600"/>
      <c r="D67" s="597"/>
      <c r="E67" s="597">
        <v>507</v>
      </c>
      <c r="F67" s="656">
        <f>SUM(C67:E67)</f>
        <v>507</v>
      </c>
      <c r="G67" s="656"/>
      <c r="H67" s="656"/>
      <c r="I67" s="656"/>
      <c r="J67" s="656"/>
      <c r="K67" s="656"/>
      <c r="L67" s="656">
        <f t="shared" si="23"/>
        <v>507</v>
      </c>
      <c r="M67" s="600"/>
      <c r="N67" s="597"/>
      <c r="O67" s="597"/>
      <c r="P67" s="599"/>
      <c r="Q67" s="600"/>
      <c r="R67" s="597"/>
      <c r="S67" s="597"/>
      <c r="T67" s="597"/>
      <c r="U67" s="597">
        <v>507</v>
      </c>
      <c r="V67" s="597"/>
      <c r="W67" s="597"/>
      <c r="X67" s="597"/>
      <c r="Y67" s="599"/>
      <c r="Z67" s="652">
        <f>SUM(M67:Y67)</f>
        <v>507</v>
      </c>
      <c r="AA67" s="205">
        <f t="shared" si="24"/>
        <v>0</v>
      </c>
    </row>
    <row r="68" spans="2:28" ht="12.75">
      <c r="B68" s="307" t="s">
        <v>482</v>
      </c>
      <c r="C68" s="598">
        <f>+'[6]11_mell'!C17</f>
        <v>180598</v>
      </c>
      <c r="D68" s="595">
        <f>+'[6]11_mell'!D17</f>
        <v>24377</v>
      </c>
      <c r="E68" s="595">
        <f>+'[6]11_mell'!E17</f>
        <v>11748</v>
      </c>
      <c r="F68" s="656">
        <f>SUM(C68:E68)</f>
        <v>216723</v>
      </c>
      <c r="G68" s="656"/>
      <c r="H68" s="656"/>
      <c r="I68" s="656"/>
      <c r="J68" s="656">
        <v>6094</v>
      </c>
      <c r="K68" s="656"/>
      <c r="L68" s="656">
        <f t="shared" si="23"/>
        <v>222817</v>
      </c>
      <c r="M68" s="600"/>
      <c r="N68" s="597"/>
      <c r="O68" s="595">
        <f>+'[6]1_mell'!F97</f>
        <v>6094</v>
      </c>
      <c r="P68" s="651">
        <f>+'[6]1_mell'!F63</f>
        <v>202512</v>
      </c>
      <c r="Q68" s="600"/>
      <c r="R68" s="597"/>
      <c r="S68" s="597"/>
      <c r="T68" s="595"/>
      <c r="U68" s="597"/>
      <c r="V68" s="597"/>
      <c r="W68" s="597">
        <v>1689</v>
      </c>
      <c r="X68" s="597">
        <v>12522</v>
      </c>
      <c r="Y68" s="599"/>
      <c r="Z68" s="652">
        <f>SUM(M68:Y68)</f>
        <v>222817</v>
      </c>
      <c r="AA68" s="205">
        <f t="shared" si="24"/>
        <v>0</v>
      </c>
      <c r="AB68" s="205">
        <f>SUM(Z65:Z68)</f>
        <v>444469</v>
      </c>
    </row>
    <row r="69" spans="2:27" ht="25.5">
      <c r="B69" s="307" t="str">
        <f>+'[6]2_mell'!C26</f>
        <v>Felhalmozási c. hitel törlesztése</v>
      </c>
      <c r="C69" s="598"/>
      <c r="D69" s="595"/>
      <c r="E69" s="595"/>
      <c r="F69" s="656"/>
      <c r="G69" s="656"/>
      <c r="H69" s="656"/>
      <c r="I69" s="656"/>
      <c r="J69" s="656"/>
      <c r="K69" s="656">
        <v>70000</v>
      </c>
      <c r="L69" s="656">
        <f t="shared" si="23"/>
        <v>70000</v>
      </c>
      <c r="M69" s="600"/>
      <c r="N69" s="597"/>
      <c r="O69" s="595"/>
      <c r="P69" s="651"/>
      <c r="Q69" s="600">
        <v>70000</v>
      </c>
      <c r="R69" s="597"/>
      <c r="S69" s="597"/>
      <c r="T69" s="597"/>
      <c r="U69" s="597"/>
      <c r="V69" s="597"/>
      <c r="W69" s="597"/>
      <c r="X69" s="597"/>
      <c r="Y69" s="597"/>
      <c r="Z69" s="652">
        <f>SUM(Q69:Y69)</f>
        <v>70000</v>
      </c>
      <c r="AA69" s="205">
        <f t="shared" si="24"/>
        <v>0</v>
      </c>
    </row>
    <row r="70" spans="2:27" ht="25.5">
      <c r="B70" s="307" t="str">
        <f>+'[6]2_mell'!C27</f>
        <v>Felhalmozási c. kötvény végtörlesztés</v>
      </c>
      <c r="C70" s="598"/>
      <c r="D70" s="595"/>
      <c r="E70" s="595"/>
      <c r="F70" s="656"/>
      <c r="G70" s="656"/>
      <c r="H70" s="656"/>
      <c r="I70" s="656"/>
      <c r="J70" s="656"/>
      <c r="K70" s="656">
        <f>+'[6]2_mell'!F27</f>
        <v>162405</v>
      </c>
      <c r="L70" s="656">
        <f t="shared" si="23"/>
        <v>162405</v>
      </c>
      <c r="M70" s="600"/>
      <c r="N70" s="597"/>
      <c r="O70" s="595"/>
      <c r="P70" s="651"/>
      <c r="Q70" s="600">
        <v>162405</v>
      </c>
      <c r="R70" s="597"/>
      <c r="S70" s="597"/>
      <c r="T70" s="597"/>
      <c r="U70" s="597"/>
      <c r="V70" s="597"/>
      <c r="W70" s="597"/>
      <c r="X70" s="597"/>
      <c r="Y70" s="597"/>
      <c r="Z70" s="652">
        <f>SUM(Q70:Y70)</f>
        <v>162405</v>
      </c>
      <c r="AA70" s="205">
        <f t="shared" si="24"/>
        <v>0</v>
      </c>
    </row>
    <row r="71" spans="2:29" s="238" customFormat="1" ht="12.75">
      <c r="B71" s="308" t="s">
        <v>280</v>
      </c>
      <c r="C71" s="605">
        <f>SUM(C65:C68)</f>
        <v>183731</v>
      </c>
      <c r="D71" s="657">
        <f aca="true" t="shared" si="25" ref="D71:M71">SUM(D65:D68)</f>
        <v>25178</v>
      </c>
      <c r="E71" s="603">
        <f>SUM(E65:E68)</f>
        <v>70607</v>
      </c>
      <c r="F71" s="657">
        <f t="shared" si="25"/>
        <v>279516</v>
      </c>
      <c r="G71" s="657">
        <f t="shared" si="25"/>
        <v>60703</v>
      </c>
      <c r="H71" s="657">
        <f t="shared" si="25"/>
        <v>4000</v>
      </c>
      <c r="I71" s="657">
        <f t="shared" si="25"/>
        <v>15160</v>
      </c>
      <c r="J71" s="603">
        <f>SUM(J65:J70)</f>
        <v>85090</v>
      </c>
      <c r="K71" s="603">
        <f>SUM(K65:K70)</f>
        <v>232405</v>
      </c>
      <c r="L71" s="603">
        <f>SUM(L65:L70)</f>
        <v>676874</v>
      </c>
      <c r="M71" s="658">
        <f t="shared" si="25"/>
        <v>9231</v>
      </c>
      <c r="N71" s="657">
        <f>SUM(N65:N67)</f>
        <v>0</v>
      </c>
      <c r="O71" s="603">
        <f>SUM(O65:O68)</f>
        <v>32306</v>
      </c>
      <c r="P71" s="659">
        <f>SUM(P65:P68)</f>
        <v>229960</v>
      </c>
      <c r="Q71" s="605">
        <f>SUM(Q65:Q70)</f>
        <v>307413</v>
      </c>
      <c r="R71" s="603">
        <f aca="true" t="shared" si="26" ref="R71:Y71">SUM(R65:R68)</f>
        <v>46245</v>
      </c>
      <c r="S71" s="603">
        <f t="shared" si="26"/>
        <v>-31065</v>
      </c>
      <c r="T71" s="603"/>
      <c r="U71" s="603">
        <f t="shared" si="26"/>
        <v>597</v>
      </c>
      <c r="V71" s="603">
        <f t="shared" si="26"/>
        <v>150</v>
      </c>
      <c r="W71" s="603">
        <f>SUM(W65:W68)</f>
        <v>6580</v>
      </c>
      <c r="X71" s="603">
        <f t="shared" si="26"/>
        <v>75457</v>
      </c>
      <c r="Y71" s="603">
        <f t="shared" si="26"/>
        <v>0</v>
      </c>
      <c r="Z71" s="604">
        <f>SUM(Z65:Z70)</f>
        <v>676874</v>
      </c>
      <c r="AA71" s="205">
        <f t="shared" si="24"/>
        <v>0</v>
      </c>
      <c r="AB71" s="238">
        <f>SUM(M71:Y71)</f>
        <v>676874</v>
      </c>
      <c r="AC71" s="616">
        <f>AB71-Z71</f>
        <v>0</v>
      </c>
    </row>
    <row r="72" spans="2:27" ht="12.75">
      <c r="B72" s="296"/>
      <c r="C72" s="598">
        <f>+'[6]4_mell'!D22</f>
        <v>183731</v>
      </c>
      <c r="D72" s="595">
        <f>+'[6]4_mell'!E22</f>
        <v>25178</v>
      </c>
      <c r="E72" s="595">
        <f>'Kiad.intézményenként'!F22</f>
        <v>70607</v>
      </c>
      <c r="F72" s="588">
        <f>SUM(C72:E72)</f>
        <v>279516</v>
      </c>
      <c r="G72" s="595">
        <f>+'[6]4_mell'!H22</f>
        <v>60703</v>
      </c>
      <c r="H72" s="595">
        <f>+'[6]4_mell'!K22</f>
        <v>4000</v>
      </c>
      <c r="I72" s="595">
        <f>+'[6]4_mell'!I22</f>
        <v>15160</v>
      </c>
      <c r="J72" s="595">
        <f>+'[6]4_mell'!L22</f>
        <v>85090</v>
      </c>
      <c r="K72" s="595">
        <f>+'[6]2_mell'!F25</f>
        <v>232405</v>
      </c>
      <c r="L72" s="595">
        <f>'Kiad.intézményenként'!M22+K72</f>
        <v>676874</v>
      </c>
      <c r="M72" s="600">
        <f>+'[6]3_mell'!D23</f>
        <v>9231</v>
      </c>
      <c r="N72" s="597"/>
      <c r="O72" s="595">
        <f>+'[6]3_mell'!H23</f>
        <v>32306</v>
      </c>
      <c r="P72" s="651">
        <f>+'[6]3_mell'!F23</f>
        <v>229398</v>
      </c>
      <c r="Q72" s="600"/>
      <c r="R72" s="597"/>
      <c r="S72" s="597"/>
      <c r="T72" s="597"/>
      <c r="U72" s="597"/>
      <c r="V72" s="597"/>
      <c r="W72" s="597"/>
      <c r="X72" s="597">
        <f>+'[6]3_mell'!E23</f>
        <v>75457</v>
      </c>
      <c r="Y72" s="599"/>
      <c r="Z72" s="646"/>
      <c r="AA72" s="205"/>
    </row>
    <row r="73" spans="2:26" ht="13.5" thickBot="1">
      <c r="B73" s="296"/>
      <c r="C73" s="600"/>
      <c r="D73" s="597"/>
      <c r="E73" s="597"/>
      <c r="F73" s="597"/>
      <c r="G73" s="597"/>
      <c r="H73" s="597"/>
      <c r="I73" s="597"/>
      <c r="J73" s="597"/>
      <c r="K73" s="597"/>
      <c r="L73" s="597"/>
      <c r="M73" s="660"/>
      <c r="N73" s="661"/>
      <c r="O73" s="661"/>
      <c r="P73" s="662"/>
      <c r="Q73" s="600"/>
      <c r="R73" s="597"/>
      <c r="S73" s="597"/>
      <c r="T73" s="597"/>
      <c r="U73" s="597"/>
      <c r="V73" s="597"/>
      <c r="W73" s="597"/>
      <c r="X73" s="595">
        <f>+X72-X71</f>
        <v>0</v>
      </c>
      <c r="Y73" s="599"/>
      <c r="Z73" s="646">
        <f>SUM(M73:Y73)</f>
        <v>0</v>
      </c>
    </row>
    <row r="74" spans="2:29" s="239" customFormat="1" ht="12.75" customHeight="1" thickBot="1">
      <c r="B74" s="432" t="s">
        <v>96</v>
      </c>
      <c r="C74" s="663">
        <f aca="true" t="shared" si="27" ref="C74:Y74">+C71+C61+C51+C22+C32</f>
        <v>420464</v>
      </c>
      <c r="D74" s="664">
        <f t="shared" si="27"/>
        <v>88208</v>
      </c>
      <c r="E74" s="664">
        <f t="shared" si="27"/>
        <v>338155</v>
      </c>
      <c r="F74" s="664">
        <f t="shared" si="27"/>
        <v>846827</v>
      </c>
      <c r="G74" s="664">
        <f>+G71+G61+G51+G22+G32</f>
        <v>62085</v>
      </c>
      <c r="H74" s="664">
        <f t="shared" si="27"/>
        <v>4000</v>
      </c>
      <c r="I74" s="664">
        <f t="shared" si="27"/>
        <v>128655</v>
      </c>
      <c r="J74" s="664">
        <f>+J71+J61+J51+J22+J32</f>
        <v>98654</v>
      </c>
      <c r="K74" s="664">
        <f t="shared" si="27"/>
        <v>232405</v>
      </c>
      <c r="L74" s="665">
        <f>+L71+L61+L51+L22+L32</f>
        <v>1372626</v>
      </c>
      <c r="M74" s="664">
        <f t="shared" si="27"/>
        <v>119312</v>
      </c>
      <c r="N74" s="664">
        <f t="shared" si="27"/>
        <v>32500</v>
      </c>
      <c r="O74" s="664">
        <f t="shared" si="27"/>
        <v>34568</v>
      </c>
      <c r="P74" s="664">
        <f t="shared" si="27"/>
        <v>279106</v>
      </c>
      <c r="Q74" s="663">
        <f>+Q71+Q61+Q51+Q22+Q32</f>
        <v>610114</v>
      </c>
      <c r="R74" s="664">
        <f t="shared" si="27"/>
        <v>51450</v>
      </c>
      <c r="S74" s="664">
        <f t="shared" si="27"/>
        <v>145331</v>
      </c>
      <c r="T74" s="664">
        <f t="shared" si="27"/>
        <v>0</v>
      </c>
      <c r="U74" s="664">
        <f t="shared" si="27"/>
        <v>10054</v>
      </c>
      <c r="V74" s="664">
        <f t="shared" si="27"/>
        <v>150</v>
      </c>
      <c r="W74" s="664">
        <f t="shared" si="27"/>
        <v>12084</v>
      </c>
      <c r="X74" s="664">
        <f t="shared" si="27"/>
        <v>77957</v>
      </c>
      <c r="Y74" s="665">
        <f t="shared" si="27"/>
        <v>0</v>
      </c>
      <c r="Z74" s="666">
        <f>SUM(M74:Y74)</f>
        <v>1372626</v>
      </c>
      <c r="AB74" s="473"/>
      <c r="AC74" s="239">
        <f>SUM(Z57:Z73)</f>
        <v>1937682</v>
      </c>
    </row>
    <row r="75" spans="3:26" ht="12.75" hidden="1">
      <c r="C75" s="203">
        <f>+'[6]4_mell'!D36</f>
        <v>418790</v>
      </c>
      <c r="D75" s="203">
        <f>+'[6]4_mell'!E36</f>
        <v>88045</v>
      </c>
      <c r="E75" s="203">
        <f>+'[6]4_mell'!F36</f>
        <v>335548</v>
      </c>
      <c r="F75" s="204">
        <f>+'[6]4_mell'!G36</f>
        <v>842383</v>
      </c>
      <c r="G75" s="203">
        <f>+'[6]4_mell'!H36</f>
        <v>61523</v>
      </c>
      <c r="H75" s="203">
        <f>+'[6]4_mell'!K36</f>
        <v>4000</v>
      </c>
      <c r="I75" s="203">
        <f>+'[6]4_mell'!I36</f>
        <v>128655</v>
      </c>
      <c r="J75" s="203">
        <f>+'[6]4_mell'!L36</f>
        <v>96159</v>
      </c>
      <c r="K75" s="203">
        <f>+'[6]2_mell'!F25</f>
        <v>232405</v>
      </c>
      <c r="L75" s="204">
        <f>SUM(F75:K75)</f>
        <v>1365125</v>
      </c>
      <c r="M75" s="203">
        <f>+'[6]3_mell'!D33</f>
        <v>117877</v>
      </c>
      <c r="N75" s="204">
        <f>+'[6]1_mell'!F52</f>
        <v>32500</v>
      </c>
      <c r="O75" s="204">
        <f>+'[6]1_mell'!F95</f>
        <v>34406</v>
      </c>
      <c r="P75" s="204">
        <f>+'[6]1_mell'!F51-'[6]1_mell'!F52</f>
        <v>272287</v>
      </c>
      <c r="Q75" s="204">
        <f>+'[6]1_mell'!F24</f>
        <v>609594</v>
      </c>
      <c r="R75" s="204">
        <f>+'[6]1_mell'!F18</f>
        <v>51450</v>
      </c>
      <c r="S75" s="204">
        <f>+'[6]1_mell'!F11+'[6]1_mell'!F14+'[6]1_mell'!F15+'[6]1_mell'!F16+'[6]1_mell'!F17</f>
        <v>145331</v>
      </c>
      <c r="U75" s="204">
        <f>+'[6]1_mell'!F20</f>
        <v>10054</v>
      </c>
      <c r="V75" s="204">
        <f>+'[6]1_mell'!F102</f>
        <v>150</v>
      </c>
      <c r="W75" s="204">
        <f>+'[6]1_mell'!F105</f>
        <v>13519</v>
      </c>
      <c r="X75" s="204">
        <f>+'[6]1_mell'!F107</f>
        <v>77957</v>
      </c>
      <c r="Z75" s="203">
        <f>SUM(M75:Y75)</f>
        <v>1365125</v>
      </c>
    </row>
    <row r="76" ht="12.75" hidden="1">
      <c r="L76" s="204">
        <f>+'[6]2_mell'!F32</f>
        <v>1365125</v>
      </c>
    </row>
    <row r="77" spans="3:26" ht="12.75" hidden="1">
      <c r="C77" s="205">
        <f>+C75-C74</f>
        <v>-1674</v>
      </c>
      <c r="D77" s="205">
        <f aca="true" t="shared" si="28" ref="D77:Z77">+D75-D74</f>
        <v>-163</v>
      </c>
      <c r="E77" s="205">
        <f t="shared" si="28"/>
        <v>-2607</v>
      </c>
      <c r="F77" s="205">
        <f t="shared" si="28"/>
        <v>-4444</v>
      </c>
      <c r="G77" s="205">
        <f t="shared" si="28"/>
        <v>-562</v>
      </c>
      <c r="H77" s="205">
        <f t="shared" si="28"/>
        <v>0</v>
      </c>
      <c r="I77" s="205">
        <f t="shared" si="28"/>
        <v>0</v>
      </c>
      <c r="J77" s="205">
        <f t="shared" si="28"/>
        <v>-2495</v>
      </c>
      <c r="K77" s="205"/>
      <c r="L77" s="205">
        <f t="shared" si="28"/>
        <v>-7501</v>
      </c>
      <c r="M77" s="205">
        <f t="shared" si="28"/>
        <v>-1435</v>
      </c>
      <c r="N77" s="205">
        <f t="shared" si="28"/>
        <v>0</v>
      </c>
      <c r="O77" s="205">
        <f t="shared" si="28"/>
        <v>-162</v>
      </c>
      <c r="P77" s="205">
        <f t="shared" si="28"/>
        <v>-6819</v>
      </c>
      <c r="Q77" s="205">
        <f t="shared" si="28"/>
        <v>-520</v>
      </c>
      <c r="R77" s="205">
        <f t="shared" si="28"/>
        <v>0</v>
      </c>
      <c r="S77" s="205">
        <f t="shared" si="28"/>
        <v>0</v>
      </c>
      <c r="T77" s="205">
        <f t="shared" si="28"/>
        <v>0</v>
      </c>
      <c r="U77" s="205">
        <f t="shared" si="28"/>
        <v>0</v>
      </c>
      <c r="V77" s="205">
        <f t="shared" si="28"/>
        <v>0</v>
      </c>
      <c r="W77" s="205">
        <f t="shared" si="28"/>
        <v>1435</v>
      </c>
      <c r="X77" s="205">
        <f t="shared" si="28"/>
        <v>0</v>
      </c>
      <c r="Y77" s="205">
        <f t="shared" si="28"/>
        <v>0</v>
      </c>
      <c r="Z77" s="205">
        <f t="shared" si="28"/>
        <v>-7501</v>
      </c>
    </row>
    <row r="78" ht="12.75" hidden="1"/>
    <row r="79" spans="12:26" ht="12" customHeight="1">
      <c r="L79" s="205"/>
      <c r="M79" s="204"/>
      <c r="Q79" s="204">
        <v>610114</v>
      </c>
      <c r="R79" s="204"/>
      <c r="S79" s="204">
        <v>145331</v>
      </c>
      <c r="U79" s="204"/>
      <c r="V79" s="204"/>
      <c r="W79" s="204"/>
      <c r="X79" s="204"/>
      <c r="Z79" s="204">
        <f>Z71+Z61+Z51+Z32+Z22</f>
        <v>1372626</v>
      </c>
    </row>
    <row r="80" spans="12:26" ht="12.75">
      <c r="L80" s="204"/>
      <c r="O80" s="205"/>
      <c r="Q80" s="204">
        <f>(Q79-Q74)</f>
        <v>0</v>
      </c>
      <c r="S80" s="205"/>
      <c r="W80" s="204"/>
      <c r="Z80" s="205"/>
    </row>
    <row r="81" spans="11:26" ht="12.75">
      <c r="K81" s="204"/>
      <c r="L81" s="205"/>
      <c r="N81" s="205">
        <f>SUM(M74:P74)-M74-O74</f>
        <v>311606</v>
      </c>
      <c r="O81" s="205"/>
      <c r="R81" s="205"/>
      <c r="Z81" s="205">
        <f>SUM(Z65:Z71)</f>
        <v>1353748</v>
      </c>
    </row>
    <row r="82" spans="12:29" ht="12.75">
      <c r="L82" s="204"/>
      <c r="N82" s="203">
        <v>311606</v>
      </c>
      <c r="P82" s="205">
        <f>N74+P74</f>
        <v>311606</v>
      </c>
      <c r="R82" s="205">
        <f>Q74+R74+S74+U74+V74</f>
        <v>817099</v>
      </c>
      <c r="AC82" s="205">
        <f>AC74-Z74</f>
        <v>565056</v>
      </c>
    </row>
    <row r="83" spans="14:21" ht="12.75">
      <c r="N83" s="205">
        <f>N82-N81</f>
        <v>0</v>
      </c>
      <c r="P83" s="205"/>
      <c r="R83" s="204">
        <v>817099</v>
      </c>
      <c r="T83" s="204"/>
      <c r="U83" s="205"/>
    </row>
    <row r="84" spans="16:19" ht="12.75">
      <c r="P84" s="205"/>
      <c r="R84" s="204">
        <f>R83-R82</f>
        <v>0</v>
      </c>
      <c r="S84" s="204"/>
    </row>
    <row r="85" ht="12.75">
      <c r="H85" s="205"/>
    </row>
    <row r="86" spans="9:24" ht="12.75">
      <c r="I86" s="204">
        <f>SUM(F72:K72)</f>
        <v>676874</v>
      </c>
      <c r="M86" s="204"/>
      <c r="V86" s="205"/>
      <c r="X86" s="205"/>
    </row>
    <row r="87" spans="13:21" ht="12.75">
      <c r="M87" s="205"/>
      <c r="U87" s="205"/>
    </row>
    <row r="88" ht="12.75">
      <c r="R88" s="205"/>
    </row>
    <row r="90" ht="12.75">
      <c r="R90" s="205"/>
    </row>
  </sheetData>
  <sheetProtection/>
  <mergeCells count="9">
    <mergeCell ref="Q36:Y36"/>
    <mergeCell ref="C54:L54"/>
    <mergeCell ref="M54:Z54"/>
    <mergeCell ref="Q55:Y55"/>
    <mergeCell ref="Q5:Y5"/>
    <mergeCell ref="C4:L4"/>
    <mergeCell ref="M4:Z4"/>
    <mergeCell ref="C35:L35"/>
    <mergeCell ref="M35:Z35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61" r:id="rId1"/>
  <headerFooter alignWithMargins="0">
    <oddHeader>&amp;L12. melléklet a 2014. évi 15/2014.(XI.27.) Önkormányzati költségvetési rendelethez&amp;R&amp;D</oddHeader>
    <oddFooter>&amp;R&amp;F</oddFooter>
  </headerFooter>
  <rowBreaks count="2" manualBreakCount="2">
    <brk id="34" max="21" man="1"/>
    <brk id="53" max="2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="75" zoomScaleSheetLayoutView="75" zoomScalePageLayoutView="0" workbookViewId="0" topLeftCell="A1">
      <selection activeCell="J55" sqref="J55"/>
    </sheetView>
  </sheetViews>
  <sheetFormatPr defaultColWidth="9.140625" defaultRowHeight="12.75"/>
  <cols>
    <col min="1" max="1" width="3.57421875" style="49" customWidth="1"/>
    <col min="2" max="2" width="23.7109375" style="49" customWidth="1"/>
    <col min="3" max="3" width="9.140625" style="49" customWidth="1"/>
    <col min="4" max="4" width="11.28125" style="49" bestFit="1" customWidth="1"/>
    <col min="5" max="5" width="10.28125" style="49" bestFit="1" customWidth="1"/>
    <col min="6" max="6" width="10.8515625" style="49" customWidth="1"/>
    <col min="7" max="7" width="12.7109375" style="48" customWidth="1"/>
    <col min="8" max="8" width="10.57421875" style="48" customWidth="1"/>
    <col min="9" max="16384" width="9.140625" style="49" customWidth="1"/>
  </cols>
  <sheetData>
    <row r="1" spans="1:9" ht="12.75">
      <c r="A1" s="351" t="s">
        <v>233</v>
      </c>
      <c r="I1" s="431"/>
    </row>
    <row r="2" spans="1:9" ht="12.75">
      <c r="A2" s="351" t="s">
        <v>424</v>
      </c>
      <c r="I2" s="431"/>
    </row>
    <row r="3" ht="12.75">
      <c r="I3" s="431"/>
    </row>
    <row r="4" spans="1:12" ht="12.75">
      <c r="A4" s="117"/>
      <c r="B4" s="118"/>
      <c r="C4" s="119"/>
      <c r="D4" s="704" t="s">
        <v>425</v>
      </c>
      <c r="E4" s="704"/>
      <c r="F4" s="119"/>
      <c r="G4" s="153"/>
      <c r="H4" s="153"/>
      <c r="I4" s="431"/>
      <c r="J4" s="120"/>
      <c r="K4" s="120"/>
      <c r="L4" s="120"/>
    </row>
    <row r="5" spans="1:12" ht="12.75">
      <c r="A5" s="117"/>
      <c r="B5" s="118"/>
      <c r="C5" s="119"/>
      <c r="E5" s="119"/>
      <c r="F5" s="119"/>
      <c r="G5" s="153"/>
      <c r="H5" s="153"/>
      <c r="I5" s="431"/>
      <c r="J5" s="120"/>
      <c r="K5" s="120"/>
      <c r="L5" s="120"/>
    </row>
    <row r="6" spans="1:12" ht="15">
      <c r="A6" s="120"/>
      <c r="B6" s="120"/>
      <c r="C6" s="705" t="s">
        <v>175</v>
      </c>
      <c r="D6" s="705"/>
      <c r="E6" s="705"/>
      <c r="F6" s="705"/>
      <c r="G6" s="387"/>
      <c r="H6" s="388"/>
      <c r="I6" s="431"/>
      <c r="J6" s="120"/>
      <c r="K6" s="120"/>
      <c r="L6" s="120"/>
    </row>
    <row r="7" spans="1:12" ht="12.75">
      <c r="A7" s="121"/>
      <c r="B7" s="121"/>
      <c r="C7" s="121"/>
      <c r="D7" s="121"/>
      <c r="E7" s="121"/>
      <c r="F7" s="121"/>
      <c r="G7" s="388"/>
      <c r="H7" s="388"/>
      <c r="I7" s="431"/>
      <c r="J7" s="120"/>
      <c r="K7" s="120"/>
      <c r="L7" s="120"/>
    </row>
    <row r="8" spans="1:12" ht="15">
      <c r="A8" s="155" t="s">
        <v>176</v>
      </c>
      <c r="B8" s="121"/>
      <c r="C8" s="121"/>
      <c r="D8" s="121"/>
      <c r="E8" s="121"/>
      <c r="F8" s="121"/>
      <c r="G8" s="388"/>
      <c r="H8" s="388"/>
      <c r="I8" s="431"/>
      <c r="J8" s="120"/>
      <c r="K8" s="120"/>
      <c r="L8" s="120"/>
    </row>
    <row r="9" spans="1:12" ht="18.75" customHeight="1">
      <c r="A9" s="121"/>
      <c r="B9" s="121" t="s">
        <v>3</v>
      </c>
      <c r="C9" s="121"/>
      <c r="D9" s="121"/>
      <c r="E9" s="121"/>
      <c r="F9" s="121"/>
      <c r="G9" s="388">
        <v>8000000</v>
      </c>
      <c r="H9" s="388"/>
      <c r="I9" s="431"/>
      <c r="J9" s="120"/>
      <c r="K9" s="120"/>
      <c r="L9" s="120"/>
    </row>
    <row r="10" spans="1:14" ht="12" customHeight="1" thickBot="1">
      <c r="A10" s="121"/>
      <c r="B10" s="121"/>
      <c r="C10" s="121"/>
      <c r="D10" s="121"/>
      <c r="E10" s="121"/>
      <c r="F10" s="121"/>
      <c r="G10" s="388"/>
      <c r="H10" s="388"/>
      <c r="I10" s="431"/>
      <c r="J10" s="431"/>
      <c r="K10" s="431"/>
      <c r="L10" s="431"/>
      <c r="M10" s="309"/>
      <c r="N10" s="309"/>
    </row>
    <row r="11" spans="1:14" ht="15.75" thickBot="1">
      <c r="A11" s="142" t="s">
        <v>149</v>
      </c>
      <c r="B11" s="159"/>
      <c r="C11" s="159"/>
      <c r="D11" s="159"/>
      <c r="E11" s="159"/>
      <c r="F11" s="159"/>
      <c r="G11" s="389">
        <f>SUM(G8:G10)</f>
        <v>8000000</v>
      </c>
      <c r="H11" s="390">
        <f>G11/1000</f>
        <v>8000</v>
      </c>
      <c r="I11" s="431"/>
      <c r="J11" s="431"/>
      <c r="K11" s="431"/>
      <c r="L11" s="431"/>
      <c r="M11" s="309"/>
      <c r="N11" s="309"/>
    </row>
    <row r="12" spans="1:14" ht="12.75">
      <c r="A12" s="125"/>
      <c r="B12" s="125"/>
      <c r="C12" s="125"/>
      <c r="D12" s="125"/>
      <c r="E12" s="125"/>
      <c r="F12" s="125"/>
      <c r="G12" s="391"/>
      <c r="H12" s="391"/>
      <c r="I12" s="431"/>
      <c r="J12" s="431"/>
      <c r="K12" s="431"/>
      <c r="L12" s="431"/>
      <c r="M12" s="309"/>
      <c r="N12" s="309"/>
    </row>
    <row r="13" spans="1:14" ht="15">
      <c r="A13" s="392" t="s">
        <v>177</v>
      </c>
      <c r="B13" s="392"/>
      <c r="C13" s="126"/>
      <c r="D13" s="126"/>
      <c r="E13" s="126"/>
      <c r="F13" s="126"/>
      <c r="G13" s="129"/>
      <c r="H13" s="129"/>
      <c r="I13" s="431"/>
      <c r="J13" s="431"/>
      <c r="K13" s="431"/>
      <c r="L13" s="431"/>
      <c r="M13" s="309"/>
      <c r="N13" s="309"/>
    </row>
    <row r="14" spans="1:14" ht="14.25">
      <c r="A14" s="126"/>
      <c r="B14" s="126"/>
      <c r="C14" s="126"/>
      <c r="D14" s="126"/>
      <c r="E14" s="126"/>
      <c r="F14" s="126"/>
      <c r="G14" s="129"/>
      <c r="H14" s="129"/>
      <c r="I14" s="431"/>
      <c r="J14" s="431"/>
      <c r="K14" s="431"/>
      <c r="L14" s="431"/>
      <c r="M14" s="309"/>
      <c r="N14" s="309"/>
    </row>
    <row r="15" spans="2:14" ht="15">
      <c r="B15" s="127" t="s">
        <v>178</v>
      </c>
      <c r="C15" s="126"/>
      <c r="D15" s="126"/>
      <c r="E15" s="126"/>
      <c r="F15" s="126"/>
      <c r="G15" s="130">
        <f>SUM(F17:F19)</f>
        <v>3085200</v>
      </c>
      <c r="H15" s="130">
        <f>G15/1000</f>
        <v>3085.2</v>
      </c>
      <c r="I15" s="431"/>
      <c r="J15" s="431"/>
      <c r="K15" s="431"/>
      <c r="L15" s="431"/>
      <c r="M15" s="309"/>
      <c r="N15" s="309"/>
    </row>
    <row r="16" spans="1:14" ht="18" customHeight="1">
      <c r="A16" s="128"/>
      <c r="B16" s="126" t="s">
        <v>179</v>
      </c>
      <c r="C16" s="126"/>
      <c r="D16" s="126"/>
      <c r="E16" s="126"/>
      <c r="F16" s="129"/>
      <c r="I16" s="431"/>
      <c r="J16" s="431"/>
      <c r="K16" s="431"/>
      <c r="L16" s="431"/>
      <c r="M16" s="309"/>
      <c r="N16" s="309"/>
    </row>
    <row r="17" spans="1:14" ht="14.25">
      <c r="A17" s="126"/>
      <c r="B17" s="703" t="s">
        <v>426</v>
      </c>
      <c r="C17" s="703"/>
      <c r="D17" s="129">
        <f>97000+33800+93900+32400</f>
        <v>257100</v>
      </c>
      <c r="E17" s="126" t="s">
        <v>180</v>
      </c>
      <c r="F17" s="129">
        <f>D17*1</f>
        <v>257100</v>
      </c>
      <c r="G17" s="131"/>
      <c r="H17" s="129"/>
      <c r="I17" s="431"/>
      <c r="J17" s="431"/>
      <c r="K17" s="431"/>
      <c r="L17" s="431"/>
      <c r="M17" s="309"/>
      <c r="N17" s="309"/>
    </row>
    <row r="18" spans="1:14" ht="14.25">
      <c r="A18" s="126"/>
      <c r="B18" s="706" t="s">
        <v>427</v>
      </c>
      <c r="C18" s="707"/>
      <c r="D18" s="129">
        <f>+'[4]2014 bérek'!J48+'[4]2014 bérek'!J49</f>
        <v>257100</v>
      </c>
      <c r="E18" s="132" t="s">
        <v>181</v>
      </c>
      <c r="F18" s="129">
        <f>D18*11</f>
        <v>2828100</v>
      </c>
      <c r="G18" s="131"/>
      <c r="H18" s="129"/>
      <c r="I18" s="431"/>
      <c r="J18" s="431"/>
      <c r="K18" s="431"/>
      <c r="L18" s="431"/>
      <c r="M18" s="309"/>
      <c r="N18" s="309"/>
    </row>
    <row r="19" spans="1:14" ht="14.25">
      <c r="A19" s="126"/>
      <c r="B19" s="703"/>
      <c r="C19" s="703"/>
      <c r="D19" s="126"/>
      <c r="E19" s="126"/>
      <c r="F19" s="133"/>
      <c r="G19" s="129"/>
      <c r="H19" s="133"/>
      <c r="I19" s="431"/>
      <c r="J19" s="431"/>
      <c r="K19" s="431"/>
      <c r="L19" s="431"/>
      <c r="M19" s="309"/>
      <c r="N19" s="309"/>
    </row>
    <row r="20" spans="2:14" ht="15">
      <c r="B20" s="393" t="s">
        <v>182</v>
      </c>
      <c r="C20" s="393"/>
      <c r="D20" s="132"/>
      <c r="E20" s="132"/>
      <c r="F20" s="133"/>
      <c r="G20" s="134">
        <f>SUM(G21:G21)</f>
        <v>505536</v>
      </c>
      <c r="H20" s="135">
        <f>G20/1000</f>
        <v>505.536</v>
      </c>
      <c r="J20" s="431"/>
      <c r="K20" s="431"/>
      <c r="L20" s="431"/>
      <c r="M20" s="309"/>
      <c r="N20" s="309"/>
    </row>
    <row r="21" spans="1:14" ht="18.75" customHeight="1">
      <c r="A21" s="128"/>
      <c r="B21" s="132" t="s">
        <v>183</v>
      </c>
      <c r="C21" s="132"/>
      <c r="D21" s="132"/>
      <c r="E21" s="132"/>
      <c r="F21" s="133"/>
      <c r="G21" s="135">
        <f>SUM(F22:F23)</f>
        <v>505536</v>
      </c>
      <c r="H21" s="135"/>
      <c r="J21" s="431"/>
      <c r="K21" s="431"/>
      <c r="L21" s="431"/>
      <c r="M21" s="309"/>
      <c r="N21" s="309"/>
    </row>
    <row r="22" spans="1:14" ht="14.25">
      <c r="A22" s="137"/>
      <c r="B22" s="83" t="s">
        <v>428</v>
      </c>
      <c r="C22" s="83"/>
      <c r="D22" s="83"/>
      <c r="E22" s="83"/>
      <c r="F22" s="64">
        <f>22*36*9*12</f>
        <v>85536</v>
      </c>
      <c r="G22" s="131"/>
      <c r="H22" s="64"/>
      <c r="J22" s="431"/>
      <c r="K22" s="431"/>
      <c r="L22" s="431"/>
      <c r="M22" s="309"/>
      <c r="N22" s="309"/>
    </row>
    <row r="23" spans="1:14" ht="14.25">
      <c r="A23" s="126"/>
      <c r="B23" s="136" t="s">
        <v>184</v>
      </c>
      <c r="C23" s="136"/>
      <c r="D23" s="136"/>
      <c r="E23" s="132"/>
      <c r="F23" s="133">
        <v>420000</v>
      </c>
      <c r="G23" s="133"/>
      <c r="H23" s="133"/>
      <c r="J23" s="431"/>
      <c r="K23" s="431"/>
      <c r="L23" s="431"/>
      <c r="M23" s="309"/>
      <c r="N23" s="309"/>
    </row>
    <row r="24" spans="1:14" ht="14.25">
      <c r="A24" s="126"/>
      <c r="B24" s="136"/>
      <c r="C24" s="136"/>
      <c r="D24" s="136"/>
      <c r="E24" s="132"/>
      <c r="F24" s="133"/>
      <c r="G24" s="133"/>
      <c r="H24" s="133"/>
      <c r="J24" s="431"/>
      <c r="K24" s="431"/>
      <c r="L24" s="431"/>
      <c r="M24" s="309"/>
      <c r="N24" s="309"/>
    </row>
    <row r="25" spans="2:14" ht="15">
      <c r="B25" s="128" t="s">
        <v>429</v>
      </c>
      <c r="C25" s="138"/>
      <c r="D25" s="139"/>
      <c r="E25" s="126"/>
      <c r="F25" s="129"/>
      <c r="G25" s="135">
        <f>E27</f>
        <v>960000</v>
      </c>
      <c r="H25" s="140">
        <f>G25/1000</f>
        <v>960</v>
      </c>
      <c r="J25" s="431"/>
      <c r="K25" s="431"/>
      <c r="L25" s="431"/>
      <c r="M25" s="309"/>
      <c r="N25" s="309"/>
    </row>
    <row r="26" spans="1:14" ht="15">
      <c r="A26" s="136"/>
      <c r="B26" s="136" t="s">
        <v>185</v>
      </c>
      <c r="C26" s="136"/>
      <c r="D26" s="132"/>
      <c r="E26" s="141"/>
      <c r="F26" s="132"/>
      <c r="G26" s="134"/>
      <c r="H26" s="133"/>
      <c r="J26" s="431"/>
      <c r="K26" s="431"/>
      <c r="L26" s="431"/>
      <c r="M26" s="309"/>
      <c r="N26" s="309"/>
    </row>
    <row r="27" spans="1:14" ht="12.75" customHeight="1">
      <c r="A27" s="136"/>
      <c r="B27" s="136" t="s">
        <v>186</v>
      </c>
      <c r="C27" s="136"/>
      <c r="D27" s="132"/>
      <c r="E27" s="141">
        <f>80000*12</f>
        <v>960000</v>
      </c>
      <c r="F27" s="132"/>
      <c r="G27" s="131"/>
      <c r="H27" s="133"/>
      <c r="J27" s="431"/>
      <c r="K27" s="431"/>
      <c r="L27" s="431"/>
      <c r="M27" s="309"/>
      <c r="N27" s="309"/>
    </row>
    <row r="28" spans="1:14" ht="13.5" thickBot="1">
      <c r="A28" s="121"/>
      <c r="B28" s="119"/>
      <c r="C28" s="119"/>
      <c r="D28" s="119"/>
      <c r="E28" s="119"/>
      <c r="F28" s="119"/>
      <c r="G28" s="153"/>
      <c r="H28" s="153"/>
      <c r="J28" s="431"/>
      <c r="K28" s="431"/>
      <c r="L28" s="431"/>
      <c r="M28" s="309"/>
      <c r="N28" s="309"/>
    </row>
    <row r="29" spans="1:12" ht="15.75" thickBot="1">
      <c r="A29" s="142" t="s">
        <v>187</v>
      </c>
      <c r="B29" s="143"/>
      <c r="C29" s="143"/>
      <c r="D29" s="143"/>
      <c r="E29" s="143"/>
      <c r="F29" s="143"/>
      <c r="G29" s="144">
        <f>G15+G20+G25</f>
        <v>4550736</v>
      </c>
      <c r="H29" s="310">
        <f>ROUND(G29/1000,0)</f>
        <v>4551</v>
      </c>
      <c r="I29" s="120"/>
      <c r="J29" s="120"/>
      <c r="K29" s="120"/>
      <c r="L29" s="120"/>
    </row>
    <row r="30" spans="1:12" ht="12.75">
      <c r="A30" s="125"/>
      <c r="B30" s="119"/>
      <c r="C30" s="119"/>
      <c r="D30" s="119"/>
      <c r="E30" s="119"/>
      <c r="F30" s="119"/>
      <c r="G30" s="391"/>
      <c r="H30" s="391"/>
      <c r="I30" s="120"/>
      <c r="J30" s="120"/>
      <c r="K30" s="120"/>
      <c r="L30" s="120"/>
    </row>
    <row r="31" spans="1:12" ht="15">
      <c r="A31" s="394" t="s">
        <v>188</v>
      </c>
      <c r="B31" s="146"/>
      <c r="C31" s="146"/>
      <c r="D31" s="146"/>
      <c r="E31" s="146"/>
      <c r="F31" s="146"/>
      <c r="G31" s="148"/>
      <c r="H31" s="395"/>
      <c r="I31" s="120"/>
      <c r="J31" s="120"/>
      <c r="K31" s="120"/>
      <c r="L31" s="120"/>
    </row>
    <row r="32" spans="1:12" ht="15">
      <c r="A32" s="145"/>
      <c r="B32" s="147"/>
      <c r="C32" s="146"/>
      <c r="D32" s="146"/>
      <c r="E32" s="148"/>
      <c r="F32" s="148"/>
      <c r="G32" s="148"/>
      <c r="H32" s="395"/>
      <c r="I32" s="120"/>
      <c r="J32" s="120"/>
      <c r="K32" s="120"/>
      <c r="L32" s="120"/>
    </row>
    <row r="33" spans="1:12" ht="15">
      <c r="A33" s="149"/>
      <c r="B33" s="396" t="s">
        <v>211</v>
      </c>
      <c r="C33" s="151"/>
      <c r="F33" s="146"/>
      <c r="G33" s="31">
        <f>SUM(G34:G35)</f>
        <v>1066284</v>
      </c>
      <c r="H33" s="134">
        <f>ROUND(G33/1000,0)</f>
        <v>1066</v>
      </c>
      <c r="I33" s="120"/>
      <c r="J33" s="120"/>
      <c r="K33" s="120"/>
      <c r="L33" s="120"/>
    </row>
    <row r="34" spans="1:12" ht="14.25">
      <c r="A34" s="152"/>
      <c r="B34" s="151" t="s">
        <v>430</v>
      </c>
      <c r="C34" s="151"/>
      <c r="D34" s="151">
        <f>+G15</f>
        <v>3085200</v>
      </c>
      <c r="E34" s="151" t="s">
        <v>431</v>
      </c>
      <c r="F34" s="146"/>
      <c r="G34" s="148">
        <f>+D34*27%</f>
        <v>833004</v>
      </c>
      <c r="H34" s="397"/>
      <c r="I34" s="120"/>
      <c r="J34" s="120"/>
      <c r="K34" s="120"/>
      <c r="L34" s="120"/>
    </row>
    <row r="35" spans="1:12" ht="14.25">
      <c r="A35" s="150"/>
      <c r="B35" s="151" t="s">
        <v>432</v>
      </c>
      <c r="C35" s="151"/>
      <c r="D35" s="151">
        <f>+G25</f>
        <v>960000</v>
      </c>
      <c r="E35" s="151" t="s">
        <v>433</v>
      </c>
      <c r="F35" s="146"/>
      <c r="G35" s="148">
        <f>+D35*90%*27%</f>
        <v>233280.00000000003</v>
      </c>
      <c r="H35" s="397"/>
      <c r="I35" s="120"/>
      <c r="J35" s="120"/>
      <c r="K35" s="120"/>
      <c r="L35" s="120"/>
    </row>
    <row r="36" spans="1:12" ht="13.5" thickBot="1">
      <c r="A36" s="121"/>
      <c r="B36" s="119"/>
      <c r="C36" s="119"/>
      <c r="D36" s="119"/>
      <c r="E36" s="119"/>
      <c r="F36" s="119"/>
      <c r="G36" s="153"/>
      <c r="H36" s="153"/>
      <c r="I36" s="120"/>
      <c r="J36" s="120"/>
      <c r="K36" s="120"/>
      <c r="L36" s="120"/>
    </row>
    <row r="37" spans="1:12" ht="15.75" thickBot="1">
      <c r="A37" s="142" t="s">
        <v>434</v>
      </c>
      <c r="B37" s="143"/>
      <c r="C37" s="154"/>
      <c r="D37" s="154"/>
      <c r="E37" s="154"/>
      <c r="F37" s="154"/>
      <c r="G37" s="144">
        <f>+G33</f>
        <v>1066284</v>
      </c>
      <c r="H37" s="310">
        <f>ROUND(G37/1000,0)</f>
        <v>1066</v>
      </c>
      <c r="I37" s="120"/>
      <c r="J37" s="120"/>
      <c r="K37" s="120"/>
      <c r="L37" s="120"/>
    </row>
    <row r="38" spans="1:12" ht="12.75">
      <c r="A38" s="121"/>
      <c r="B38" s="121"/>
      <c r="C38" s="121"/>
      <c r="D38" s="121"/>
      <c r="E38" s="121"/>
      <c r="F38" s="121"/>
      <c r="G38" s="153"/>
      <c r="H38" s="153"/>
      <c r="I38" s="120"/>
      <c r="J38" s="120"/>
      <c r="K38" s="120"/>
      <c r="L38" s="120"/>
    </row>
    <row r="39" spans="1:12" ht="15">
      <c r="A39" s="155" t="s">
        <v>189</v>
      </c>
      <c r="B39" s="156"/>
      <c r="C39" s="126"/>
      <c r="D39" s="126"/>
      <c r="E39" s="126"/>
      <c r="F39" s="126"/>
      <c r="G39" s="129"/>
      <c r="H39" s="129"/>
      <c r="I39" s="120"/>
      <c r="J39" s="120"/>
      <c r="K39" s="120"/>
      <c r="L39" s="120"/>
    </row>
    <row r="40" spans="1:12" ht="14.25">
      <c r="A40" s="126"/>
      <c r="B40" s="132"/>
      <c r="C40" s="132"/>
      <c r="D40" s="132"/>
      <c r="E40" s="132"/>
      <c r="F40" s="132"/>
      <c r="G40" s="133"/>
      <c r="H40" s="133"/>
      <c r="I40" s="120"/>
      <c r="J40" s="120"/>
      <c r="K40" s="120"/>
      <c r="L40" s="120"/>
    </row>
    <row r="41" spans="1:12" ht="15">
      <c r="A41" s="128"/>
      <c r="B41" s="132" t="s">
        <v>190</v>
      </c>
      <c r="C41" s="132"/>
      <c r="D41" s="132"/>
      <c r="E41" s="132"/>
      <c r="F41" s="132"/>
      <c r="G41" s="133">
        <v>50000</v>
      </c>
      <c r="H41" s="133">
        <f>G41/1000</f>
        <v>50</v>
      </c>
      <c r="I41" s="120"/>
      <c r="J41" s="120"/>
      <c r="K41" s="120"/>
      <c r="L41" s="120"/>
    </row>
    <row r="42" spans="1:12" ht="15">
      <c r="A42" s="128"/>
      <c r="B42" s="132" t="s">
        <v>191</v>
      </c>
      <c r="C42" s="132"/>
      <c r="D42" s="132"/>
      <c r="E42" s="132"/>
      <c r="F42" s="132"/>
      <c r="G42" s="133">
        <v>20000</v>
      </c>
      <c r="H42" s="133">
        <f>G42/1000</f>
        <v>20</v>
      </c>
      <c r="I42" s="120"/>
      <c r="J42" s="120"/>
      <c r="K42" s="120"/>
      <c r="L42" s="120"/>
    </row>
    <row r="43" spans="1:12" ht="15">
      <c r="A43" s="128"/>
      <c r="B43" s="132" t="s">
        <v>192</v>
      </c>
      <c r="C43" s="132"/>
      <c r="D43" s="132"/>
      <c r="E43" s="132"/>
      <c r="F43" s="132"/>
      <c r="G43" s="133">
        <v>32000</v>
      </c>
      <c r="H43" s="133">
        <f>G43/1000</f>
        <v>32</v>
      </c>
      <c r="I43" s="120"/>
      <c r="J43" s="120"/>
      <c r="K43" s="120"/>
      <c r="L43" s="120"/>
    </row>
    <row r="44" spans="1:12" ht="15">
      <c r="A44" s="128"/>
      <c r="B44" s="132" t="s">
        <v>193</v>
      </c>
      <c r="C44" s="132"/>
      <c r="D44" s="132"/>
      <c r="E44" s="132"/>
      <c r="F44" s="132"/>
      <c r="G44" s="133">
        <f>SUM(E45:E46)</f>
        <v>288000</v>
      </c>
      <c r="H44" s="133">
        <f>G44/1000</f>
        <v>288</v>
      </c>
      <c r="I44" s="120"/>
      <c r="J44" s="120"/>
      <c r="K44" s="120"/>
      <c r="L44" s="120"/>
    </row>
    <row r="45" spans="1:12" ht="14.25">
      <c r="A45" s="126"/>
      <c r="B45" s="157" t="s">
        <v>194</v>
      </c>
      <c r="C45" s="132" t="s">
        <v>435</v>
      </c>
      <c r="D45" s="132"/>
      <c r="E45" s="132">
        <f>3*4000*12</f>
        <v>144000</v>
      </c>
      <c r="F45" s="132"/>
      <c r="G45" s="133"/>
      <c r="H45" s="133"/>
      <c r="I45" s="120"/>
      <c r="J45" s="120"/>
      <c r="K45" s="120"/>
      <c r="L45" s="120"/>
    </row>
    <row r="46" spans="1:12" ht="15">
      <c r="A46" s="127"/>
      <c r="B46" s="157" t="s">
        <v>195</v>
      </c>
      <c r="C46" s="132" t="s">
        <v>196</v>
      </c>
      <c r="D46" s="132"/>
      <c r="E46" s="132">
        <f>12*12000</f>
        <v>144000</v>
      </c>
      <c r="F46" s="132"/>
      <c r="G46" s="133"/>
      <c r="H46" s="133"/>
      <c r="I46" s="120"/>
      <c r="J46" s="120"/>
      <c r="K46" s="120"/>
      <c r="L46" s="120"/>
    </row>
    <row r="47" spans="1:12" ht="15">
      <c r="A47" s="127"/>
      <c r="B47" s="132" t="s">
        <v>197</v>
      </c>
      <c r="C47" s="132"/>
      <c r="D47" s="132"/>
      <c r="E47" s="132"/>
      <c r="F47" s="132"/>
      <c r="G47" s="133">
        <v>150000</v>
      </c>
      <c r="H47" s="133">
        <f aca="true" t="shared" si="0" ref="H47:H52">G47/1000</f>
        <v>150</v>
      </c>
      <c r="I47" s="120"/>
      <c r="J47" s="120"/>
      <c r="K47" s="120"/>
      <c r="L47" s="120"/>
    </row>
    <row r="48" spans="1:12" ht="15">
      <c r="A48" s="127"/>
      <c r="B48" s="132" t="s">
        <v>198</v>
      </c>
      <c r="C48" s="132"/>
      <c r="D48" s="132"/>
      <c r="E48" s="132"/>
      <c r="F48" s="132"/>
      <c r="G48" s="133">
        <v>80000</v>
      </c>
      <c r="H48" s="133">
        <f t="shared" si="0"/>
        <v>80</v>
      </c>
      <c r="I48" s="120"/>
      <c r="J48" s="120"/>
      <c r="K48" s="120"/>
      <c r="L48" s="120"/>
    </row>
    <row r="49" spans="1:12" ht="15">
      <c r="A49" s="127"/>
      <c r="B49" s="132" t="s">
        <v>199</v>
      </c>
      <c r="C49" s="132"/>
      <c r="D49" s="132"/>
      <c r="E49" s="132"/>
      <c r="F49" s="132"/>
      <c r="G49" s="133">
        <v>50000</v>
      </c>
      <c r="H49" s="133">
        <f t="shared" si="0"/>
        <v>50</v>
      </c>
      <c r="I49" s="120"/>
      <c r="J49" s="120"/>
      <c r="K49" s="120"/>
      <c r="L49" s="120"/>
    </row>
    <row r="50" spans="1:12" ht="15">
      <c r="A50" s="127"/>
      <c r="B50" s="132" t="s">
        <v>200</v>
      </c>
      <c r="C50" s="132"/>
      <c r="D50" s="132"/>
      <c r="E50" s="132"/>
      <c r="F50" s="132"/>
      <c r="G50" s="133">
        <f>298000-56693</f>
        <v>241307</v>
      </c>
      <c r="H50" s="133">
        <f t="shared" si="0"/>
        <v>241.307</v>
      </c>
      <c r="I50" s="120"/>
      <c r="J50" s="120"/>
      <c r="K50" s="120"/>
      <c r="L50" s="120"/>
    </row>
    <row r="51" spans="1:12" ht="15">
      <c r="A51" s="127"/>
      <c r="B51" s="132" t="s">
        <v>201</v>
      </c>
      <c r="C51" s="132"/>
      <c r="D51" s="132"/>
      <c r="E51" s="132"/>
      <c r="F51" s="132"/>
      <c r="G51" s="133">
        <v>60000</v>
      </c>
      <c r="H51" s="133">
        <f t="shared" si="0"/>
        <v>60</v>
      </c>
      <c r="I51" s="120"/>
      <c r="J51" s="120"/>
      <c r="K51" s="120"/>
      <c r="L51" s="120"/>
    </row>
    <row r="52" spans="1:12" ht="15">
      <c r="A52" s="127"/>
      <c r="B52" s="132" t="s">
        <v>202</v>
      </c>
      <c r="C52" s="132"/>
      <c r="D52" s="132"/>
      <c r="E52" s="132"/>
      <c r="F52" s="132"/>
      <c r="G52" s="133">
        <f>SUM(F53:F57)</f>
        <v>1064000</v>
      </c>
      <c r="H52" s="133">
        <f t="shared" si="0"/>
        <v>1064</v>
      </c>
      <c r="I52" s="120"/>
      <c r="J52" s="120"/>
      <c r="K52" s="120"/>
      <c r="L52" s="120"/>
    </row>
    <row r="53" spans="1:12" ht="14.25">
      <c r="A53" s="126"/>
      <c r="B53" s="398" t="s">
        <v>203</v>
      </c>
      <c r="C53" s="399">
        <v>50000</v>
      </c>
      <c r="D53" s="399" t="s">
        <v>436</v>
      </c>
      <c r="E53" s="132"/>
      <c r="F53" s="133">
        <f>50000*12</f>
        <v>600000</v>
      </c>
      <c r="H53" s="133"/>
      <c r="I53" s="120"/>
      <c r="J53" s="120"/>
      <c r="K53" s="120"/>
      <c r="L53" s="120"/>
    </row>
    <row r="54" spans="1:12" ht="14.25">
      <c r="A54" s="126"/>
      <c r="B54" s="398" t="s">
        <v>204</v>
      </c>
      <c r="C54" s="399">
        <v>40000</v>
      </c>
      <c r="D54" s="399" t="s">
        <v>437</v>
      </c>
      <c r="E54" s="132"/>
      <c r="F54" s="133">
        <f>40000*6</f>
        <v>240000</v>
      </c>
      <c r="H54" s="133"/>
      <c r="I54" s="120"/>
      <c r="J54" s="120"/>
      <c r="K54" s="120"/>
      <c r="L54" s="120"/>
    </row>
    <row r="55" spans="1:12" ht="14.25">
      <c r="A55" s="126"/>
      <c r="B55" s="398" t="s">
        <v>205</v>
      </c>
      <c r="C55" s="399"/>
      <c r="D55" s="399"/>
      <c r="E55" s="132"/>
      <c r="F55" s="133">
        <v>100000</v>
      </c>
      <c r="H55" s="133"/>
      <c r="I55" s="120"/>
      <c r="J55" s="120"/>
      <c r="K55" s="120"/>
      <c r="L55" s="120"/>
    </row>
    <row r="56" spans="1:12" ht="14.25">
      <c r="A56" s="126"/>
      <c r="B56" s="398" t="s">
        <v>206</v>
      </c>
      <c r="C56" s="399"/>
      <c r="D56" s="399"/>
      <c r="E56" s="132"/>
      <c r="F56" s="132">
        <v>100000</v>
      </c>
      <c r="G56" s="133"/>
      <c r="H56" s="133"/>
      <c r="I56" s="120"/>
      <c r="J56" s="120"/>
      <c r="K56" s="120"/>
      <c r="L56" s="120"/>
    </row>
    <row r="57" spans="1:12" ht="14.25">
      <c r="A57" s="126"/>
      <c r="B57" s="398" t="s">
        <v>438</v>
      </c>
      <c r="C57" s="399">
        <v>12000</v>
      </c>
      <c r="D57" s="399" t="s">
        <v>439</v>
      </c>
      <c r="E57" s="132"/>
      <c r="F57" s="132">
        <f>+C57*2</f>
        <v>24000</v>
      </c>
      <c r="G57" s="133"/>
      <c r="H57" s="133"/>
      <c r="I57" s="120"/>
      <c r="J57" s="120"/>
      <c r="K57" s="120"/>
      <c r="L57" s="120"/>
    </row>
    <row r="58" spans="1:12" ht="15">
      <c r="A58" s="128"/>
      <c r="B58" s="132" t="s">
        <v>207</v>
      </c>
      <c r="C58" s="132"/>
      <c r="D58" s="132"/>
      <c r="E58" s="132"/>
      <c r="F58" s="132"/>
      <c r="G58" s="133">
        <f>170000+36835-43655</f>
        <v>163180</v>
      </c>
      <c r="H58" s="133">
        <f>G58/1000</f>
        <v>163.18</v>
      </c>
      <c r="I58" s="120"/>
      <c r="J58" s="120"/>
      <c r="K58" s="120"/>
      <c r="L58" s="120"/>
    </row>
    <row r="59" spans="1:12" ht="16.5" customHeight="1">
      <c r="A59" s="128"/>
      <c r="B59" s="132" t="s">
        <v>208</v>
      </c>
      <c r="C59" s="132"/>
      <c r="D59" s="132"/>
      <c r="E59" s="132"/>
      <c r="F59" s="132"/>
      <c r="G59" s="133">
        <v>184493</v>
      </c>
      <c r="H59" s="133">
        <f>G59/1000</f>
        <v>184.493</v>
      </c>
      <c r="I59" s="120"/>
      <c r="J59" s="120"/>
      <c r="K59" s="120"/>
      <c r="L59" s="120"/>
    </row>
    <row r="60" spans="1:12" ht="15" thickBot="1">
      <c r="A60" s="126"/>
      <c r="B60" s="132"/>
      <c r="C60" s="132"/>
      <c r="D60" s="132"/>
      <c r="E60" s="132"/>
      <c r="F60" s="132"/>
      <c r="G60" s="133"/>
      <c r="H60" s="133"/>
      <c r="I60" s="120"/>
      <c r="J60" s="120"/>
      <c r="K60" s="120"/>
      <c r="L60" s="120"/>
    </row>
    <row r="61" spans="1:12" ht="15.75" thickBot="1">
      <c r="A61" s="142" t="s">
        <v>209</v>
      </c>
      <c r="B61" s="154"/>
      <c r="C61" s="154"/>
      <c r="D61" s="154"/>
      <c r="E61" s="154"/>
      <c r="F61" s="154"/>
      <c r="G61" s="144">
        <f>SUM(G41:G59)</f>
        <v>2382980</v>
      </c>
      <c r="H61" s="310">
        <f>ROUND(G61/1000,0)</f>
        <v>2383</v>
      </c>
      <c r="I61" s="120"/>
      <c r="J61" s="120"/>
      <c r="K61" s="120"/>
      <c r="L61" s="120"/>
    </row>
    <row r="62" spans="1:12" ht="15" thickBot="1">
      <c r="A62" s="126"/>
      <c r="B62" s="132"/>
      <c r="C62" s="132"/>
      <c r="D62" s="132"/>
      <c r="E62" s="132"/>
      <c r="F62" s="132"/>
      <c r="G62" s="133"/>
      <c r="H62" s="133"/>
      <c r="I62" s="120"/>
      <c r="J62" s="120"/>
      <c r="K62" s="120"/>
      <c r="L62" s="120"/>
    </row>
    <row r="63" spans="1:12" ht="28.5" customHeight="1" thickBot="1">
      <c r="A63" s="122" t="s">
        <v>210</v>
      </c>
      <c r="B63" s="123"/>
      <c r="C63" s="123"/>
      <c r="D63" s="123"/>
      <c r="E63" s="123"/>
      <c r="F63" s="123"/>
      <c r="G63" s="124">
        <f>G61+G37+G29</f>
        <v>8000000</v>
      </c>
      <c r="H63" s="311">
        <f>H61+H37+H29</f>
        <v>8000</v>
      </c>
      <c r="I63" s="120"/>
      <c r="J63" s="120"/>
      <c r="K63" s="120"/>
      <c r="L63" s="120"/>
    </row>
    <row r="64" spans="9:12" ht="12.75">
      <c r="I64" s="120"/>
      <c r="J64" s="120"/>
      <c r="K64" s="120"/>
      <c r="L64" s="120"/>
    </row>
    <row r="65" spans="9:12" ht="12.75">
      <c r="I65" s="120"/>
      <c r="J65" s="120"/>
      <c r="K65" s="120"/>
      <c r="L65" s="120"/>
    </row>
    <row r="66" spans="2:12" ht="12.75">
      <c r="B66" s="49" t="s">
        <v>212</v>
      </c>
      <c r="G66" s="48">
        <f>+G11-G63</f>
        <v>0</v>
      </c>
      <c r="H66" s="48">
        <f>+G66/1.27</f>
        <v>0</v>
      </c>
      <c r="I66" s="120"/>
      <c r="J66" s="120"/>
      <c r="K66" s="120"/>
      <c r="L66" s="120"/>
    </row>
    <row r="67" spans="9:12" ht="12.75">
      <c r="I67" s="120"/>
      <c r="J67" s="120"/>
      <c r="K67" s="120"/>
      <c r="L67" s="120"/>
    </row>
    <row r="68" spans="9:12" ht="12.75">
      <c r="I68" s="120"/>
      <c r="J68" s="120"/>
      <c r="K68" s="120"/>
      <c r="L68" s="120"/>
    </row>
    <row r="69" spans="9:12" ht="12.75">
      <c r="I69" s="120"/>
      <c r="J69" s="120"/>
      <c r="K69" s="120"/>
      <c r="L69" s="120"/>
    </row>
    <row r="70" spans="9:12" ht="12.75">
      <c r="I70" s="120"/>
      <c r="J70" s="120"/>
      <c r="K70" s="120"/>
      <c r="L70" s="120"/>
    </row>
    <row r="71" spans="9:12" ht="12.75">
      <c r="I71" s="120"/>
      <c r="J71" s="120"/>
      <c r="K71" s="120"/>
      <c r="L71" s="120"/>
    </row>
  </sheetData>
  <sheetProtection/>
  <mergeCells count="5">
    <mergeCell ref="B19:C19"/>
    <mergeCell ref="D4:E4"/>
    <mergeCell ref="C6:F6"/>
    <mergeCell ref="B17:C17"/>
    <mergeCell ref="B18:C18"/>
  </mergeCells>
  <printOptions/>
  <pageMargins left="0.75" right="0.75" top="1" bottom="1" header="0.5" footer="0.5"/>
  <pageSetup horizontalDpi="600" verticalDpi="600" orientation="portrait" paperSize="9" scale="77" r:id="rId1"/>
  <headerFooter alignWithMargins="0">
    <oddHeader>&amp;L13. melléklet a 2014. évi 15/2014.(XI.27.) Önkormányzati költségvetési rendelethez&amp;R&amp;D</oddHeader>
    <oddFooter>&amp;R&amp;F</oddFooter>
  </headerFooter>
  <rowBreaks count="1" manualBreakCount="1">
    <brk id="63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5" sqref="C5"/>
    </sheetView>
  </sheetViews>
  <sheetFormatPr defaultColWidth="10.421875" defaultRowHeight="12.75"/>
  <cols>
    <col min="1" max="1" width="7.57421875" style="318" customWidth="1"/>
    <col min="2" max="2" width="56.421875" style="318" customWidth="1"/>
    <col min="3" max="3" width="18.7109375" style="318" customWidth="1"/>
    <col min="4" max="16384" width="10.421875" style="318" customWidth="1"/>
  </cols>
  <sheetData>
    <row r="1" spans="1:3" ht="78.75" customHeight="1">
      <c r="A1" s="708" t="s">
        <v>343</v>
      </c>
      <c r="B1" s="708"/>
      <c r="C1" s="708"/>
    </row>
    <row r="2" spans="1:4" ht="15.75" thickBot="1">
      <c r="A2" s="319"/>
      <c r="B2" s="319"/>
      <c r="C2" s="320" t="s">
        <v>344</v>
      </c>
      <c r="D2" s="321"/>
    </row>
    <row r="3" spans="1:3" ht="32.25" thickBot="1">
      <c r="A3" s="322" t="s">
        <v>300</v>
      </c>
      <c r="B3" s="323" t="s">
        <v>345</v>
      </c>
      <c r="C3" s="324" t="s">
        <v>478</v>
      </c>
    </row>
    <row r="4" spans="1:3" ht="16.5" thickBot="1">
      <c r="A4" s="325" t="s">
        <v>11</v>
      </c>
      <c r="B4" s="326" t="s">
        <v>360</v>
      </c>
      <c r="C4" s="327" t="s">
        <v>13</v>
      </c>
    </row>
    <row r="5" spans="1:3" ht="15.75">
      <c r="A5" s="340" t="s">
        <v>20</v>
      </c>
      <c r="B5" s="328" t="s">
        <v>346</v>
      </c>
      <c r="C5" s="329">
        <f>+Bevétel!E11+Bevétel!E14+Bevétel!E15+Bevétel!E16</f>
        <v>142778</v>
      </c>
    </row>
    <row r="6" spans="1:3" ht="15.75">
      <c r="A6" s="341" t="s">
        <v>21</v>
      </c>
      <c r="B6" s="330" t="s">
        <v>347</v>
      </c>
      <c r="C6" s="331"/>
    </row>
    <row r="7" spans="1:3" ht="15.75">
      <c r="A7" s="341" t="s">
        <v>22</v>
      </c>
      <c r="B7" s="330" t="s">
        <v>348</v>
      </c>
      <c r="C7" s="331">
        <f>+Bevétel!E17</f>
        <v>2500</v>
      </c>
    </row>
    <row r="8" spans="1:3" ht="31.5">
      <c r="A8" s="341" t="s">
        <v>23</v>
      </c>
      <c r="B8" s="332" t="s">
        <v>349</v>
      </c>
      <c r="C8" s="331"/>
    </row>
    <row r="9" spans="1:3" ht="15.75">
      <c r="A9" s="342" t="s">
        <v>24</v>
      </c>
      <c r="B9" s="333" t="s">
        <v>350</v>
      </c>
      <c r="C9" s="331"/>
    </row>
    <row r="10" spans="1:3" ht="15.75">
      <c r="A10" s="341" t="s">
        <v>25</v>
      </c>
      <c r="B10" s="330" t="s">
        <v>351</v>
      </c>
      <c r="C10" s="331"/>
    </row>
    <row r="11" spans="1:3" ht="16.5" thickBot="1">
      <c r="A11" s="342" t="s">
        <v>26</v>
      </c>
      <c r="B11" s="333" t="s">
        <v>352</v>
      </c>
      <c r="C11" s="339"/>
    </row>
    <row r="12" spans="1:3" ht="17.25" thickBot="1">
      <c r="A12" s="343" t="s">
        <v>27</v>
      </c>
      <c r="B12" s="338" t="s">
        <v>353</v>
      </c>
      <c r="C12" s="334">
        <f>SUM(C5:C11)</f>
        <v>145278</v>
      </c>
    </row>
    <row r="13" spans="1:3" ht="39" customHeight="1">
      <c r="A13" s="709" t="s">
        <v>354</v>
      </c>
      <c r="B13" s="709"/>
      <c r="C13" s="709"/>
    </row>
  </sheetData>
  <sheetProtection/>
  <mergeCells count="2">
    <mergeCell ref="A1:C1"/>
    <mergeCell ref="A13:C1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&amp;L14. melléklet a 2014. évi 15/2014.(XI.27.) Önkormányzati költségvetési rendelethez&amp;R&amp;D</oddHeader>
    <oddFooter>&amp;R&amp;F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AT266"/>
  <sheetViews>
    <sheetView zoomScalePageLayoutView="0" workbookViewId="0" topLeftCell="D1">
      <selection activeCell="M37" sqref="M37"/>
    </sheetView>
  </sheetViews>
  <sheetFormatPr defaultColWidth="9.140625" defaultRowHeight="13.5" customHeight="1"/>
  <cols>
    <col min="1" max="1" width="4.00390625" style="523" customWidth="1"/>
    <col min="2" max="2" width="4.7109375" style="523" customWidth="1"/>
    <col min="3" max="3" width="23.7109375" style="523" customWidth="1"/>
    <col min="4" max="4" width="12.140625" style="523" customWidth="1"/>
    <col min="5" max="5" width="12.7109375" style="523" bestFit="1" customWidth="1"/>
    <col min="6" max="6" width="10.140625" style="523" bestFit="1" customWidth="1"/>
    <col min="7" max="7" width="8.28125" style="523" bestFit="1" customWidth="1"/>
    <col min="8" max="10" width="10.140625" style="523" bestFit="1" customWidth="1"/>
    <col min="11" max="11" width="9.8515625" style="523" bestFit="1" customWidth="1"/>
    <col min="12" max="12" width="11.00390625" style="523" bestFit="1" customWidth="1"/>
    <col min="13" max="13" width="10.140625" style="523" bestFit="1" customWidth="1"/>
    <col min="14" max="14" width="11.57421875" style="523" bestFit="1" customWidth="1"/>
    <col min="15" max="15" width="11.140625" style="523" bestFit="1" customWidth="1"/>
    <col min="16" max="16" width="11.140625" style="519" bestFit="1" customWidth="1"/>
    <col min="17" max="17" width="11.7109375" style="522" customWidth="1"/>
    <col min="18" max="19" width="9.7109375" style="522" customWidth="1"/>
    <col min="20" max="20" width="10.57421875" style="522" customWidth="1"/>
    <col min="21" max="21" width="13.00390625" style="522" customWidth="1"/>
    <col min="22" max="22" width="9.28125" style="522" customWidth="1"/>
    <col min="23" max="46" width="9.140625" style="522" customWidth="1"/>
    <col min="47" max="16384" width="9.140625" style="523" customWidth="1"/>
  </cols>
  <sheetData>
    <row r="3" spans="1:16" ht="32.25" customHeight="1">
      <c r="A3" s="521"/>
      <c r="B3" s="710" t="s">
        <v>423</v>
      </c>
      <c r="C3" s="710"/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710"/>
      <c r="P3" s="710"/>
    </row>
    <row r="4" spans="1:16" ht="32.25" customHeight="1" thickBot="1">
      <c r="A4" s="523" t="s">
        <v>11</v>
      </c>
      <c r="B4" s="279" t="s">
        <v>360</v>
      </c>
      <c r="C4" s="279" t="s">
        <v>13</v>
      </c>
      <c r="D4" s="279" t="s">
        <v>14</v>
      </c>
      <c r="E4" s="279" t="s">
        <v>15</v>
      </c>
      <c r="F4" s="279" t="s">
        <v>16</v>
      </c>
      <c r="G4" s="279" t="s">
        <v>17</v>
      </c>
      <c r="H4" s="279" t="s">
        <v>18</v>
      </c>
      <c r="I4" s="279" t="s">
        <v>63</v>
      </c>
      <c r="J4" s="279" t="s">
        <v>367</v>
      </c>
      <c r="K4" s="279" t="s">
        <v>361</v>
      </c>
      <c r="L4" s="279" t="s">
        <v>362</v>
      </c>
      <c r="M4" s="279" t="s">
        <v>364</v>
      </c>
      <c r="N4" s="279" t="s">
        <v>368</v>
      </c>
      <c r="O4" s="279" t="s">
        <v>369</v>
      </c>
      <c r="P4" s="279" t="s">
        <v>370</v>
      </c>
    </row>
    <row r="5" spans="1:16" ht="23.25" customHeight="1" thickBot="1">
      <c r="A5" s="523" t="s">
        <v>20</v>
      </c>
      <c r="B5" s="247" t="s">
        <v>300</v>
      </c>
      <c r="C5" s="248" t="s">
        <v>67</v>
      </c>
      <c r="D5" s="248" t="s">
        <v>301</v>
      </c>
      <c r="E5" s="248" t="s">
        <v>302</v>
      </c>
      <c r="F5" s="248" t="s">
        <v>303</v>
      </c>
      <c r="G5" s="248" t="s">
        <v>304</v>
      </c>
      <c r="H5" s="248" t="s">
        <v>305</v>
      </c>
      <c r="I5" s="248" t="s">
        <v>306</v>
      </c>
      <c r="J5" s="248" t="s">
        <v>307</v>
      </c>
      <c r="K5" s="248" t="s">
        <v>308</v>
      </c>
      <c r="L5" s="248" t="s">
        <v>309</v>
      </c>
      <c r="M5" s="248" t="s">
        <v>310</v>
      </c>
      <c r="N5" s="248" t="s">
        <v>311</v>
      </c>
      <c r="O5" s="248" t="s">
        <v>312</v>
      </c>
      <c r="P5" s="249" t="s">
        <v>313</v>
      </c>
    </row>
    <row r="6" spans="1:16" ht="13.5" customHeight="1" thickBot="1">
      <c r="A6" s="523" t="s">
        <v>21</v>
      </c>
      <c r="B6" s="250" t="s">
        <v>20</v>
      </c>
      <c r="C6" s="251" t="s">
        <v>97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67"/>
    </row>
    <row r="7" spans="1:16" ht="13.5" customHeight="1">
      <c r="A7" s="523" t="s">
        <v>22</v>
      </c>
      <c r="B7" s="253" t="s">
        <v>21</v>
      </c>
      <c r="C7" s="254" t="s">
        <v>334</v>
      </c>
      <c r="D7" s="280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2" t="s">
        <v>335</v>
      </c>
    </row>
    <row r="8" spans="1:18" ht="13.5" customHeight="1">
      <c r="A8" s="523" t="s">
        <v>23</v>
      </c>
      <c r="B8" s="257" t="s">
        <v>22</v>
      </c>
      <c r="C8" s="258" t="s">
        <v>315</v>
      </c>
      <c r="D8" s="283">
        <v>42</v>
      </c>
      <c r="E8" s="283">
        <f>+D8</f>
        <v>42</v>
      </c>
      <c r="F8" s="283">
        <f>+E8+5500</f>
        <v>5542</v>
      </c>
      <c r="G8" s="283">
        <v>42</v>
      </c>
      <c r="H8" s="283">
        <f aca="true" t="shared" si="0" ref="H8:N8">+G8</f>
        <v>42</v>
      </c>
      <c r="I8" s="283">
        <f>3231+42</f>
        <v>3273</v>
      </c>
      <c r="J8" s="283">
        <v>42</v>
      </c>
      <c r="K8" s="283">
        <f t="shared" si="0"/>
        <v>42</v>
      </c>
      <c r="L8" s="283">
        <f t="shared" si="0"/>
        <v>42</v>
      </c>
      <c r="M8" s="283">
        <f t="shared" si="0"/>
        <v>42</v>
      </c>
      <c r="N8" s="283">
        <f t="shared" si="0"/>
        <v>42</v>
      </c>
      <c r="O8" s="283">
        <f>+N8-4</f>
        <v>38</v>
      </c>
      <c r="P8" s="284">
        <f>SUM(D8:O8)</f>
        <v>9231</v>
      </c>
      <c r="Q8" s="522">
        <f>+'Bev.intézményenként'!D23</f>
        <v>9231</v>
      </c>
      <c r="R8" s="522">
        <f>+Q8-P8</f>
        <v>0</v>
      </c>
    </row>
    <row r="9" spans="1:18" ht="22.5" customHeight="1">
      <c r="A9" s="523" t="s">
        <v>24</v>
      </c>
      <c r="B9" s="257" t="s">
        <v>23</v>
      </c>
      <c r="C9" s="261" t="s">
        <v>359</v>
      </c>
      <c r="D9" s="285">
        <f>20064+8403+426-12207+5000+1322</f>
        <v>23008</v>
      </c>
      <c r="E9" s="285">
        <f>28467-12207+5000+1500</f>
        <v>22760</v>
      </c>
      <c r="F9" s="285">
        <f>28467+5000</f>
        <v>33467</v>
      </c>
      <c r="G9" s="285">
        <f>20064+6000</f>
        <v>26064</v>
      </c>
      <c r="H9" s="285">
        <f>+G9</f>
        <v>26064</v>
      </c>
      <c r="I9" s="285">
        <f>+H9+276488</f>
        <v>302552</v>
      </c>
      <c r="J9" s="285">
        <v>26064</v>
      </c>
      <c r="K9" s="285">
        <f>+J9</f>
        <v>26064</v>
      </c>
      <c r="L9" s="285">
        <f>+K9</f>
        <v>26064</v>
      </c>
      <c r="M9" s="285">
        <f>+L9</f>
        <v>26064</v>
      </c>
      <c r="N9" s="285">
        <f>+M9+16881+520+687+1542</f>
        <v>45694</v>
      </c>
      <c r="O9" s="285">
        <v>26249</v>
      </c>
      <c r="P9" s="286">
        <f>SUM(D9:O9)</f>
        <v>610114</v>
      </c>
      <c r="Q9" s="522">
        <f>+Bevétel!F24</f>
        <v>610114</v>
      </c>
      <c r="R9" s="522">
        <f aca="true" t="shared" si="1" ref="R9:R15">+Q9-P9</f>
        <v>0</v>
      </c>
    </row>
    <row r="10" spans="1:18" ht="13.5" customHeight="1">
      <c r="A10" s="523" t="s">
        <v>25</v>
      </c>
      <c r="B10" s="257" t="s">
        <v>24</v>
      </c>
      <c r="C10" s="258" t="s">
        <v>317</v>
      </c>
      <c r="D10" s="283">
        <f>12937</f>
        <v>12937</v>
      </c>
      <c r="E10" s="283">
        <f>+D10</f>
        <v>12937</v>
      </c>
      <c r="F10" s="283">
        <f aca="true" t="shared" si="2" ref="F10:N10">+E10</f>
        <v>12937</v>
      </c>
      <c r="G10" s="283">
        <f>12937+900</f>
        <v>13837</v>
      </c>
      <c r="H10" s="283">
        <f t="shared" si="2"/>
        <v>13837</v>
      </c>
      <c r="I10" s="283">
        <f>+H10+143</f>
        <v>13980</v>
      </c>
      <c r="J10" s="283">
        <v>13837</v>
      </c>
      <c r="K10" s="283">
        <f t="shared" si="2"/>
        <v>13837</v>
      </c>
      <c r="L10" s="283">
        <f t="shared" si="2"/>
        <v>13837</v>
      </c>
      <c r="M10" s="283">
        <f t="shared" si="2"/>
        <v>13837</v>
      </c>
      <c r="N10" s="283">
        <f t="shared" si="2"/>
        <v>13837</v>
      </c>
      <c r="O10" s="283">
        <f>12936-1-7892+692</f>
        <v>5735</v>
      </c>
      <c r="P10" s="284">
        <f aca="true" t="shared" si="3" ref="P10:P28">SUM(D10:O10)</f>
        <v>155385</v>
      </c>
      <c r="Q10" s="522">
        <f>+Bevétel!F20+Bevétel!F17+Bevétel!F16+Bevétel!F15+Bevétel!F14+Bevétel!F11</f>
        <v>155385</v>
      </c>
      <c r="R10" s="522">
        <f t="shared" si="1"/>
        <v>0</v>
      </c>
    </row>
    <row r="11" spans="1:18" ht="13.5" customHeight="1">
      <c r="A11" s="523" t="s">
        <v>26</v>
      </c>
      <c r="B11" s="257" t="s">
        <v>25</v>
      </c>
      <c r="C11" s="258" t="s">
        <v>318</v>
      </c>
      <c r="D11" s="283">
        <v>5000</v>
      </c>
      <c r="E11" s="283">
        <v>10000</v>
      </c>
      <c r="F11" s="283">
        <v>6094</v>
      </c>
      <c r="G11" s="283"/>
      <c r="H11" s="283"/>
      <c r="I11" s="283"/>
      <c r="J11" s="283"/>
      <c r="K11" s="283"/>
      <c r="L11" s="283">
        <v>14137</v>
      </c>
      <c r="M11" s="283"/>
      <c r="N11" s="283">
        <f>22313+26212</f>
        <v>48525</v>
      </c>
      <c r="O11" s="283"/>
      <c r="P11" s="284">
        <f>SUM(D11:O11)</f>
        <v>83756</v>
      </c>
      <c r="Q11" s="522">
        <f>+'Bev.intézményenként'!H23+Bevétel!F18</f>
        <v>83756</v>
      </c>
      <c r="R11" s="522">
        <f t="shared" si="1"/>
        <v>0</v>
      </c>
    </row>
    <row r="12" spans="1:18" ht="13.5" customHeight="1">
      <c r="A12" s="523" t="s">
        <v>27</v>
      </c>
      <c r="B12" s="257" t="s">
        <v>26</v>
      </c>
      <c r="C12" s="258" t="s">
        <v>319</v>
      </c>
      <c r="D12" s="283">
        <f>9845-9092+15000</f>
        <v>15753</v>
      </c>
      <c r="E12" s="283">
        <f>+D12</f>
        <v>15753</v>
      </c>
      <c r="F12" s="283">
        <f>9845+3337+1248+8500</f>
        <v>22930</v>
      </c>
      <c r="G12" s="283">
        <f>13182+10000</f>
        <v>23182</v>
      </c>
      <c r="H12" s="283">
        <f aca="true" t="shared" si="4" ref="H12:M12">+G12</f>
        <v>23182</v>
      </c>
      <c r="I12" s="283">
        <f>+H12-16830</f>
        <v>6352</v>
      </c>
      <c r="J12" s="283">
        <v>23182</v>
      </c>
      <c r="K12" s="283">
        <f t="shared" si="4"/>
        <v>23182</v>
      </c>
      <c r="L12" s="283">
        <f t="shared" si="4"/>
        <v>23182</v>
      </c>
      <c r="M12" s="283">
        <f t="shared" si="4"/>
        <v>23182</v>
      </c>
      <c r="N12" s="283">
        <f>+M12-16881+562+20</f>
        <v>6883</v>
      </c>
      <c r="O12" s="283">
        <v>23197</v>
      </c>
      <c r="P12" s="284">
        <f t="shared" si="3"/>
        <v>229960</v>
      </c>
      <c r="Q12" s="522">
        <f>+'Bev.intézményenként'!F23</f>
        <v>229960</v>
      </c>
      <c r="R12" s="522">
        <f t="shared" si="1"/>
        <v>0</v>
      </c>
    </row>
    <row r="13" spans="1:18" ht="13.5" customHeight="1">
      <c r="A13" s="523" t="s">
        <v>28</v>
      </c>
      <c r="B13" s="257" t="s">
        <v>27</v>
      </c>
      <c r="C13" s="258" t="s">
        <v>320</v>
      </c>
      <c r="D13" s="283">
        <v>13</v>
      </c>
      <c r="E13" s="283">
        <f>+D13</f>
        <v>13</v>
      </c>
      <c r="F13" s="283">
        <f aca="true" t="shared" si="5" ref="F13:N13">+E13</f>
        <v>13</v>
      </c>
      <c r="G13" s="283">
        <f t="shared" si="5"/>
        <v>13</v>
      </c>
      <c r="H13" s="283">
        <f t="shared" si="5"/>
        <v>13</v>
      </c>
      <c r="I13" s="283">
        <f t="shared" si="5"/>
        <v>13</v>
      </c>
      <c r="J13" s="283">
        <f t="shared" si="5"/>
        <v>13</v>
      </c>
      <c r="K13" s="283">
        <f t="shared" si="5"/>
        <v>13</v>
      </c>
      <c r="L13" s="283">
        <f t="shared" si="5"/>
        <v>13</v>
      </c>
      <c r="M13" s="283">
        <f t="shared" si="5"/>
        <v>13</v>
      </c>
      <c r="N13" s="283">
        <f t="shared" si="5"/>
        <v>13</v>
      </c>
      <c r="O13" s="283">
        <f>+N13-6</f>
        <v>7</v>
      </c>
      <c r="P13" s="284">
        <f>SUM(D13:O13)</f>
        <v>150</v>
      </c>
      <c r="Q13" s="522">
        <f>+Bevétel!F105</f>
        <v>150</v>
      </c>
      <c r="R13" s="522">
        <f t="shared" si="1"/>
        <v>0</v>
      </c>
    </row>
    <row r="14" spans="1:18" ht="21" customHeight="1">
      <c r="A14" s="523" t="s">
        <v>29</v>
      </c>
      <c r="B14" s="257" t="s">
        <v>28</v>
      </c>
      <c r="C14" s="263" t="s">
        <v>321</v>
      </c>
      <c r="D14" s="283"/>
      <c r="E14" s="283"/>
      <c r="F14" s="283">
        <v>75457</v>
      </c>
      <c r="G14" s="283"/>
      <c r="H14" s="283"/>
      <c r="I14" s="283"/>
      <c r="J14" s="283"/>
      <c r="K14" s="283"/>
      <c r="L14" s="283"/>
      <c r="M14" s="283"/>
      <c r="N14" s="283"/>
      <c r="O14" s="283"/>
      <c r="P14" s="284">
        <f t="shared" si="3"/>
        <v>75457</v>
      </c>
      <c r="Q14" s="522">
        <f>+'Bev.intézményenként'!E23</f>
        <v>75457</v>
      </c>
      <c r="R14" s="522">
        <f t="shared" si="1"/>
        <v>0</v>
      </c>
    </row>
    <row r="15" spans="1:18" ht="13.5" customHeight="1" thickBot="1">
      <c r="A15" s="523" t="s">
        <v>30</v>
      </c>
      <c r="B15" s="257" t="s">
        <v>29</v>
      </c>
      <c r="C15" s="258" t="s">
        <v>336</v>
      </c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>
        <f>13173-1435-20+282+84</f>
        <v>12084</v>
      </c>
      <c r="P15" s="284">
        <f t="shared" si="3"/>
        <v>12084</v>
      </c>
      <c r="Q15" s="522">
        <f>+Bevétel!F108</f>
        <v>12084</v>
      </c>
      <c r="R15" s="522">
        <f t="shared" si="1"/>
        <v>0</v>
      </c>
    </row>
    <row r="16" spans="1:46" s="519" customFormat="1" ht="13.5" customHeight="1" thickBot="1">
      <c r="A16" s="519" t="s">
        <v>31</v>
      </c>
      <c r="B16" s="250" t="s">
        <v>30</v>
      </c>
      <c r="C16" s="265" t="s">
        <v>322</v>
      </c>
      <c r="D16" s="287">
        <f>SUM(D8:D15)</f>
        <v>56753</v>
      </c>
      <c r="E16" s="287">
        <f aca="true" t="shared" si="6" ref="E16:N16">SUM(E8:E15)</f>
        <v>61505</v>
      </c>
      <c r="F16" s="287">
        <f t="shared" si="6"/>
        <v>156440</v>
      </c>
      <c r="G16" s="287">
        <f t="shared" si="6"/>
        <v>63138</v>
      </c>
      <c r="H16" s="287">
        <f t="shared" si="6"/>
        <v>63138</v>
      </c>
      <c r="I16" s="287">
        <f t="shared" si="6"/>
        <v>326170</v>
      </c>
      <c r="J16" s="287">
        <f t="shared" si="6"/>
        <v>63138</v>
      </c>
      <c r="K16" s="287">
        <f t="shared" si="6"/>
        <v>63138</v>
      </c>
      <c r="L16" s="287">
        <f t="shared" si="6"/>
        <v>77275</v>
      </c>
      <c r="M16" s="287">
        <f t="shared" si="6"/>
        <v>63138</v>
      </c>
      <c r="N16" s="287">
        <f t="shared" si="6"/>
        <v>114994</v>
      </c>
      <c r="O16" s="287">
        <f>SUM(O8:O15)</f>
        <v>67310</v>
      </c>
      <c r="P16" s="287">
        <f>SUM(P8:P15)</f>
        <v>1176137</v>
      </c>
      <c r="Q16" s="538">
        <f>SUM(Q8:Q15)</f>
        <v>1176137</v>
      </c>
      <c r="R16" s="520">
        <f>+'Bev.intézményenként'!L23</f>
        <v>1164053</v>
      </c>
      <c r="S16" s="520">
        <f>+R16-Q16</f>
        <v>-12084</v>
      </c>
      <c r="T16" s="520"/>
      <c r="U16" s="520"/>
      <c r="V16" s="520"/>
      <c r="W16" s="520"/>
      <c r="X16" s="520"/>
      <c r="Y16" s="520"/>
      <c r="Z16" s="520"/>
      <c r="AA16" s="520"/>
      <c r="AB16" s="520"/>
      <c r="AC16" s="520"/>
      <c r="AD16" s="520"/>
      <c r="AE16" s="520"/>
      <c r="AF16" s="520"/>
      <c r="AG16" s="520"/>
      <c r="AH16" s="520"/>
      <c r="AI16" s="520"/>
      <c r="AJ16" s="520"/>
      <c r="AK16" s="520"/>
      <c r="AL16" s="520"/>
      <c r="AM16" s="520"/>
      <c r="AN16" s="520"/>
      <c r="AO16" s="520"/>
      <c r="AP16" s="520"/>
      <c r="AQ16" s="520"/>
      <c r="AR16" s="520"/>
      <c r="AS16" s="520"/>
      <c r="AT16" s="520"/>
    </row>
    <row r="17" spans="1:46" s="519" customFormat="1" ht="13.5" customHeight="1" thickBot="1">
      <c r="A17" s="519" t="s">
        <v>32</v>
      </c>
      <c r="B17" s="250" t="s">
        <v>31</v>
      </c>
      <c r="C17" s="251" t="s">
        <v>125</v>
      </c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67"/>
      <c r="Q17" s="522"/>
      <c r="R17" s="520"/>
      <c r="S17" s="520"/>
      <c r="T17" s="520"/>
      <c r="U17" s="520"/>
      <c r="V17" s="520"/>
      <c r="W17" s="520"/>
      <c r="X17" s="520"/>
      <c r="Y17" s="520"/>
      <c r="Z17" s="520"/>
      <c r="AA17" s="520"/>
      <c r="AB17" s="520"/>
      <c r="AC17" s="520"/>
      <c r="AD17" s="520"/>
      <c r="AE17" s="520"/>
      <c r="AF17" s="520"/>
      <c r="AG17" s="520"/>
      <c r="AH17" s="520"/>
      <c r="AI17" s="520"/>
      <c r="AJ17" s="520"/>
      <c r="AK17" s="520"/>
      <c r="AL17" s="520"/>
      <c r="AM17" s="520"/>
      <c r="AN17" s="520"/>
      <c r="AO17" s="520"/>
      <c r="AP17" s="520"/>
      <c r="AQ17" s="520"/>
      <c r="AR17" s="520"/>
      <c r="AS17" s="520"/>
      <c r="AT17" s="520"/>
    </row>
    <row r="18" spans="1:18" ht="13.5" customHeight="1">
      <c r="A18" s="523" t="s">
        <v>33</v>
      </c>
      <c r="B18" s="268" t="s">
        <v>32</v>
      </c>
      <c r="C18" s="269" t="s">
        <v>215</v>
      </c>
      <c r="D18" s="285">
        <f>253+2758+17876</f>
        <v>20887</v>
      </c>
      <c r="E18" s="285">
        <f>264+2758+21087</f>
        <v>24109</v>
      </c>
      <c r="F18" s="285">
        <f>3590+2758+20302</f>
        <v>26650</v>
      </c>
      <c r="G18" s="285">
        <f>+F18+1+18669</f>
        <v>45320</v>
      </c>
      <c r="H18" s="285">
        <f>3590+2914</f>
        <v>6504</v>
      </c>
      <c r="I18" s="285">
        <f>3590+5828+20</f>
        <v>9438</v>
      </c>
      <c r="J18" s="285">
        <f>3590+7599</f>
        <v>11189</v>
      </c>
      <c r="K18" s="285">
        <f>3590+7599</f>
        <v>11189</v>
      </c>
      <c r="L18" s="285">
        <f>3590+7599</f>
        <v>11189</v>
      </c>
      <c r="M18" s="285">
        <f>3590+4685</f>
        <v>8275</v>
      </c>
      <c r="N18" s="285">
        <f>3590+1774+30</f>
        <v>5394</v>
      </c>
      <c r="O18" s="285">
        <v>3587</v>
      </c>
      <c r="P18" s="286">
        <f>SUM(D18:O18)</f>
        <v>183731</v>
      </c>
      <c r="Q18" s="522">
        <f>+'Kiad.intézményenként'!D22</f>
        <v>183731</v>
      </c>
      <c r="R18" s="522">
        <f aca="true" t="shared" si="7" ref="R18:R25">+Q18-P18</f>
        <v>0</v>
      </c>
    </row>
    <row r="19" spans="1:18" ht="24.75" customHeight="1">
      <c r="A19" s="523" t="s">
        <v>34</v>
      </c>
      <c r="B19" s="257" t="s">
        <v>33</v>
      </c>
      <c r="C19" s="263" t="s">
        <v>323</v>
      </c>
      <c r="D19" s="283">
        <f>65+372+2409</f>
        <v>2846</v>
      </c>
      <c r="E19" s="283">
        <f>67+372+2846</f>
        <v>3285</v>
      </c>
      <c r="F19" s="283">
        <f>516+272+101+2741</f>
        <v>3630</v>
      </c>
      <c r="G19" s="283">
        <f>516+372+2693</f>
        <v>3581</v>
      </c>
      <c r="H19" s="283">
        <f>516+393+2579</f>
        <v>3488</v>
      </c>
      <c r="I19" s="283">
        <f>516+787+5</f>
        <v>1308</v>
      </c>
      <c r="J19" s="283">
        <f>516+1026</f>
        <v>1542</v>
      </c>
      <c r="K19" s="283">
        <f>516+1026</f>
        <v>1542</v>
      </c>
      <c r="L19" s="283">
        <f>516+1026</f>
        <v>1542</v>
      </c>
      <c r="M19" s="283">
        <f>516+632</f>
        <v>1148</v>
      </c>
      <c r="N19" s="283">
        <f>516+236+8</f>
        <v>760</v>
      </c>
      <c r="O19" s="283">
        <v>506</v>
      </c>
      <c r="P19" s="284">
        <f t="shared" si="3"/>
        <v>25178</v>
      </c>
      <c r="Q19" s="522">
        <f>+'Kiad.intézményenként'!E22</f>
        <v>25178</v>
      </c>
      <c r="R19" s="522">
        <f t="shared" si="7"/>
        <v>0</v>
      </c>
    </row>
    <row r="20" spans="1:18" ht="13.5" customHeight="1">
      <c r="A20" s="523" t="s">
        <v>35</v>
      </c>
      <c r="B20" s="257" t="s">
        <v>34</v>
      </c>
      <c r="C20" s="258" t="s">
        <v>251</v>
      </c>
      <c r="D20" s="283">
        <f>473+3500</f>
        <v>3973</v>
      </c>
      <c r="E20" s="283">
        <f>473+5600</f>
        <v>6073</v>
      </c>
      <c r="F20" s="283">
        <f>473+2650+1689</f>
        <v>4812</v>
      </c>
      <c r="G20" s="283">
        <f>1913+2504</f>
        <v>4417</v>
      </c>
      <c r="H20" s="283">
        <v>473</v>
      </c>
      <c r="I20" s="283">
        <f>473+3464+3500+5+9951</f>
        <v>17393</v>
      </c>
      <c r="J20" s="283">
        <f>473+4650+3500</f>
        <v>8623</v>
      </c>
      <c r="K20" s="283">
        <f>473+505+1185</f>
        <v>2163</v>
      </c>
      <c r="L20" s="283">
        <v>1500</v>
      </c>
      <c r="M20" s="283">
        <v>3550</v>
      </c>
      <c r="N20" s="283">
        <f>4560+520</f>
        <v>5080</v>
      </c>
      <c r="O20" s="283">
        <v>12550</v>
      </c>
      <c r="P20" s="284">
        <f t="shared" si="3"/>
        <v>70607</v>
      </c>
      <c r="Q20" s="522">
        <f>+'Kiad.intézményenként'!F22</f>
        <v>70607</v>
      </c>
      <c r="R20" s="522">
        <f t="shared" si="7"/>
        <v>0</v>
      </c>
    </row>
    <row r="21" spans="1:18" ht="13.5" customHeight="1">
      <c r="A21" s="523" t="s">
        <v>36</v>
      </c>
      <c r="B21" s="257" t="s">
        <v>35</v>
      </c>
      <c r="C21" s="258" t="s">
        <v>324</v>
      </c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4">
        <f t="shared" si="3"/>
        <v>0</v>
      </c>
      <c r="R21" s="522">
        <f t="shared" si="7"/>
        <v>0</v>
      </c>
    </row>
    <row r="22" spans="1:18" ht="13.5" customHeight="1">
      <c r="A22" s="523" t="s">
        <v>37</v>
      </c>
      <c r="B22" s="257" t="s">
        <v>36</v>
      </c>
      <c r="C22" s="258" t="s">
        <v>325</v>
      </c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4">
        <f t="shared" si="3"/>
        <v>0</v>
      </c>
      <c r="R22" s="522">
        <f t="shared" si="7"/>
        <v>0</v>
      </c>
    </row>
    <row r="23" spans="1:18" ht="13.5" customHeight="1">
      <c r="A23" s="523" t="s">
        <v>40</v>
      </c>
      <c r="B23" s="257" t="s">
        <v>37</v>
      </c>
      <c r="C23" s="258" t="s">
        <v>326</v>
      </c>
      <c r="D23" s="283">
        <v>2239</v>
      </c>
      <c r="E23" s="283">
        <f>+D23</f>
        <v>2239</v>
      </c>
      <c r="F23" s="283">
        <f>+E23</f>
        <v>2239</v>
      </c>
      <c r="G23" s="283">
        <f>2239+35189</f>
        <v>37428</v>
      </c>
      <c r="H23" s="283">
        <v>2239</v>
      </c>
      <c r="I23" s="283">
        <v>2239</v>
      </c>
      <c r="J23" s="283">
        <f>+I23-1217</f>
        <v>1022</v>
      </c>
      <c r="K23" s="283">
        <v>2239</v>
      </c>
      <c r="L23" s="283">
        <f>+K23</f>
        <v>2239</v>
      </c>
      <c r="M23" s="283">
        <f>+L23</f>
        <v>2239</v>
      </c>
      <c r="N23" s="283">
        <f>+M23+282</f>
        <v>2521</v>
      </c>
      <c r="O23" s="283">
        <v>1820</v>
      </c>
      <c r="P23" s="284">
        <f t="shared" si="3"/>
        <v>60703</v>
      </c>
      <c r="Q23" s="522">
        <f>+'Kiad.intézményenként'!H22</f>
        <v>60703</v>
      </c>
      <c r="R23" s="522">
        <f t="shared" si="7"/>
        <v>0</v>
      </c>
    </row>
    <row r="24" spans="1:18" ht="21" customHeight="1">
      <c r="A24" s="523" t="s">
        <v>42</v>
      </c>
      <c r="B24" s="257" t="s">
        <v>40</v>
      </c>
      <c r="C24" s="263" t="s">
        <v>327</v>
      </c>
      <c r="D24" s="283">
        <v>426</v>
      </c>
      <c r="E24" s="283">
        <f>+D24</f>
        <v>426</v>
      </c>
      <c r="F24" s="283">
        <f aca="true" t="shared" si="8" ref="F24:N24">+E24</f>
        <v>426</v>
      </c>
      <c r="G24" s="283">
        <f t="shared" si="8"/>
        <v>426</v>
      </c>
      <c r="H24" s="283">
        <f t="shared" si="8"/>
        <v>426</v>
      </c>
      <c r="I24" s="283">
        <f t="shared" si="8"/>
        <v>426</v>
      </c>
      <c r="J24" s="283">
        <f t="shared" si="8"/>
        <v>426</v>
      </c>
      <c r="K24" s="283">
        <f>+J24+7175+2871</f>
        <v>10472</v>
      </c>
      <c r="L24" s="283">
        <v>426</v>
      </c>
      <c r="M24" s="283">
        <f t="shared" si="8"/>
        <v>426</v>
      </c>
      <c r="N24" s="283">
        <f t="shared" si="8"/>
        <v>426</v>
      </c>
      <c r="O24" s="283">
        <f>+N24+2</f>
        <v>428</v>
      </c>
      <c r="P24" s="284">
        <f t="shared" si="3"/>
        <v>15160</v>
      </c>
      <c r="Q24" s="522">
        <f>+'Kiad.intézményenként'!I22</f>
        <v>15160</v>
      </c>
      <c r="R24" s="522">
        <f t="shared" si="7"/>
        <v>0</v>
      </c>
    </row>
    <row r="25" spans="1:18" ht="13.5" customHeight="1">
      <c r="A25" s="523" t="s">
        <v>43</v>
      </c>
      <c r="B25" s="257" t="s">
        <v>42</v>
      </c>
      <c r="C25" s="258" t="s">
        <v>448</v>
      </c>
      <c r="D25" s="283"/>
      <c r="E25" s="283">
        <v>1000</v>
      </c>
      <c r="F25" s="283">
        <v>2000</v>
      </c>
      <c r="G25" s="283"/>
      <c r="H25" s="283"/>
      <c r="I25" s="283">
        <v>1000</v>
      </c>
      <c r="J25" s="283"/>
      <c r="K25" s="283"/>
      <c r="L25" s="283"/>
      <c r="M25" s="283"/>
      <c r="N25" s="283"/>
      <c r="O25" s="283"/>
      <c r="P25" s="284">
        <f t="shared" si="3"/>
        <v>4000</v>
      </c>
      <c r="Q25" s="522">
        <f>+'Kiad.intézményenként'!K22</f>
        <v>4000</v>
      </c>
      <c r="R25" s="522">
        <f t="shared" si="7"/>
        <v>0</v>
      </c>
    </row>
    <row r="26" spans="1:17" ht="13.5" customHeight="1">
      <c r="A26" s="523" t="s">
        <v>44</v>
      </c>
      <c r="B26" s="257" t="s">
        <v>43</v>
      </c>
      <c r="C26" s="258" t="s">
        <v>417</v>
      </c>
      <c r="D26" s="283"/>
      <c r="E26" s="283"/>
      <c r="F26" s="283"/>
      <c r="G26" s="283"/>
      <c r="H26" s="283"/>
      <c r="I26" s="283">
        <f>+Kiadás!F25</f>
        <v>232405</v>
      </c>
      <c r="J26" s="283"/>
      <c r="K26" s="283"/>
      <c r="L26" s="283"/>
      <c r="M26" s="283"/>
      <c r="N26" s="283"/>
      <c r="O26" s="283"/>
      <c r="P26" s="284">
        <f t="shared" si="3"/>
        <v>232405</v>
      </c>
      <c r="Q26" s="522">
        <f>+Kiadás!F25</f>
        <v>232405</v>
      </c>
    </row>
    <row r="27" spans="1:19" ht="13.5" customHeight="1">
      <c r="A27" s="523" t="s">
        <v>45</v>
      </c>
      <c r="B27" s="257" t="s">
        <v>44</v>
      </c>
      <c r="C27" s="258" t="s">
        <v>330</v>
      </c>
      <c r="D27" s="283"/>
      <c r="E27" s="283"/>
      <c r="F27" s="283"/>
      <c r="G27" s="283">
        <v>6094</v>
      </c>
      <c r="H27" s="283"/>
      <c r="I27" s="283">
        <v>8101</v>
      </c>
      <c r="J27" s="283"/>
      <c r="K27" s="283"/>
      <c r="L27" s="283"/>
      <c r="M27" s="283">
        <v>13483</v>
      </c>
      <c r="N27" s="283">
        <f>26212-5000</f>
        <v>21212</v>
      </c>
      <c r="O27" s="283">
        <v>36200</v>
      </c>
      <c r="P27" s="284">
        <f t="shared" si="3"/>
        <v>85090</v>
      </c>
      <c r="Q27" s="522">
        <f>+'Kiad.intézményenként'!L22</f>
        <v>85090</v>
      </c>
      <c r="S27" s="522">
        <f>+Q27-P27</f>
        <v>0</v>
      </c>
    </row>
    <row r="28" spans="1:46" s="519" customFormat="1" ht="13.5" customHeight="1" thickBot="1">
      <c r="A28" s="519" t="s">
        <v>46</v>
      </c>
      <c r="B28" s="257" t="s">
        <v>45</v>
      </c>
      <c r="C28" s="258" t="s">
        <v>331</v>
      </c>
      <c r="D28" s="283">
        <f>+'Könyvtár elői.felhaszn.terve'!D16+'Városellátó elői.felhaszn.terve'!D16+'ESZESZ elői.felhaszn.terve'!D16+'PH elői.felhaszn.terve'!D18</f>
        <v>54243</v>
      </c>
      <c r="E28" s="283">
        <f>+'Könyvtár elői.felhaszn.terve'!E16+'Városellátó elői.felhaszn.terve'!E16+'ESZESZ elői.felhaszn.terve'!E16+'PH elői.felhaszn.terve'!E18</f>
        <v>50669</v>
      </c>
      <c r="F28" s="283">
        <f>+'Könyvtár elői.felhaszn.terve'!F16+'Városellátó elői.felhaszn.terve'!F16+'ESZESZ elői.felhaszn.terve'!F16+'PH elői.felhaszn.terve'!F18</f>
        <v>22443</v>
      </c>
      <c r="G28" s="283">
        <f>+'Könyvtár elői.felhaszn.terve'!G16+'Városellátó elői.felhaszn.terve'!G16+'ESZESZ elői.felhaszn.terve'!G16+'PH elői.felhaszn.terve'!G18</f>
        <v>39590</v>
      </c>
      <c r="H28" s="283">
        <f>+'Könyvtár elői.felhaszn.terve'!H16+'Városellátó elői.felhaszn.terve'!H16+'ESZESZ elői.felhaszn.terve'!H16+'PH elői.felhaszn.terve'!H18</f>
        <v>41678</v>
      </c>
      <c r="I28" s="283">
        <f>+'Könyvtár elői.felhaszn.terve'!I16+'Városellátó elői.felhaszn.terve'!I16+'ESZESZ elői.felhaszn.terve'!I16+'PH elői.felhaszn.terve'!I18</f>
        <v>41339</v>
      </c>
      <c r="J28" s="283">
        <f>+'Könyvtár elői.felhaszn.terve'!J16+'Városellátó elői.felhaszn.terve'!J16+'ESZESZ elői.felhaszn.terve'!J16+'PH elői.felhaszn.terve'!J18</f>
        <v>39771</v>
      </c>
      <c r="K28" s="283">
        <f>+'Könyvtár elői.felhaszn.terve'!K16+'Városellátó elői.felhaszn.terve'!K16+'ESZESZ elői.felhaszn.terve'!K16+'PH elői.felhaszn.terve'!K18</f>
        <v>50343</v>
      </c>
      <c r="L28" s="283">
        <f>+'Könyvtár elői.felhaszn.terve'!L16+'Városellátó elői.felhaszn.terve'!L16+'ESZESZ elői.felhaszn.terve'!L16+'PH elői.felhaszn.terve'!L18</f>
        <v>32159</v>
      </c>
      <c r="M28" s="283">
        <f>+'Könyvtár elői.felhaszn.terve'!M16+'Városellátó elői.felhaszn.terve'!M16+'ESZESZ elői.felhaszn.terve'!M16+'PH elői.felhaszn.terve'!M18</f>
        <v>41185</v>
      </c>
      <c r="N28" s="283">
        <f>+'Könyvtár elői.felhaszn.terve'!N16+'Városellátó elői.felhaszn.terve'!N16+'ESZESZ elői.felhaszn.terve'!N16+'PH elői.felhaszn.terve'!N18</f>
        <v>46207</v>
      </c>
      <c r="O28" s="283">
        <f>+'Könyvtár elői.felhaszn.terve'!O16+'Városellátó elői.felhaszn.terve'!O16+'ESZESZ elői.felhaszn.terve'!O16+'PH elői.felhaszn.terve'!O18</f>
        <v>39636</v>
      </c>
      <c r="P28" s="284">
        <f t="shared" si="3"/>
        <v>499263</v>
      </c>
      <c r="Q28" s="522">
        <f>+'Bev.intézményenként'!J33</f>
        <v>499263</v>
      </c>
      <c r="R28" s="520">
        <f>+'Kiad.intézményenként'!M22</f>
        <v>444469</v>
      </c>
      <c r="S28" s="520">
        <f>SUM(Q18:Q27)</f>
        <v>676874</v>
      </c>
      <c r="T28" s="520"/>
      <c r="U28" s="520"/>
      <c r="V28" s="520"/>
      <c r="W28" s="520"/>
      <c r="X28" s="520"/>
      <c r="Y28" s="520"/>
      <c r="Z28" s="520"/>
      <c r="AA28" s="520"/>
      <c r="AB28" s="520"/>
      <c r="AC28" s="520"/>
      <c r="AD28" s="520"/>
      <c r="AE28" s="520"/>
      <c r="AF28" s="520"/>
      <c r="AG28" s="520"/>
      <c r="AH28" s="520"/>
      <c r="AI28" s="520"/>
      <c r="AJ28" s="520"/>
      <c r="AK28" s="520"/>
      <c r="AL28" s="520"/>
      <c r="AM28" s="520"/>
      <c r="AN28" s="520"/>
      <c r="AO28" s="520"/>
      <c r="AP28" s="520"/>
      <c r="AQ28" s="520"/>
      <c r="AR28" s="520"/>
      <c r="AS28" s="520"/>
      <c r="AT28" s="520"/>
    </row>
    <row r="29" spans="1:46" s="519" customFormat="1" ht="13.5" customHeight="1" thickBot="1">
      <c r="A29" s="519" t="s">
        <v>47</v>
      </c>
      <c r="B29" s="271" t="s">
        <v>46</v>
      </c>
      <c r="C29" s="265" t="s">
        <v>332</v>
      </c>
      <c r="D29" s="287">
        <f>SUM(D18:D28)</f>
        <v>84614</v>
      </c>
      <c r="E29" s="287">
        <f aca="true" t="shared" si="9" ref="E29:O29">SUM(E18:E28)</f>
        <v>87801</v>
      </c>
      <c r="F29" s="287">
        <f t="shared" si="9"/>
        <v>62200</v>
      </c>
      <c r="G29" s="287">
        <f t="shared" si="9"/>
        <v>136856</v>
      </c>
      <c r="H29" s="287">
        <f t="shared" si="9"/>
        <v>54808</v>
      </c>
      <c r="I29" s="287">
        <f t="shared" si="9"/>
        <v>313649</v>
      </c>
      <c r="J29" s="287">
        <f t="shared" si="9"/>
        <v>62573</v>
      </c>
      <c r="K29" s="287">
        <f t="shared" si="9"/>
        <v>77948</v>
      </c>
      <c r="L29" s="287">
        <f t="shared" si="9"/>
        <v>49055</v>
      </c>
      <c r="M29" s="287">
        <f t="shared" si="9"/>
        <v>70306</v>
      </c>
      <c r="N29" s="287">
        <f t="shared" si="9"/>
        <v>81600</v>
      </c>
      <c r="O29" s="287">
        <f t="shared" si="9"/>
        <v>94727</v>
      </c>
      <c r="P29" s="288">
        <f>SUM(D29:O29)</f>
        <v>1176137</v>
      </c>
      <c r="Q29" s="522">
        <f>+'Kiad.intézményenként'!M22+'Bev.intézményenként'!J33+Kiadás!F25</f>
        <v>1176137</v>
      </c>
      <c r="R29" s="539">
        <f>+Q28+R27</f>
        <v>499263</v>
      </c>
      <c r="S29" s="520"/>
      <c r="T29" s="520"/>
      <c r="U29" s="520"/>
      <c r="V29" s="520"/>
      <c r="W29" s="520"/>
      <c r="X29" s="520"/>
      <c r="Y29" s="520"/>
      <c r="Z29" s="520"/>
      <c r="AA29" s="520"/>
      <c r="AB29" s="520"/>
      <c r="AC29" s="520"/>
      <c r="AD29" s="520"/>
      <c r="AE29" s="520"/>
      <c r="AF29" s="520"/>
      <c r="AG29" s="520"/>
      <c r="AH29" s="520"/>
      <c r="AI29" s="520"/>
      <c r="AJ29" s="520"/>
      <c r="AK29" s="520"/>
      <c r="AL29" s="520"/>
      <c r="AM29" s="520"/>
      <c r="AN29" s="520"/>
      <c r="AO29" s="520"/>
      <c r="AP29" s="520"/>
      <c r="AQ29" s="520"/>
      <c r="AR29" s="520"/>
      <c r="AS29" s="520"/>
      <c r="AT29" s="520"/>
    </row>
    <row r="30" spans="1:46" s="44" customFormat="1" ht="28.5" customHeight="1" thickBot="1">
      <c r="A30" s="44" t="s">
        <v>48</v>
      </c>
      <c r="B30" s="271" t="s">
        <v>47</v>
      </c>
      <c r="C30" s="273" t="s">
        <v>337</v>
      </c>
      <c r="D30" s="289">
        <f>D16-D29</f>
        <v>-27861</v>
      </c>
      <c r="E30" s="289">
        <f aca="true" t="shared" si="10" ref="E30:N30">E16-E29</f>
        <v>-26296</v>
      </c>
      <c r="F30" s="289">
        <f t="shared" si="10"/>
        <v>94240</v>
      </c>
      <c r="G30" s="289">
        <f t="shared" si="10"/>
        <v>-73718</v>
      </c>
      <c r="H30" s="289">
        <f t="shared" si="10"/>
        <v>8330</v>
      </c>
      <c r="I30" s="289">
        <f t="shared" si="10"/>
        <v>12521</v>
      </c>
      <c r="J30" s="289">
        <f t="shared" si="10"/>
        <v>565</v>
      </c>
      <c r="K30" s="289">
        <f t="shared" si="10"/>
        <v>-14810</v>
      </c>
      <c r="L30" s="289">
        <f t="shared" si="10"/>
        <v>28220</v>
      </c>
      <c r="M30" s="289">
        <f t="shared" si="10"/>
        <v>-7168</v>
      </c>
      <c r="N30" s="289">
        <f t="shared" si="10"/>
        <v>33394</v>
      </c>
      <c r="O30" s="289">
        <f>O16-O29</f>
        <v>-27417</v>
      </c>
      <c r="P30" s="290" t="s">
        <v>335</v>
      </c>
      <c r="Q30" s="6">
        <f>+'Kiad.intézményenként'!M22+'Bev.intézményenként'!J33</f>
        <v>943732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2:16" ht="13.5" customHeight="1">
      <c r="B31" s="522"/>
      <c r="C31" s="522"/>
      <c r="D31" s="522"/>
      <c r="E31" s="522"/>
      <c r="F31" s="522"/>
      <c r="G31" s="522"/>
      <c r="H31" s="522"/>
      <c r="I31" s="522"/>
      <c r="J31" s="522"/>
      <c r="K31" s="522"/>
      <c r="L31" s="522"/>
      <c r="M31" s="522"/>
      <c r="N31" s="522"/>
      <c r="O31" s="522"/>
      <c r="P31" s="520"/>
    </row>
    <row r="32" spans="2:16" ht="13.5" customHeight="1">
      <c r="B32" s="522"/>
      <c r="C32" s="522"/>
      <c r="D32" s="522"/>
      <c r="E32" s="522"/>
      <c r="F32" s="522"/>
      <c r="G32" s="522"/>
      <c r="H32" s="522"/>
      <c r="I32" s="522"/>
      <c r="J32" s="522"/>
      <c r="K32" s="522"/>
      <c r="L32" s="522"/>
      <c r="M32" s="522"/>
      <c r="N32" s="522"/>
      <c r="O32" s="522"/>
      <c r="P32" s="520"/>
    </row>
    <row r="33" spans="2:18" ht="13.5" customHeight="1">
      <c r="B33" s="522"/>
      <c r="C33" s="522"/>
      <c r="D33" s="522"/>
      <c r="E33" s="522"/>
      <c r="F33" s="522"/>
      <c r="G33" s="522"/>
      <c r="H33" s="522"/>
      <c r="I33" s="522"/>
      <c r="J33" s="522"/>
      <c r="K33" s="522"/>
      <c r="L33" s="522"/>
      <c r="M33" s="522"/>
      <c r="N33" s="522"/>
      <c r="O33" s="522"/>
      <c r="P33" s="520"/>
      <c r="R33" s="522">
        <f>+Q28-P28</f>
        <v>0</v>
      </c>
    </row>
    <row r="34" spans="2:16" ht="13.5" customHeight="1">
      <c r="B34" s="522"/>
      <c r="C34" s="522"/>
      <c r="D34" s="522"/>
      <c r="E34" s="522"/>
      <c r="F34" s="522"/>
      <c r="G34" s="522"/>
      <c r="H34" s="522"/>
      <c r="I34" s="522"/>
      <c r="J34" s="522"/>
      <c r="K34" s="522"/>
      <c r="L34" s="522"/>
      <c r="M34" s="522"/>
      <c r="N34" s="522"/>
      <c r="O34" s="522"/>
      <c r="P34" s="520"/>
    </row>
    <row r="35" spans="2:16" ht="13.5" customHeight="1">
      <c r="B35" s="522"/>
      <c r="C35" s="522"/>
      <c r="D35" s="522"/>
      <c r="E35" s="522"/>
      <c r="F35" s="522"/>
      <c r="G35" s="522"/>
      <c r="H35" s="522"/>
      <c r="I35" s="522"/>
      <c r="J35" s="522"/>
      <c r="K35" s="522"/>
      <c r="L35" s="522"/>
      <c r="M35" s="522"/>
      <c r="N35" s="522"/>
      <c r="O35" s="522"/>
      <c r="P35" s="520"/>
    </row>
    <row r="36" spans="2:16" ht="13.5" customHeight="1">
      <c r="B36" s="522"/>
      <c r="C36" s="522"/>
      <c r="D36" s="522"/>
      <c r="E36" s="522"/>
      <c r="F36" s="522"/>
      <c r="G36" s="522"/>
      <c r="H36" s="522"/>
      <c r="I36" s="522"/>
      <c r="J36" s="522"/>
      <c r="K36" s="522"/>
      <c r="L36" s="522"/>
      <c r="M36" s="522"/>
      <c r="N36" s="522"/>
      <c r="O36" s="522"/>
      <c r="P36" s="520"/>
    </row>
    <row r="37" spans="2:16" ht="13.5" customHeight="1">
      <c r="B37" s="522"/>
      <c r="C37" s="522"/>
      <c r="D37" s="522"/>
      <c r="E37" s="522"/>
      <c r="F37" s="522"/>
      <c r="G37" s="522"/>
      <c r="H37" s="522"/>
      <c r="I37" s="522"/>
      <c r="J37" s="522"/>
      <c r="K37" s="522"/>
      <c r="L37" s="522"/>
      <c r="M37" s="522"/>
      <c r="N37" s="522"/>
      <c r="O37" s="522"/>
      <c r="P37" s="520"/>
    </row>
    <row r="38" spans="2:16" ht="13.5" customHeight="1">
      <c r="B38" s="522"/>
      <c r="C38" s="522"/>
      <c r="D38" s="522"/>
      <c r="E38" s="522"/>
      <c r="F38" s="522"/>
      <c r="G38" s="522"/>
      <c r="H38" s="522"/>
      <c r="I38" s="522"/>
      <c r="J38" s="522"/>
      <c r="K38" s="522"/>
      <c r="L38" s="522"/>
      <c r="M38" s="522"/>
      <c r="N38" s="522"/>
      <c r="O38" s="522"/>
      <c r="P38" s="520"/>
    </row>
    <row r="39" spans="2:16" ht="13.5" customHeight="1">
      <c r="B39" s="522"/>
      <c r="C39" s="522"/>
      <c r="D39" s="522"/>
      <c r="E39" s="522"/>
      <c r="F39" s="522"/>
      <c r="G39" s="522"/>
      <c r="H39" s="522"/>
      <c r="I39" s="522"/>
      <c r="J39" s="522"/>
      <c r="K39" s="522"/>
      <c r="L39" s="522"/>
      <c r="M39" s="522"/>
      <c r="N39" s="522"/>
      <c r="O39" s="522"/>
      <c r="P39" s="520"/>
    </row>
    <row r="40" spans="2:16" ht="13.5" customHeight="1">
      <c r="B40" s="522"/>
      <c r="C40" s="522"/>
      <c r="D40" s="522"/>
      <c r="E40" s="522"/>
      <c r="F40" s="522"/>
      <c r="G40" s="522"/>
      <c r="H40" s="522"/>
      <c r="I40" s="522"/>
      <c r="J40" s="522"/>
      <c r="K40" s="522"/>
      <c r="L40" s="522"/>
      <c r="M40" s="522"/>
      <c r="N40" s="522"/>
      <c r="O40" s="522"/>
      <c r="P40" s="520"/>
    </row>
    <row r="41" spans="2:16" ht="13.5" customHeight="1">
      <c r="B41" s="522"/>
      <c r="C41" s="522"/>
      <c r="D41" s="522"/>
      <c r="E41" s="522"/>
      <c r="F41" s="522"/>
      <c r="G41" s="522"/>
      <c r="H41" s="522"/>
      <c r="I41" s="522"/>
      <c r="J41" s="522"/>
      <c r="K41" s="522"/>
      <c r="L41" s="522"/>
      <c r="M41" s="522"/>
      <c r="N41" s="522"/>
      <c r="O41" s="522"/>
      <c r="P41" s="520"/>
    </row>
    <row r="42" spans="2:16" ht="13.5" customHeight="1">
      <c r="B42" s="522"/>
      <c r="C42" s="522"/>
      <c r="D42" s="522"/>
      <c r="E42" s="522"/>
      <c r="F42" s="522"/>
      <c r="G42" s="522"/>
      <c r="H42" s="522"/>
      <c r="I42" s="522"/>
      <c r="J42" s="522"/>
      <c r="K42" s="522"/>
      <c r="L42" s="522"/>
      <c r="M42" s="522"/>
      <c r="N42" s="522"/>
      <c r="O42" s="522"/>
      <c r="P42" s="520"/>
    </row>
    <row r="43" spans="2:16" ht="13.5" customHeight="1">
      <c r="B43" s="522"/>
      <c r="C43" s="522"/>
      <c r="D43" s="522"/>
      <c r="E43" s="522"/>
      <c r="F43" s="522"/>
      <c r="G43" s="522"/>
      <c r="H43" s="522"/>
      <c r="I43" s="522"/>
      <c r="J43" s="522"/>
      <c r="K43" s="522"/>
      <c r="L43" s="522"/>
      <c r="M43" s="522"/>
      <c r="N43" s="522"/>
      <c r="O43" s="522"/>
      <c r="P43" s="520"/>
    </row>
    <row r="44" spans="2:16" ht="13.5" customHeight="1">
      <c r="B44" s="522"/>
      <c r="C44" s="522"/>
      <c r="D44" s="522"/>
      <c r="E44" s="522"/>
      <c r="F44" s="522"/>
      <c r="G44" s="522"/>
      <c r="H44" s="522"/>
      <c r="I44" s="522"/>
      <c r="J44" s="522"/>
      <c r="K44" s="522"/>
      <c r="L44" s="522"/>
      <c r="M44" s="522"/>
      <c r="N44" s="522"/>
      <c r="O44" s="522"/>
      <c r="P44" s="520"/>
    </row>
    <row r="45" spans="2:16" ht="13.5" customHeight="1">
      <c r="B45" s="522"/>
      <c r="C45" s="522"/>
      <c r="D45" s="522"/>
      <c r="E45" s="522"/>
      <c r="F45" s="522"/>
      <c r="G45" s="522"/>
      <c r="H45" s="522"/>
      <c r="I45" s="522"/>
      <c r="J45" s="522"/>
      <c r="K45" s="522"/>
      <c r="L45" s="522"/>
      <c r="M45" s="522"/>
      <c r="N45" s="522"/>
      <c r="O45" s="522"/>
      <c r="P45" s="520"/>
    </row>
    <row r="46" spans="2:16" ht="13.5" customHeight="1">
      <c r="B46" s="522"/>
      <c r="C46" s="522"/>
      <c r="D46" s="522"/>
      <c r="E46" s="522"/>
      <c r="F46" s="522"/>
      <c r="G46" s="522"/>
      <c r="H46" s="522"/>
      <c r="I46" s="522"/>
      <c r="J46" s="522"/>
      <c r="K46" s="522"/>
      <c r="L46" s="522"/>
      <c r="M46" s="522"/>
      <c r="N46" s="522"/>
      <c r="O46" s="522"/>
      <c r="P46" s="520"/>
    </row>
    <row r="47" spans="2:16" ht="13.5" customHeight="1">
      <c r="B47" s="522"/>
      <c r="C47" s="522"/>
      <c r="D47" s="522"/>
      <c r="E47" s="522"/>
      <c r="F47" s="522"/>
      <c r="G47" s="522"/>
      <c r="H47" s="522"/>
      <c r="I47" s="522"/>
      <c r="J47" s="522"/>
      <c r="K47" s="522"/>
      <c r="L47" s="522"/>
      <c r="M47" s="522"/>
      <c r="N47" s="522"/>
      <c r="O47" s="522"/>
      <c r="P47" s="520"/>
    </row>
    <row r="48" spans="2:16" ht="13.5" customHeight="1">
      <c r="B48" s="522"/>
      <c r="C48" s="522"/>
      <c r="D48" s="522"/>
      <c r="E48" s="522"/>
      <c r="F48" s="522"/>
      <c r="G48" s="522"/>
      <c r="H48" s="522"/>
      <c r="I48" s="522"/>
      <c r="J48" s="522"/>
      <c r="K48" s="522"/>
      <c r="L48" s="522"/>
      <c r="M48" s="522"/>
      <c r="N48" s="522"/>
      <c r="O48" s="522"/>
      <c r="P48" s="520"/>
    </row>
    <row r="49" spans="2:16" ht="13.5" customHeight="1">
      <c r="B49" s="522"/>
      <c r="C49" s="522"/>
      <c r="D49" s="522"/>
      <c r="E49" s="522"/>
      <c r="F49" s="522"/>
      <c r="G49" s="522"/>
      <c r="H49" s="522"/>
      <c r="I49" s="522"/>
      <c r="J49" s="522"/>
      <c r="K49" s="522"/>
      <c r="L49" s="522"/>
      <c r="M49" s="522"/>
      <c r="N49" s="522"/>
      <c r="O49" s="522"/>
      <c r="P49" s="520"/>
    </row>
    <row r="50" spans="2:16" ht="13.5" customHeight="1">
      <c r="B50" s="522"/>
      <c r="C50" s="522"/>
      <c r="D50" s="522"/>
      <c r="E50" s="522"/>
      <c r="F50" s="522"/>
      <c r="G50" s="522"/>
      <c r="H50" s="522"/>
      <c r="I50" s="522"/>
      <c r="J50" s="522"/>
      <c r="K50" s="522"/>
      <c r="L50" s="522"/>
      <c r="M50" s="522"/>
      <c r="N50" s="522"/>
      <c r="O50" s="522"/>
      <c r="P50" s="520"/>
    </row>
    <row r="51" spans="2:16" ht="13.5" customHeight="1">
      <c r="B51" s="522"/>
      <c r="C51" s="522"/>
      <c r="D51" s="522"/>
      <c r="E51" s="522"/>
      <c r="F51" s="522"/>
      <c r="G51" s="522"/>
      <c r="H51" s="522"/>
      <c r="I51" s="522"/>
      <c r="J51" s="522"/>
      <c r="K51" s="522"/>
      <c r="L51" s="522"/>
      <c r="M51" s="522"/>
      <c r="N51" s="522"/>
      <c r="O51" s="522"/>
      <c r="P51" s="520"/>
    </row>
    <row r="52" spans="2:16" ht="13.5" customHeight="1">
      <c r="B52" s="522"/>
      <c r="C52" s="522"/>
      <c r="D52" s="522"/>
      <c r="E52" s="522"/>
      <c r="F52" s="522"/>
      <c r="G52" s="522"/>
      <c r="H52" s="522"/>
      <c r="I52" s="522"/>
      <c r="J52" s="522"/>
      <c r="K52" s="522"/>
      <c r="L52" s="522"/>
      <c r="M52" s="522"/>
      <c r="N52" s="522"/>
      <c r="O52" s="522"/>
      <c r="P52" s="520"/>
    </row>
    <row r="53" spans="2:16" ht="13.5" customHeight="1">
      <c r="B53" s="522"/>
      <c r="C53" s="522"/>
      <c r="D53" s="522"/>
      <c r="E53" s="522"/>
      <c r="F53" s="522"/>
      <c r="G53" s="522"/>
      <c r="H53" s="522"/>
      <c r="I53" s="522"/>
      <c r="J53" s="522"/>
      <c r="K53" s="522"/>
      <c r="L53" s="522"/>
      <c r="M53" s="522"/>
      <c r="N53" s="522"/>
      <c r="O53" s="522"/>
      <c r="P53" s="520"/>
    </row>
    <row r="54" spans="2:16" ht="13.5" customHeight="1">
      <c r="B54" s="522"/>
      <c r="C54" s="522"/>
      <c r="D54" s="522"/>
      <c r="E54" s="522"/>
      <c r="F54" s="522"/>
      <c r="G54" s="522"/>
      <c r="H54" s="522"/>
      <c r="I54" s="522"/>
      <c r="J54" s="522"/>
      <c r="K54" s="522"/>
      <c r="L54" s="522"/>
      <c r="M54" s="522"/>
      <c r="N54" s="522"/>
      <c r="O54" s="522"/>
      <c r="P54" s="520"/>
    </row>
    <row r="55" spans="2:16" ht="13.5" customHeight="1">
      <c r="B55" s="522"/>
      <c r="C55" s="522"/>
      <c r="D55" s="522"/>
      <c r="E55" s="522"/>
      <c r="F55" s="522"/>
      <c r="G55" s="522"/>
      <c r="H55" s="522"/>
      <c r="I55" s="522"/>
      <c r="J55" s="522"/>
      <c r="K55" s="522"/>
      <c r="L55" s="522"/>
      <c r="M55" s="522"/>
      <c r="N55" s="522"/>
      <c r="O55" s="522"/>
      <c r="P55" s="520"/>
    </row>
    <row r="56" spans="2:16" ht="13.5" customHeight="1">
      <c r="B56" s="522"/>
      <c r="C56" s="522"/>
      <c r="D56" s="522"/>
      <c r="E56" s="522"/>
      <c r="F56" s="522"/>
      <c r="G56" s="522"/>
      <c r="H56" s="522"/>
      <c r="I56" s="522"/>
      <c r="J56" s="522"/>
      <c r="K56" s="522"/>
      <c r="L56" s="522"/>
      <c r="M56" s="522"/>
      <c r="N56" s="522"/>
      <c r="O56" s="522"/>
      <c r="P56" s="520"/>
    </row>
    <row r="57" spans="2:16" ht="13.5" customHeight="1">
      <c r="B57" s="522"/>
      <c r="C57" s="522"/>
      <c r="D57" s="522"/>
      <c r="E57" s="522"/>
      <c r="F57" s="522"/>
      <c r="G57" s="522"/>
      <c r="H57" s="522"/>
      <c r="I57" s="522"/>
      <c r="J57" s="522"/>
      <c r="K57" s="522"/>
      <c r="L57" s="522"/>
      <c r="M57" s="522"/>
      <c r="N57" s="522"/>
      <c r="O57" s="522"/>
      <c r="P57" s="520"/>
    </row>
    <row r="58" spans="2:16" ht="13.5" customHeight="1">
      <c r="B58" s="522"/>
      <c r="C58" s="522"/>
      <c r="D58" s="522"/>
      <c r="E58" s="522"/>
      <c r="F58" s="522"/>
      <c r="G58" s="522"/>
      <c r="H58" s="522"/>
      <c r="I58" s="522"/>
      <c r="J58" s="522"/>
      <c r="K58" s="522"/>
      <c r="L58" s="522"/>
      <c r="M58" s="522"/>
      <c r="N58" s="522"/>
      <c r="O58" s="522"/>
      <c r="P58" s="520"/>
    </row>
    <row r="59" spans="2:16" ht="13.5" customHeight="1">
      <c r="B59" s="522"/>
      <c r="C59" s="522"/>
      <c r="D59" s="522"/>
      <c r="E59" s="522"/>
      <c r="F59" s="522"/>
      <c r="G59" s="522"/>
      <c r="H59" s="522"/>
      <c r="I59" s="522"/>
      <c r="J59" s="522"/>
      <c r="K59" s="522"/>
      <c r="L59" s="522"/>
      <c r="M59" s="522"/>
      <c r="N59" s="522"/>
      <c r="O59" s="522"/>
      <c r="P59" s="520"/>
    </row>
    <row r="60" spans="2:16" ht="13.5" customHeight="1">
      <c r="B60" s="522"/>
      <c r="C60" s="522"/>
      <c r="D60" s="522"/>
      <c r="E60" s="522"/>
      <c r="F60" s="522"/>
      <c r="G60" s="522"/>
      <c r="H60" s="522"/>
      <c r="I60" s="522"/>
      <c r="J60" s="522"/>
      <c r="K60" s="522"/>
      <c r="L60" s="522"/>
      <c r="M60" s="522"/>
      <c r="N60" s="522"/>
      <c r="O60" s="522"/>
      <c r="P60" s="520"/>
    </row>
    <row r="61" spans="2:16" ht="13.5" customHeight="1">
      <c r="B61" s="522"/>
      <c r="C61" s="522"/>
      <c r="D61" s="522"/>
      <c r="E61" s="522"/>
      <c r="F61" s="522"/>
      <c r="G61" s="522"/>
      <c r="H61" s="522"/>
      <c r="I61" s="522"/>
      <c r="J61" s="522"/>
      <c r="K61" s="522"/>
      <c r="L61" s="522"/>
      <c r="M61" s="522"/>
      <c r="N61" s="522"/>
      <c r="O61" s="522"/>
      <c r="P61" s="520"/>
    </row>
    <row r="62" spans="2:16" ht="13.5" customHeight="1">
      <c r="B62" s="522"/>
      <c r="C62" s="522"/>
      <c r="D62" s="522"/>
      <c r="E62" s="522"/>
      <c r="F62" s="522"/>
      <c r="G62" s="522"/>
      <c r="H62" s="522"/>
      <c r="I62" s="522"/>
      <c r="J62" s="522"/>
      <c r="K62" s="522"/>
      <c r="L62" s="522"/>
      <c r="M62" s="522"/>
      <c r="N62" s="522"/>
      <c r="O62" s="522"/>
      <c r="P62" s="520"/>
    </row>
    <row r="63" spans="2:16" ht="13.5" customHeight="1">
      <c r="B63" s="522"/>
      <c r="C63" s="522"/>
      <c r="D63" s="522"/>
      <c r="E63" s="522"/>
      <c r="F63" s="522"/>
      <c r="G63" s="522"/>
      <c r="H63" s="522"/>
      <c r="I63" s="522"/>
      <c r="J63" s="522"/>
      <c r="K63" s="522"/>
      <c r="L63" s="522"/>
      <c r="M63" s="522"/>
      <c r="N63" s="522"/>
      <c r="O63" s="522"/>
      <c r="P63" s="520"/>
    </row>
    <row r="64" spans="2:16" ht="13.5" customHeight="1">
      <c r="B64" s="522"/>
      <c r="C64" s="522"/>
      <c r="D64" s="522"/>
      <c r="E64" s="522"/>
      <c r="F64" s="522"/>
      <c r="G64" s="522"/>
      <c r="H64" s="522"/>
      <c r="I64" s="522"/>
      <c r="J64" s="522"/>
      <c r="K64" s="522"/>
      <c r="L64" s="522"/>
      <c r="M64" s="522"/>
      <c r="N64" s="522"/>
      <c r="O64" s="522"/>
      <c r="P64" s="520"/>
    </row>
    <row r="65" spans="2:16" ht="13.5" customHeight="1">
      <c r="B65" s="522"/>
      <c r="C65" s="522"/>
      <c r="D65" s="522"/>
      <c r="E65" s="522"/>
      <c r="F65" s="522"/>
      <c r="G65" s="522"/>
      <c r="H65" s="522"/>
      <c r="I65" s="522"/>
      <c r="J65" s="522"/>
      <c r="K65" s="522"/>
      <c r="L65" s="522"/>
      <c r="M65" s="522"/>
      <c r="N65" s="522"/>
      <c r="O65" s="522"/>
      <c r="P65" s="520"/>
    </row>
    <row r="66" spans="2:16" ht="13.5" customHeight="1">
      <c r="B66" s="522"/>
      <c r="C66" s="522"/>
      <c r="D66" s="522"/>
      <c r="E66" s="522"/>
      <c r="F66" s="522"/>
      <c r="G66" s="522"/>
      <c r="H66" s="522"/>
      <c r="I66" s="522"/>
      <c r="J66" s="522"/>
      <c r="K66" s="522"/>
      <c r="L66" s="522"/>
      <c r="M66" s="522"/>
      <c r="N66" s="522"/>
      <c r="O66" s="522"/>
      <c r="P66" s="520"/>
    </row>
    <row r="67" spans="2:16" ht="13.5" customHeight="1">
      <c r="B67" s="522"/>
      <c r="C67" s="522"/>
      <c r="D67" s="522"/>
      <c r="E67" s="522"/>
      <c r="F67" s="522"/>
      <c r="G67" s="522"/>
      <c r="H67" s="522"/>
      <c r="I67" s="522"/>
      <c r="J67" s="522"/>
      <c r="K67" s="522"/>
      <c r="L67" s="522"/>
      <c r="M67" s="522"/>
      <c r="N67" s="522"/>
      <c r="O67" s="522"/>
      <c r="P67" s="520"/>
    </row>
    <row r="68" spans="2:16" ht="13.5" customHeight="1">
      <c r="B68" s="522"/>
      <c r="C68" s="522"/>
      <c r="D68" s="522"/>
      <c r="E68" s="522"/>
      <c r="F68" s="522"/>
      <c r="G68" s="522"/>
      <c r="H68" s="522"/>
      <c r="I68" s="522"/>
      <c r="J68" s="522"/>
      <c r="K68" s="522"/>
      <c r="L68" s="522"/>
      <c r="M68" s="522"/>
      <c r="N68" s="522"/>
      <c r="O68" s="522"/>
      <c r="P68" s="520"/>
    </row>
    <row r="69" spans="2:16" ht="13.5" customHeight="1">
      <c r="B69" s="522"/>
      <c r="C69" s="522"/>
      <c r="D69" s="522"/>
      <c r="E69" s="522"/>
      <c r="F69" s="522"/>
      <c r="G69" s="522"/>
      <c r="H69" s="522"/>
      <c r="I69" s="522"/>
      <c r="J69" s="522"/>
      <c r="K69" s="522"/>
      <c r="L69" s="522"/>
      <c r="M69" s="522"/>
      <c r="N69" s="522"/>
      <c r="O69" s="522"/>
      <c r="P69" s="520"/>
    </row>
    <row r="70" spans="2:16" ht="13.5" customHeight="1">
      <c r="B70" s="522"/>
      <c r="C70" s="522"/>
      <c r="D70" s="522"/>
      <c r="E70" s="522"/>
      <c r="F70" s="522"/>
      <c r="G70" s="522"/>
      <c r="H70" s="522"/>
      <c r="I70" s="522"/>
      <c r="J70" s="522"/>
      <c r="K70" s="522"/>
      <c r="L70" s="522"/>
      <c r="M70" s="522"/>
      <c r="N70" s="522"/>
      <c r="O70" s="522"/>
      <c r="P70" s="520"/>
    </row>
    <row r="71" spans="2:16" ht="13.5" customHeight="1">
      <c r="B71" s="522"/>
      <c r="C71" s="522"/>
      <c r="D71" s="522"/>
      <c r="E71" s="522"/>
      <c r="F71" s="522"/>
      <c r="G71" s="522"/>
      <c r="H71" s="522"/>
      <c r="I71" s="522"/>
      <c r="J71" s="522"/>
      <c r="K71" s="522"/>
      <c r="L71" s="522"/>
      <c r="M71" s="522"/>
      <c r="N71" s="522"/>
      <c r="O71" s="522"/>
      <c r="P71" s="520"/>
    </row>
    <row r="72" spans="2:16" ht="13.5" customHeight="1">
      <c r="B72" s="522"/>
      <c r="C72" s="522"/>
      <c r="D72" s="522"/>
      <c r="E72" s="522"/>
      <c r="F72" s="522"/>
      <c r="G72" s="522"/>
      <c r="H72" s="522"/>
      <c r="I72" s="522"/>
      <c r="J72" s="522"/>
      <c r="K72" s="522"/>
      <c r="L72" s="522"/>
      <c r="M72" s="522"/>
      <c r="N72" s="522"/>
      <c r="O72" s="522"/>
      <c r="P72" s="520"/>
    </row>
    <row r="73" spans="2:16" ht="13.5" customHeight="1">
      <c r="B73" s="522"/>
      <c r="C73" s="522"/>
      <c r="D73" s="522"/>
      <c r="E73" s="522"/>
      <c r="F73" s="522"/>
      <c r="G73" s="522"/>
      <c r="H73" s="522"/>
      <c r="I73" s="522"/>
      <c r="J73" s="522"/>
      <c r="K73" s="522"/>
      <c r="L73" s="522"/>
      <c r="M73" s="522"/>
      <c r="N73" s="522"/>
      <c r="O73" s="522"/>
      <c r="P73" s="520"/>
    </row>
    <row r="74" spans="2:16" ht="13.5" customHeight="1">
      <c r="B74" s="522"/>
      <c r="C74" s="522"/>
      <c r="D74" s="522"/>
      <c r="E74" s="522"/>
      <c r="F74" s="522"/>
      <c r="G74" s="522"/>
      <c r="H74" s="522"/>
      <c r="I74" s="522"/>
      <c r="J74" s="522"/>
      <c r="K74" s="522"/>
      <c r="L74" s="522"/>
      <c r="M74" s="522"/>
      <c r="N74" s="522"/>
      <c r="O74" s="522"/>
      <c r="P74" s="520"/>
    </row>
    <row r="75" spans="2:16" ht="13.5" customHeight="1">
      <c r="B75" s="522"/>
      <c r="C75" s="522"/>
      <c r="D75" s="522"/>
      <c r="E75" s="522"/>
      <c r="F75" s="522"/>
      <c r="G75" s="522"/>
      <c r="H75" s="522"/>
      <c r="I75" s="522"/>
      <c r="J75" s="522"/>
      <c r="K75" s="522"/>
      <c r="L75" s="522"/>
      <c r="M75" s="522"/>
      <c r="N75" s="522"/>
      <c r="O75" s="522"/>
      <c r="P75" s="520"/>
    </row>
    <row r="76" spans="2:16" ht="13.5" customHeight="1">
      <c r="B76" s="522"/>
      <c r="C76" s="522"/>
      <c r="D76" s="522"/>
      <c r="E76" s="522"/>
      <c r="F76" s="522"/>
      <c r="G76" s="522"/>
      <c r="H76" s="522"/>
      <c r="I76" s="522"/>
      <c r="J76" s="522"/>
      <c r="K76" s="522"/>
      <c r="L76" s="522"/>
      <c r="M76" s="522"/>
      <c r="N76" s="522"/>
      <c r="O76" s="522"/>
      <c r="P76" s="520"/>
    </row>
    <row r="77" spans="2:16" ht="13.5" customHeight="1">
      <c r="B77" s="522"/>
      <c r="C77" s="522"/>
      <c r="D77" s="522"/>
      <c r="E77" s="522"/>
      <c r="F77" s="522"/>
      <c r="G77" s="522"/>
      <c r="H77" s="522"/>
      <c r="I77" s="522"/>
      <c r="J77" s="522"/>
      <c r="K77" s="522"/>
      <c r="L77" s="522"/>
      <c r="M77" s="522"/>
      <c r="N77" s="522"/>
      <c r="O77" s="522"/>
      <c r="P77" s="520"/>
    </row>
    <row r="78" spans="2:16" ht="13.5" customHeight="1">
      <c r="B78" s="522"/>
      <c r="C78" s="522"/>
      <c r="D78" s="522"/>
      <c r="E78" s="522"/>
      <c r="F78" s="522"/>
      <c r="G78" s="522"/>
      <c r="H78" s="522"/>
      <c r="I78" s="522"/>
      <c r="J78" s="522"/>
      <c r="K78" s="522"/>
      <c r="L78" s="522"/>
      <c r="M78" s="522"/>
      <c r="N78" s="522"/>
      <c r="O78" s="522"/>
      <c r="P78" s="520"/>
    </row>
    <row r="79" spans="2:16" ht="13.5" customHeight="1">
      <c r="B79" s="522"/>
      <c r="C79" s="522"/>
      <c r="D79" s="522"/>
      <c r="E79" s="522"/>
      <c r="F79" s="522"/>
      <c r="G79" s="522"/>
      <c r="H79" s="522"/>
      <c r="I79" s="522"/>
      <c r="J79" s="522"/>
      <c r="K79" s="522"/>
      <c r="L79" s="522"/>
      <c r="M79" s="522"/>
      <c r="N79" s="522"/>
      <c r="O79" s="522"/>
      <c r="P79" s="520"/>
    </row>
    <row r="80" spans="2:16" ht="13.5" customHeight="1">
      <c r="B80" s="522"/>
      <c r="C80" s="522"/>
      <c r="D80" s="522"/>
      <c r="E80" s="522"/>
      <c r="F80" s="522"/>
      <c r="G80" s="522"/>
      <c r="H80" s="522"/>
      <c r="I80" s="522"/>
      <c r="J80" s="522"/>
      <c r="K80" s="522"/>
      <c r="L80" s="522"/>
      <c r="M80" s="522"/>
      <c r="N80" s="522"/>
      <c r="O80" s="522"/>
      <c r="P80" s="520"/>
    </row>
    <row r="81" spans="2:16" ht="13.5" customHeight="1">
      <c r="B81" s="522"/>
      <c r="C81" s="522"/>
      <c r="D81" s="522"/>
      <c r="E81" s="522"/>
      <c r="F81" s="522"/>
      <c r="G81" s="522"/>
      <c r="H81" s="522"/>
      <c r="I81" s="522"/>
      <c r="J81" s="522"/>
      <c r="K81" s="522"/>
      <c r="L81" s="522"/>
      <c r="M81" s="522"/>
      <c r="N81" s="522"/>
      <c r="O81" s="522"/>
      <c r="P81" s="520"/>
    </row>
    <row r="82" spans="2:16" ht="13.5" customHeight="1">
      <c r="B82" s="522"/>
      <c r="C82" s="522"/>
      <c r="D82" s="522"/>
      <c r="E82" s="522"/>
      <c r="F82" s="522"/>
      <c r="G82" s="522"/>
      <c r="H82" s="522"/>
      <c r="I82" s="522"/>
      <c r="J82" s="522"/>
      <c r="K82" s="522"/>
      <c r="L82" s="522"/>
      <c r="M82" s="522"/>
      <c r="N82" s="522"/>
      <c r="O82" s="522"/>
      <c r="P82" s="520"/>
    </row>
    <row r="83" spans="2:16" ht="13.5" customHeight="1">
      <c r="B83" s="522"/>
      <c r="C83" s="522"/>
      <c r="D83" s="522"/>
      <c r="E83" s="522"/>
      <c r="F83" s="522"/>
      <c r="G83" s="522"/>
      <c r="H83" s="522"/>
      <c r="I83" s="522"/>
      <c r="J83" s="522"/>
      <c r="K83" s="522"/>
      <c r="L83" s="522"/>
      <c r="M83" s="522"/>
      <c r="N83" s="522"/>
      <c r="O83" s="522"/>
      <c r="P83" s="520"/>
    </row>
    <row r="84" spans="2:16" ht="13.5" customHeight="1">
      <c r="B84" s="522"/>
      <c r="C84" s="522"/>
      <c r="D84" s="522"/>
      <c r="E84" s="522"/>
      <c r="F84" s="522"/>
      <c r="G84" s="522"/>
      <c r="H84" s="522"/>
      <c r="I84" s="522"/>
      <c r="J84" s="522"/>
      <c r="K84" s="522"/>
      <c r="L84" s="522"/>
      <c r="M84" s="522"/>
      <c r="N84" s="522"/>
      <c r="O84" s="522"/>
      <c r="P84" s="520"/>
    </row>
    <row r="85" spans="2:16" ht="13.5" customHeight="1">
      <c r="B85" s="522"/>
      <c r="C85" s="522"/>
      <c r="D85" s="522"/>
      <c r="E85" s="522"/>
      <c r="F85" s="522"/>
      <c r="G85" s="522"/>
      <c r="H85" s="522"/>
      <c r="I85" s="522"/>
      <c r="J85" s="522"/>
      <c r="K85" s="522"/>
      <c r="L85" s="522"/>
      <c r="M85" s="522"/>
      <c r="N85" s="522"/>
      <c r="O85" s="522"/>
      <c r="P85" s="520"/>
    </row>
    <row r="86" spans="2:16" ht="13.5" customHeight="1"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0"/>
    </row>
    <row r="87" spans="2:16" ht="13.5" customHeight="1">
      <c r="B87" s="522"/>
      <c r="C87" s="522"/>
      <c r="D87" s="522"/>
      <c r="E87" s="522"/>
      <c r="F87" s="522"/>
      <c r="G87" s="522"/>
      <c r="H87" s="522"/>
      <c r="I87" s="522"/>
      <c r="J87" s="522"/>
      <c r="K87" s="522"/>
      <c r="L87" s="522"/>
      <c r="M87" s="522"/>
      <c r="N87" s="522"/>
      <c r="O87" s="522"/>
      <c r="P87" s="520"/>
    </row>
    <row r="88" spans="2:16" ht="13.5" customHeight="1"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0"/>
    </row>
    <row r="89" spans="2:16" ht="13.5" customHeight="1">
      <c r="B89" s="522"/>
      <c r="C89" s="522"/>
      <c r="D89" s="522"/>
      <c r="E89" s="522"/>
      <c r="F89" s="522"/>
      <c r="G89" s="522"/>
      <c r="H89" s="522"/>
      <c r="I89" s="522"/>
      <c r="J89" s="522"/>
      <c r="K89" s="522"/>
      <c r="L89" s="522"/>
      <c r="M89" s="522"/>
      <c r="N89" s="522"/>
      <c r="O89" s="522"/>
      <c r="P89" s="520"/>
    </row>
    <row r="90" spans="2:16" ht="13.5" customHeight="1">
      <c r="B90" s="522"/>
      <c r="C90" s="522"/>
      <c r="D90" s="522"/>
      <c r="E90" s="522"/>
      <c r="F90" s="522"/>
      <c r="G90" s="522"/>
      <c r="H90" s="522"/>
      <c r="I90" s="522"/>
      <c r="J90" s="522"/>
      <c r="K90" s="522"/>
      <c r="L90" s="522"/>
      <c r="M90" s="522"/>
      <c r="N90" s="522"/>
      <c r="O90" s="522"/>
      <c r="P90" s="520"/>
    </row>
    <row r="91" spans="2:16" ht="13.5" customHeight="1">
      <c r="B91" s="522"/>
      <c r="C91" s="522"/>
      <c r="D91" s="522"/>
      <c r="E91" s="522"/>
      <c r="F91" s="522"/>
      <c r="G91" s="522"/>
      <c r="H91" s="522"/>
      <c r="I91" s="522"/>
      <c r="J91" s="522"/>
      <c r="K91" s="522"/>
      <c r="L91" s="522"/>
      <c r="M91" s="522"/>
      <c r="N91" s="522"/>
      <c r="O91" s="522"/>
      <c r="P91" s="520"/>
    </row>
    <row r="92" spans="2:16" ht="13.5" customHeight="1">
      <c r="B92" s="522"/>
      <c r="C92" s="522"/>
      <c r="D92" s="522"/>
      <c r="E92" s="522"/>
      <c r="F92" s="522"/>
      <c r="G92" s="522"/>
      <c r="H92" s="522"/>
      <c r="I92" s="522"/>
      <c r="J92" s="522"/>
      <c r="K92" s="522"/>
      <c r="L92" s="522"/>
      <c r="M92" s="522"/>
      <c r="N92" s="522"/>
      <c r="O92" s="522"/>
      <c r="P92" s="520"/>
    </row>
    <row r="93" spans="2:16" ht="13.5" customHeight="1">
      <c r="B93" s="522"/>
      <c r="C93" s="522"/>
      <c r="D93" s="522"/>
      <c r="E93" s="522"/>
      <c r="F93" s="522"/>
      <c r="G93" s="522"/>
      <c r="H93" s="522"/>
      <c r="I93" s="522"/>
      <c r="J93" s="522"/>
      <c r="K93" s="522"/>
      <c r="L93" s="522"/>
      <c r="M93" s="522"/>
      <c r="N93" s="522"/>
      <c r="O93" s="522"/>
      <c r="P93" s="520"/>
    </row>
    <row r="94" spans="2:16" ht="13.5" customHeight="1"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0"/>
    </row>
    <row r="95" spans="2:16" ht="13.5" customHeight="1"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0"/>
    </row>
    <row r="96" spans="2:16" ht="13.5" customHeight="1">
      <c r="B96" s="522"/>
      <c r="C96" s="522"/>
      <c r="D96" s="522"/>
      <c r="E96" s="522"/>
      <c r="F96" s="522"/>
      <c r="G96" s="522"/>
      <c r="H96" s="522"/>
      <c r="I96" s="522"/>
      <c r="J96" s="522"/>
      <c r="K96" s="522"/>
      <c r="L96" s="522"/>
      <c r="M96" s="522"/>
      <c r="N96" s="522"/>
      <c r="O96" s="522"/>
      <c r="P96" s="520"/>
    </row>
    <row r="97" spans="2:16" ht="13.5" customHeight="1">
      <c r="B97" s="522"/>
      <c r="C97" s="522"/>
      <c r="D97" s="522"/>
      <c r="E97" s="522"/>
      <c r="F97" s="522"/>
      <c r="G97" s="522"/>
      <c r="H97" s="522"/>
      <c r="I97" s="522"/>
      <c r="J97" s="522"/>
      <c r="K97" s="522"/>
      <c r="L97" s="522"/>
      <c r="M97" s="522"/>
      <c r="N97" s="522"/>
      <c r="O97" s="522"/>
      <c r="P97" s="520"/>
    </row>
    <row r="98" spans="2:16" ht="13.5" customHeight="1">
      <c r="B98" s="522"/>
      <c r="C98" s="522"/>
      <c r="D98" s="522"/>
      <c r="E98" s="522"/>
      <c r="F98" s="522"/>
      <c r="G98" s="522"/>
      <c r="H98" s="522"/>
      <c r="I98" s="522"/>
      <c r="J98" s="522"/>
      <c r="K98" s="522"/>
      <c r="L98" s="522"/>
      <c r="M98" s="522"/>
      <c r="N98" s="522"/>
      <c r="O98" s="522"/>
      <c r="P98" s="520"/>
    </row>
    <row r="99" spans="2:16" ht="13.5" customHeight="1">
      <c r="B99" s="522"/>
      <c r="C99" s="522"/>
      <c r="D99" s="522"/>
      <c r="E99" s="522"/>
      <c r="F99" s="522"/>
      <c r="G99" s="522"/>
      <c r="H99" s="522"/>
      <c r="I99" s="522"/>
      <c r="J99" s="522"/>
      <c r="K99" s="522"/>
      <c r="L99" s="522"/>
      <c r="M99" s="522"/>
      <c r="N99" s="522"/>
      <c r="O99" s="522"/>
      <c r="P99" s="520"/>
    </row>
    <row r="100" spans="2:16" ht="13.5" customHeight="1">
      <c r="B100" s="522"/>
      <c r="C100" s="522"/>
      <c r="D100" s="522"/>
      <c r="E100" s="522"/>
      <c r="F100" s="522"/>
      <c r="G100" s="522"/>
      <c r="H100" s="522"/>
      <c r="I100" s="522"/>
      <c r="J100" s="522"/>
      <c r="K100" s="522"/>
      <c r="L100" s="522"/>
      <c r="M100" s="522"/>
      <c r="N100" s="522"/>
      <c r="O100" s="522"/>
      <c r="P100" s="520"/>
    </row>
    <row r="101" spans="2:16" ht="13.5" customHeight="1">
      <c r="B101" s="522"/>
      <c r="C101" s="522"/>
      <c r="D101" s="522"/>
      <c r="E101" s="522"/>
      <c r="F101" s="522"/>
      <c r="G101" s="522"/>
      <c r="H101" s="522"/>
      <c r="I101" s="522"/>
      <c r="J101" s="522"/>
      <c r="K101" s="522"/>
      <c r="L101" s="522"/>
      <c r="M101" s="522"/>
      <c r="N101" s="522"/>
      <c r="O101" s="522"/>
      <c r="P101" s="520"/>
    </row>
    <row r="102" spans="2:16" ht="13.5" customHeight="1">
      <c r="B102" s="522"/>
      <c r="C102" s="522"/>
      <c r="D102" s="522"/>
      <c r="E102" s="522"/>
      <c r="F102" s="522"/>
      <c r="G102" s="522"/>
      <c r="H102" s="522"/>
      <c r="I102" s="522"/>
      <c r="J102" s="522"/>
      <c r="K102" s="522"/>
      <c r="L102" s="522"/>
      <c r="M102" s="522"/>
      <c r="N102" s="522"/>
      <c r="O102" s="522"/>
      <c r="P102" s="520"/>
    </row>
    <row r="103" spans="2:16" ht="13.5" customHeight="1">
      <c r="B103" s="522"/>
      <c r="C103" s="522"/>
      <c r="D103" s="522"/>
      <c r="E103" s="522"/>
      <c r="F103" s="522"/>
      <c r="G103" s="522"/>
      <c r="H103" s="522"/>
      <c r="I103" s="522"/>
      <c r="J103" s="522"/>
      <c r="K103" s="522"/>
      <c r="L103" s="522"/>
      <c r="M103" s="522"/>
      <c r="N103" s="522"/>
      <c r="O103" s="522"/>
      <c r="P103" s="520"/>
    </row>
    <row r="104" spans="2:16" ht="13.5" customHeight="1">
      <c r="B104" s="522"/>
      <c r="C104" s="522"/>
      <c r="D104" s="522"/>
      <c r="E104" s="522"/>
      <c r="F104" s="522"/>
      <c r="G104" s="522"/>
      <c r="H104" s="522"/>
      <c r="I104" s="522"/>
      <c r="J104" s="522"/>
      <c r="K104" s="522"/>
      <c r="L104" s="522"/>
      <c r="M104" s="522"/>
      <c r="N104" s="522"/>
      <c r="O104" s="522"/>
      <c r="P104" s="520"/>
    </row>
    <row r="105" spans="2:16" ht="13.5" customHeight="1">
      <c r="B105" s="522"/>
      <c r="C105" s="522"/>
      <c r="D105" s="522"/>
      <c r="E105" s="522"/>
      <c r="F105" s="522"/>
      <c r="G105" s="522"/>
      <c r="H105" s="522"/>
      <c r="I105" s="522"/>
      <c r="J105" s="522"/>
      <c r="K105" s="522"/>
      <c r="L105" s="522"/>
      <c r="M105" s="522"/>
      <c r="N105" s="522"/>
      <c r="O105" s="522"/>
      <c r="P105" s="520"/>
    </row>
    <row r="106" spans="2:16" ht="13.5" customHeight="1">
      <c r="B106" s="522"/>
      <c r="C106" s="522"/>
      <c r="D106" s="522"/>
      <c r="E106" s="522"/>
      <c r="F106" s="522"/>
      <c r="G106" s="522"/>
      <c r="H106" s="522"/>
      <c r="I106" s="522"/>
      <c r="J106" s="522"/>
      <c r="K106" s="522"/>
      <c r="L106" s="522"/>
      <c r="M106" s="522"/>
      <c r="N106" s="522"/>
      <c r="O106" s="522"/>
      <c r="P106" s="520"/>
    </row>
    <row r="107" spans="2:16" ht="13.5" customHeight="1">
      <c r="B107" s="522"/>
      <c r="C107" s="522"/>
      <c r="D107" s="522"/>
      <c r="E107" s="522"/>
      <c r="F107" s="522"/>
      <c r="G107" s="522"/>
      <c r="H107" s="522"/>
      <c r="I107" s="522"/>
      <c r="J107" s="522"/>
      <c r="K107" s="522"/>
      <c r="L107" s="522"/>
      <c r="M107" s="522"/>
      <c r="N107" s="522"/>
      <c r="O107" s="522"/>
      <c r="P107" s="520"/>
    </row>
    <row r="108" spans="2:16" ht="13.5" customHeight="1">
      <c r="B108" s="522"/>
      <c r="C108" s="522"/>
      <c r="D108" s="522"/>
      <c r="E108" s="522"/>
      <c r="F108" s="522"/>
      <c r="G108" s="522"/>
      <c r="H108" s="522"/>
      <c r="I108" s="522"/>
      <c r="J108" s="522"/>
      <c r="K108" s="522"/>
      <c r="L108" s="522"/>
      <c r="M108" s="522"/>
      <c r="N108" s="522"/>
      <c r="O108" s="522"/>
      <c r="P108" s="520"/>
    </row>
    <row r="109" spans="2:16" ht="13.5" customHeight="1">
      <c r="B109" s="522"/>
      <c r="C109" s="522"/>
      <c r="D109" s="522"/>
      <c r="E109" s="522"/>
      <c r="F109" s="522"/>
      <c r="G109" s="522"/>
      <c r="H109" s="522"/>
      <c r="I109" s="522"/>
      <c r="J109" s="522"/>
      <c r="K109" s="522"/>
      <c r="L109" s="522"/>
      <c r="M109" s="522"/>
      <c r="N109" s="522"/>
      <c r="O109" s="522"/>
      <c r="P109" s="520"/>
    </row>
    <row r="110" spans="2:16" ht="13.5" customHeight="1">
      <c r="B110" s="522"/>
      <c r="C110" s="522"/>
      <c r="D110" s="522"/>
      <c r="E110" s="522"/>
      <c r="F110" s="522"/>
      <c r="G110" s="522"/>
      <c r="H110" s="522"/>
      <c r="I110" s="522"/>
      <c r="J110" s="522"/>
      <c r="K110" s="522"/>
      <c r="L110" s="522"/>
      <c r="M110" s="522"/>
      <c r="N110" s="522"/>
      <c r="O110" s="522"/>
      <c r="P110" s="520"/>
    </row>
    <row r="111" spans="2:16" ht="13.5" customHeight="1">
      <c r="B111" s="522"/>
      <c r="C111" s="522"/>
      <c r="D111" s="522"/>
      <c r="E111" s="522"/>
      <c r="F111" s="522"/>
      <c r="G111" s="522"/>
      <c r="H111" s="522"/>
      <c r="I111" s="522"/>
      <c r="J111" s="522"/>
      <c r="K111" s="522"/>
      <c r="L111" s="522"/>
      <c r="M111" s="522"/>
      <c r="N111" s="522"/>
      <c r="O111" s="522"/>
      <c r="P111" s="520"/>
    </row>
    <row r="112" spans="2:16" ht="13.5" customHeight="1">
      <c r="B112" s="522"/>
      <c r="C112" s="522"/>
      <c r="D112" s="522"/>
      <c r="E112" s="522"/>
      <c r="F112" s="522"/>
      <c r="G112" s="522"/>
      <c r="H112" s="522"/>
      <c r="I112" s="522"/>
      <c r="J112" s="522"/>
      <c r="K112" s="522"/>
      <c r="L112" s="522"/>
      <c r="M112" s="522"/>
      <c r="N112" s="522"/>
      <c r="O112" s="522"/>
      <c r="P112" s="520"/>
    </row>
    <row r="113" spans="2:16" ht="13.5" customHeight="1">
      <c r="B113" s="522"/>
      <c r="C113" s="522"/>
      <c r="D113" s="522"/>
      <c r="E113" s="522"/>
      <c r="F113" s="522"/>
      <c r="G113" s="522"/>
      <c r="H113" s="522"/>
      <c r="I113" s="522"/>
      <c r="J113" s="522"/>
      <c r="K113" s="522"/>
      <c r="L113" s="522"/>
      <c r="M113" s="522"/>
      <c r="N113" s="522"/>
      <c r="O113" s="522"/>
      <c r="P113" s="520"/>
    </row>
    <row r="114" spans="2:16" ht="13.5" customHeight="1">
      <c r="B114" s="522"/>
      <c r="C114" s="522"/>
      <c r="D114" s="522"/>
      <c r="E114" s="522"/>
      <c r="F114" s="522"/>
      <c r="G114" s="522"/>
      <c r="H114" s="522"/>
      <c r="I114" s="522"/>
      <c r="J114" s="522"/>
      <c r="K114" s="522"/>
      <c r="L114" s="522"/>
      <c r="M114" s="522"/>
      <c r="N114" s="522"/>
      <c r="O114" s="522"/>
      <c r="P114" s="520"/>
    </row>
    <row r="115" spans="2:16" ht="13.5" customHeight="1">
      <c r="B115" s="522"/>
      <c r="C115" s="522"/>
      <c r="D115" s="522"/>
      <c r="E115" s="522"/>
      <c r="F115" s="522"/>
      <c r="G115" s="522"/>
      <c r="H115" s="522"/>
      <c r="I115" s="522"/>
      <c r="J115" s="522"/>
      <c r="K115" s="522"/>
      <c r="L115" s="522"/>
      <c r="M115" s="522"/>
      <c r="N115" s="522"/>
      <c r="O115" s="522"/>
      <c r="P115" s="520"/>
    </row>
    <row r="116" spans="2:16" ht="13.5" customHeight="1">
      <c r="B116" s="522"/>
      <c r="C116" s="522"/>
      <c r="D116" s="522"/>
      <c r="E116" s="522"/>
      <c r="F116" s="522"/>
      <c r="G116" s="522"/>
      <c r="H116" s="522"/>
      <c r="I116" s="522"/>
      <c r="J116" s="522"/>
      <c r="K116" s="522"/>
      <c r="L116" s="522"/>
      <c r="M116" s="522"/>
      <c r="N116" s="522"/>
      <c r="O116" s="522"/>
      <c r="P116" s="520"/>
    </row>
    <row r="117" spans="2:16" ht="13.5" customHeight="1">
      <c r="B117" s="522"/>
      <c r="C117" s="522"/>
      <c r="D117" s="522"/>
      <c r="E117" s="522"/>
      <c r="F117" s="522"/>
      <c r="G117" s="522"/>
      <c r="H117" s="522"/>
      <c r="I117" s="522"/>
      <c r="J117" s="522"/>
      <c r="K117" s="522"/>
      <c r="L117" s="522"/>
      <c r="M117" s="522"/>
      <c r="N117" s="522"/>
      <c r="O117" s="522"/>
      <c r="P117" s="520"/>
    </row>
    <row r="118" spans="2:16" ht="13.5" customHeight="1">
      <c r="B118" s="522"/>
      <c r="C118" s="522"/>
      <c r="D118" s="522"/>
      <c r="E118" s="522"/>
      <c r="F118" s="522"/>
      <c r="G118" s="522"/>
      <c r="H118" s="522"/>
      <c r="I118" s="522"/>
      <c r="J118" s="522"/>
      <c r="K118" s="522"/>
      <c r="L118" s="522"/>
      <c r="M118" s="522"/>
      <c r="N118" s="522"/>
      <c r="O118" s="522"/>
      <c r="P118" s="520"/>
    </row>
    <row r="119" spans="2:16" ht="13.5" customHeight="1">
      <c r="B119" s="522"/>
      <c r="C119" s="522"/>
      <c r="D119" s="522"/>
      <c r="E119" s="522"/>
      <c r="F119" s="522"/>
      <c r="G119" s="522"/>
      <c r="H119" s="522"/>
      <c r="I119" s="522"/>
      <c r="J119" s="522"/>
      <c r="K119" s="522"/>
      <c r="L119" s="522"/>
      <c r="M119" s="522"/>
      <c r="N119" s="522"/>
      <c r="O119" s="522"/>
      <c r="P119" s="520"/>
    </row>
    <row r="120" spans="2:16" ht="13.5" customHeight="1">
      <c r="B120" s="522"/>
      <c r="C120" s="522"/>
      <c r="D120" s="522"/>
      <c r="E120" s="522"/>
      <c r="F120" s="522"/>
      <c r="G120" s="522"/>
      <c r="H120" s="522"/>
      <c r="I120" s="522"/>
      <c r="J120" s="522"/>
      <c r="K120" s="522"/>
      <c r="L120" s="522"/>
      <c r="M120" s="522"/>
      <c r="N120" s="522"/>
      <c r="O120" s="522"/>
      <c r="P120" s="520"/>
    </row>
    <row r="121" spans="2:16" ht="13.5" customHeight="1">
      <c r="B121" s="522"/>
      <c r="C121" s="522"/>
      <c r="D121" s="522"/>
      <c r="E121" s="522"/>
      <c r="F121" s="522"/>
      <c r="G121" s="522"/>
      <c r="H121" s="522"/>
      <c r="I121" s="522"/>
      <c r="J121" s="522"/>
      <c r="K121" s="522"/>
      <c r="L121" s="522"/>
      <c r="M121" s="522"/>
      <c r="N121" s="522"/>
      <c r="O121" s="522"/>
      <c r="P121" s="520"/>
    </row>
    <row r="122" spans="2:16" ht="13.5" customHeight="1">
      <c r="B122" s="522"/>
      <c r="C122" s="522"/>
      <c r="D122" s="522"/>
      <c r="E122" s="522"/>
      <c r="F122" s="522"/>
      <c r="G122" s="522"/>
      <c r="H122" s="522"/>
      <c r="I122" s="522"/>
      <c r="J122" s="522"/>
      <c r="K122" s="522"/>
      <c r="L122" s="522"/>
      <c r="M122" s="522"/>
      <c r="N122" s="522"/>
      <c r="O122" s="522"/>
      <c r="P122" s="520"/>
    </row>
    <row r="123" spans="2:16" ht="13.5" customHeight="1">
      <c r="B123" s="522"/>
      <c r="C123" s="522"/>
      <c r="D123" s="522"/>
      <c r="E123" s="522"/>
      <c r="F123" s="522"/>
      <c r="G123" s="522"/>
      <c r="H123" s="522"/>
      <c r="I123" s="522"/>
      <c r="J123" s="522"/>
      <c r="K123" s="522"/>
      <c r="L123" s="522"/>
      <c r="M123" s="522"/>
      <c r="N123" s="522"/>
      <c r="O123" s="522"/>
      <c r="P123" s="520"/>
    </row>
    <row r="124" spans="2:16" ht="13.5" customHeight="1">
      <c r="B124" s="522"/>
      <c r="C124" s="522"/>
      <c r="D124" s="522"/>
      <c r="E124" s="522"/>
      <c r="F124" s="522"/>
      <c r="G124" s="522"/>
      <c r="H124" s="522"/>
      <c r="I124" s="522"/>
      <c r="J124" s="522"/>
      <c r="K124" s="522"/>
      <c r="L124" s="522"/>
      <c r="M124" s="522"/>
      <c r="N124" s="522"/>
      <c r="O124" s="522"/>
      <c r="P124" s="520"/>
    </row>
    <row r="125" spans="2:16" ht="13.5" customHeight="1">
      <c r="B125" s="522"/>
      <c r="C125" s="522"/>
      <c r="D125" s="522"/>
      <c r="E125" s="522"/>
      <c r="F125" s="522"/>
      <c r="G125" s="522"/>
      <c r="H125" s="522"/>
      <c r="I125" s="522"/>
      <c r="J125" s="522"/>
      <c r="K125" s="522"/>
      <c r="L125" s="522"/>
      <c r="M125" s="522"/>
      <c r="N125" s="522"/>
      <c r="O125" s="522"/>
      <c r="P125" s="520"/>
    </row>
    <row r="126" spans="2:16" ht="13.5" customHeight="1">
      <c r="B126" s="522"/>
      <c r="C126" s="522"/>
      <c r="D126" s="522"/>
      <c r="E126" s="522"/>
      <c r="F126" s="522"/>
      <c r="G126" s="522"/>
      <c r="H126" s="522"/>
      <c r="I126" s="522"/>
      <c r="J126" s="522"/>
      <c r="K126" s="522"/>
      <c r="L126" s="522"/>
      <c r="M126" s="522"/>
      <c r="N126" s="522"/>
      <c r="O126" s="522"/>
      <c r="P126" s="520"/>
    </row>
    <row r="127" spans="2:16" ht="13.5" customHeight="1">
      <c r="B127" s="522"/>
      <c r="C127" s="522"/>
      <c r="D127" s="522"/>
      <c r="E127" s="522"/>
      <c r="F127" s="522"/>
      <c r="G127" s="522"/>
      <c r="H127" s="522"/>
      <c r="I127" s="522"/>
      <c r="J127" s="522"/>
      <c r="K127" s="522"/>
      <c r="L127" s="522"/>
      <c r="M127" s="522"/>
      <c r="N127" s="522"/>
      <c r="O127" s="522"/>
      <c r="P127" s="520"/>
    </row>
    <row r="128" spans="2:16" ht="13.5" customHeight="1">
      <c r="B128" s="522"/>
      <c r="C128" s="522"/>
      <c r="D128" s="522"/>
      <c r="E128" s="522"/>
      <c r="F128" s="522"/>
      <c r="G128" s="522"/>
      <c r="H128" s="522"/>
      <c r="I128" s="522"/>
      <c r="J128" s="522"/>
      <c r="K128" s="522"/>
      <c r="L128" s="522"/>
      <c r="M128" s="522"/>
      <c r="N128" s="522"/>
      <c r="O128" s="522"/>
      <c r="P128" s="520"/>
    </row>
    <row r="129" spans="2:16" ht="13.5" customHeight="1">
      <c r="B129" s="522"/>
      <c r="C129" s="522"/>
      <c r="D129" s="522"/>
      <c r="E129" s="522"/>
      <c r="F129" s="522"/>
      <c r="G129" s="522"/>
      <c r="H129" s="522"/>
      <c r="I129" s="522"/>
      <c r="J129" s="522"/>
      <c r="K129" s="522"/>
      <c r="L129" s="522"/>
      <c r="M129" s="522"/>
      <c r="N129" s="522"/>
      <c r="O129" s="522"/>
      <c r="P129" s="520"/>
    </row>
    <row r="130" spans="2:16" ht="13.5" customHeight="1">
      <c r="B130" s="522"/>
      <c r="C130" s="522"/>
      <c r="D130" s="522"/>
      <c r="E130" s="522"/>
      <c r="F130" s="522"/>
      <c r="G130" s="522"/>
      <c r="H130" s="522"/>
      <c r="I130" s="522"/>
      <c r="J130" s="522"/>
      <c r="K130" s="522"/>
      <c r="L130" s="522"/>
      <c r="M130" s="522"/>
      <c r="N130" s="522"/>
      <c r="O130" s="522"/>
      <c r="P130" s="520"/>
    </row>
    <row r="131" spans="2:16" ht="13.5" customHeight="1">
      <c r="B131" s="522"/>
      <c r="C131" s="522"/>
      <c r="D131" s="522"/>
      <c r="E131" s="522"/>
      <c r="F131" s="522"/>
      <c r="G131" s="522"/>
      <c r="H131" s="522"/>
      <c r="I131" s="522"/>
      <c r="J131" s="522"/>
      <c r="K131" s="522"/>
      <c r="L131" s="522"/>
      <c r="M131" s="522"/>
      <c r="N131" s="522"/>
      <c r="O131" s="522"/>
      <c r="P131" s="520"/>
    </row>
    <row r="132" spans="2:16" ht="13.5" customHeight="1">
      <c r="B132" s="522"/>
      <c r="C132" s="522"/>
      <c r="D132" s="522"/>
      <c r="E132" s="522"/>
      <c r="F132" s="522"/>
      <c r="G132" s="522"/>
      <c r="H132" s="522"/>
      <c r="I132" s="522"/>
      <c r="J132" s="522"/>
      <c r="K132" s="522"/>
      <c r="L132" s="522"/>
      <c r="M132" s="522"/>
      <c r="N132" s="522"/>
      <c r="O132" s="522"/>
      <c r="P132" s="520"/>
    </row>
    <row r="133" spans="2:16" ht="13.5" customHeight="1">
      <c r="B133" s="522"/>
      <c r="C133" s="522"/>
      <c r="D133" s="522"/>
      <c r="E133" s="522"/>
      <c r="F133" s="522"/>
      <c r="G133" s="522"/>
      <c r="H133" s="522"/>
      <c r="I133" s="522"/>
      <c r="J133" s="522"/>
      <c r="K133" s="522"/>
      <c r="L133" s="522"/>
      <c r="M133" s="522"/>
      <c r="N133" s="522"/>
      <c r="O133" s="522"/>
      <c r="P133" s="520"/>
    </row>
    <row r="134" spans="2:16" ht="13.5" customHeight="1">
      <c r="B134" s="522"/>
      <c r="C134" s="522"/>
      <c r="D134" s="522"/>
      <c r="E134" s="522"/>
      <c r="F134" s="522"/>
      <c r="G134" s="522"/>
      <c r="H134" s="522"/>
      <c r="I134" s="522"/>
      <c r="J134" s="522"/>
      <c r="K134" s="522"/>
      <c r="L134" s="522"/>
      <c r="M134" s="522"/>
      <c r="N134" s="522"/>
      <c r="O134" s="522"/>
      <c r="P134" s="520"/>
    </row>
    <row r="135" spans="2:16" ht="13.5" customHeight="1">
      <c r="B135" s="522"/>
      <c r="C135" s="522"/>
      <c r="D135" s="522"/>
      <c r="E135" s="522"/>
      <c r="F135" s="522"/>
      <c r="G135" s="522"/>
      <c r="H135" s="522"/>
      <c r="I135" s="522"/>
      <c r="J135" s="522"/>
      <c r="K135" s="522"/>
      <c r="L135" s="522"/>
      <c r="M135" s="522"/>
      <c r="N135" s="522"/>
      <c r="O135" s="522"/>
      <c r="P135" s="520"/>
    </row>
    <row r="136" spans="2:16" ht="13.5" customHeight="1">
      <c r="B136" s="522"/>
      <c r="C136" s="522"/>
      <c r="D136" s="522"/>
      <c r="E136" s="522"/>
      <c r="F136" s="522"/>
      <c r="G136" s="522"/>
      <c r="H136" s="522"/>
      <c r="I136" s="522"/>
      <c r="J136" s="522"/>
      <c r="K136" s="522"/>
      <c r="L136" s="522"/>
      <c r="M136" s="522"/>
      <c r="N136" s="522"/>
      <c r="O136" s="522"/>
      <c r="P136" s="520"/>
    </row>
    <row r="137" spans="2:16" ht="13.5" customHeight="1">
      <c r="B137" s="522"/>
      <c r="C137" s="522"/>
      <c r="D137" s="522"/>
      <c r="E137" s="522"/>
      <c r="F137" s="522"/>
      <c r="G137" s="522"/>
      <c r="H137" s="522"/>
      <c r="I137" s="522"/>
      <c r="J137" s="522"/>
      <c r="K137" s="522"/>
      <c r="L137" s="522"/>
      <c r="M137" s="522"/>
      <c r="N137" s="522"/>
      <c r="O137" s="522"/>
      <c r="P137" s="520"/>
    </row>
    <row r="138" spans="2:16" ht="13.5" customHeight="1">
      <c r="B138" s="522"/>
      <c r="C138" s="522"/>
      <c r="D138" s="522"/>
      <c r="E138" s="522"/>
      <c r="F138" s="522"/>
      <c r="G138" s="522"/>
      <c r="H138" s="522"/>
      <c r="I138" s="522"/>
      <c r="J138" s="522"/>
      <c r="K138" s="522"/>
      <c r="L138" s="522"/>
      <c r="M138" s="522"/>
      <c r="N138" s="522"/>
      <c r="O138" s="522"/>
      <c r="P138" s="520"/>
    </row>
    <row r="139" spans="2:16" ht="13.5" customHeight="1">
      <c r="B139" s="522"/>
      <c r="C139" s="522"/>
      <c r="D139" s="522"/>
      <c r="E139" s="522"/>
      <c r="F139" s="522"/>
      <c r="G139" s="522"/>
      <c r="H139" s="522"/>
      <c r="I139" s="522"/>
      <c r="J139" s="522"/>
      <c r="K139" s="522"/>
      <c r="L139" s="522"/>
      <c r="M139" s="522"/>
      <c r="N139" s="522"/>
      <c r="O139" s="522"/>
      <c r="P139" s="520"/>
    </row>
    <row r="140" spans="2:16" ht="13.5" customHeight="1">
      <c r="B140" s="522"/>
      <c r="C140" s="522"/>
      <c r="D140" s="522"/>
      <c r="E140" s="522"/>
      <c r="F140" s="522"/>
      <c r="G140" s="522"/>
      <c r="H140" s="522"/>
      <c r="I140" s="522"/>
      <c r="J140" s="522"/>
      <c r="K140" s="522"/>
      <c r="L140" s="522"/>
      <c r="M140" s="522"/>
      <c r="N140" s="522"/>
      <c r="O140" s="522"/>
      <c r="P140" s="520"/>
    </row>
    <row r="141" spans="2:16" ht="13.5" customHeight="1">
      <c r="B141" s="522"/>
      <c r="C141" s="522"/>
      <c r="D141" s="522"/>
      <c r="E141" s="522"/>
      <c r="F141" s="522"/>
      <c r="G141" s="522"/>
      <c r="H141" s="522"/>
      <c r="I141" s="522"/>
      <c r="J141" s="522"/>
      <c r="K141" s="522"/>
      <c r="L141" s="522"/>
      <c r="M141" s="522"/>
      <c r="N141" s="522"/>
      <c r="O141" s="522"/>
      <c r="P141" s="520"/>
    </row>
    <row r="142" spans="2:16" ht="13.5" customHeight="1">
      <c r="B142" s="522"/>
      <c r="C142" s="522"/>
      <c r="D142" s="522"/>
      <c r="E142" s="522"/>
      <c r="F142" s="522"/>
      <c r="G142" s="522"/>
      <c r="H142" s="522"/>
      <c r="I142" s="522"/>
      <c r="J142" s="522"/>
      <c r="K142" s="522"/>
      <c r="L142" s="522"/>
      <c r="M142" s="522"/>
      <c r="N142" s="522"/>
      <c r="O142" s="522"/>
      <c r="P142" s="520"/>
    </row>
    <row r="143" spans="2:16" ht="13.5" customHeight="1">
      <c r="B143" s="522"/>
      <c r="C143" s="522"/>
      <c r="D143" s="522"/>
      <c r="E143" s="522"/>
      <c r="F143" s="522"/>
      <c r="G143" s="522"/>
      <c r="H143" s="522"/>
      <c r="I143" s="522"/>
      <c r="J143" s="522"/>
      <c r="K143" s="522"/>
      <c r="L143" s="522"/>
      <c r="M143" s="522"/>
      <c r="N143" s="522"/>
      <c r="O143" s="522"/>
      <c r="P143" s="520"/>
    </row>
    <row r="144" spans="2:16" ht="13.5" customHeight="1">
      <c r="B144" s="522"/>
      <c r="C144" s="522"/>
      <c r="D144" s="522"/>
      <c r="E144" s="522"/>
      <c r="F144" s="522"/>
      <c r="G144" s="522"/>
      <c r="H144" s="522"/>
      <c r="I144" s="522"/>
      <c r="J144" s="522"/>
      <c r="K144" s="522"/>
      <c r="L144" s="522"/>
      <c r="M144" s="522"/>
      <c r="N144" s="522"/>
      <c r="O144" s="522"/>
      <c r="P144" s="520"/>
    </row>
    <row r="145" spans="2:16" ht="13.5" customHeight="1">
      <c r="B145" s="522"/>
      <c r="C145" s="522"/>
      <c r="D145" s="522"/>
      <c r="E145" s="522"/>
      <c r="F145" s="522"/>
      <c r="G145" s="522"/>
      <c r="H145" s="522"/>
      <c r="I145" s="522"/>
      <c r="J145" s="522"/>
      <c r="K145" s="522"/>
      <c r="L145" s="522"/>
      <c r="M145" s="522"/>
      <c r="N145" s="522"/>
      <c r="O145" s="522"/>
      <c r="P145" s="520"/>
    </row>
    <row r="146" spans="2:16" ht="13.5" customHeight="1">
      <c r="B146" s="522"/>
      <c r="C146" s="522"/>
      <c r="D146" s="522"/>
      <c r="E146" s="522"/>
      <c r="F146" s="522"/>
      <c r="G146" s="522"/>
      <c r="H146" s="522"/>
      <c r="I146" s="522"/>
      <c r="J146" s="522"/>
      <c r="K146" s="522"/>
      <c r="L146" s="522"/>
      <c r="M146" s="522"/>
      <c r="N146" s="522"/>
      <c r="O146" s="522"/>
      <c r="P146" s="520"/>
    </row>
    <row r="147" spans="2:16" ht="13.5" customHeight="1">
      <c r="B147" s="522"/>
      <c r="C147" s="522"/>
      <c r="D147" s="522"/>
      <c r="E147" s="522"/>
      <c r="F147" s="522"/>
      <c r="G147" s="522"/>
      <c r="H147" s="522"/>
      <c r="I147" s="522"/>
      <c r="J147" s="522"/>
      <c r="K147" s="522"/>
      <c r="L147" s="522"/>
      <c r="M147" s="522"/>
      <c r="N147" s="522"/>
      <c r="O147" s="522"/>
      <c r="P147" s="520"/>
    </row>
    <row r="148" spans="2:16" ht="13.5" customHeight="1">
      <c r="B148" s="522"/>
      <c r="C148" s="522"/>
      <c r="D148" s="522"/>
      <c r="E148" s="522"/>
      <c r="F148" s="522"/>
      <c r="G148" s="522"/>
      <c r="H148" s="522"/>
      <c r="I148" s="522"/>
      <c r="J148" s="522"/>
      <c r="K148" s="522"/>
      <c r="L148" s="522"/>
      <c r="M148" s="522"/>
      <c r="N148" s="522"/>
      <c r="O148" s="522"/>
      <c r="P148" s="520"/>
    </row>
    <row r="149" spans="2:16" ht="13.5" customHeight="1">
      <c r="B149" s="522"/>
      <c r="C149" s="522"/>
      <c r="D149" s="522"/>
      <c r="E149" s="522"/>
      <c r="F149" s="522"/>
      <c r="G149" s="522"/>
      <c r="H149" s="522"/>
      <c r="I149" s="522"/>
      <c r="J149" s="522"/>
      <c r="K149" s="522"/>
      <c r="L149" s="522"/>
      <c r="M149" s="522"/>
      <c r="N149" s="522"/>
      <c r="O149" s="522"/>
      <c r="P149" s="520"/>
    </row>
    <row r="150" spans="2:16" ht="13.5" customHeight="1">
      <c r="B150" s="522"/>
      <c r="C150" s="522"/>
      <c r="D150" s="522"/>
      <c r="E150" s="522"/>
      <c r="F150" s="522"/>
      <c r="G150" s="522"/>
      <c r="H150" s="522"/>
      <c r="I150" s="522"/>
      <c r="J150" s="522"/>
      <c r="K150" s="522"/>
      <c r="L150" s="522"/>
      <c r="M150" s="522"/>
      <c r="N150" s="522"/>
      <c r="O150" s="522"/>
      <c r="P150" s="520"/>
    </row>
    <row r="151" spans="2:16" ht="13.5" customHeight="1">
      <c r="B151" s="522"/>
      <c r="C151" s="522"/>
      <c r="D151" s="522"/>
      <c r="E151" s="522"/>
      <c r="F151" s="522"/>
      <c r="G151" s="522"/>
      <c r="H151" s="522"/>
      <c r="I151" s="522"/>
      <c r="J151" s="522"/>
      <c r="K151" s="522"/>
      <c r="L151" s="522"/>
      <c r="M151" s="522"/>
      <c r="N151" s="522"/>
      <c r="O151" s="522"/>
      <c r="P151" s="520"/>
    </row>
    <row r="152" spans="2:16" ht="13.5" customHeight="1">
      <c r="B152" s="522"/>
      <c r="C152" s="522"/>
      <c r="D152" s="522"/>
      <c r="E152" s="522"/>
      <c r="F152" s="522"/>
      <c r="G152" s="522"/>
      <c r="H152" s="522"/>
      <c r="I152" s="522"/>
      <c r="J152" s="522"/>
      <c r="K152" s="522"/>
      <c r="L152" s="522"/>
      <c r="M152" s="522"/>
      <c r="N152" s="522"/>
      <c r="O152" s="522"/>
      <c r="P152" s="520"/>
    </row>
    <row r="153" spans="2:16" ht="13.5" customHeight="1">
      <c r="B153" s="522"/>
      <c r="C153" s="522"/>
      <c r="D153" s="522"/>
      <c r="E153" s="522"/>
      <c r="F153" s="522"/>
      <c r="G153" s="522"/>
      <c r="H153" s="522"/>
      <c r="I153" s="522"/>
      <c r="J153" s="522"/>
      <c r="K153" s="522"/>
      <c r="L153" s="522"/>
      <c r="M153" s="522"/>
      <c r="N153" s="522"/>
      <c r="O153" s="522"/>
      <c r="P153" s="520"/>
    </row>
    <row r="154" spans="2:16" ht="13.5" customHeight="1">
      <c r="B154" s="522"/>
      <c r="C154" s="522"/>
      <c r="D154" s="522"/>
      <c r="E154" s="522"/>
      <c r="F154" s="522"/>
      <c r="G154" s="522"/>
      <c r="H154" s="522"/>
      <c r="I154" s="522"/>
      <c r="J154" s="522"/>
      <c r="K154" s="522"/>
      <c r="L154" s="522"/>
      <c r="M154" s="522"/>
      <c r="N154" s="522"/>
      <c r="O154" s="522"/>
      <c r="P154" s="520"/>
    </row>
    <row r="155" spans="2:16" ht="13.5" customHeight="1">
      <c r="B155" s="522"/>
      <c r="C155" s="522"/>
      <c r="D155" s="522"/>
      <c r="E155" s="522"/>
      <c r="F155" s="522"/>
      <c r="G155" s="522"/>
      <c r="H155" s="522"/>
      <c r="I155" s="522"/>
      <c r="J155" s="522"/>
      <c r="K155" s="522"/>
      <c r="L155" s="522"/>
      <c r="M155" s="522"/>
      <c r="N155" s="522"/>
      <c r="O155" s="522"/>
      <c r="P155" s="520"/>
    </row>
    <row r="156" spans="2:16" ht="13.5" customHeight="1">
      <c r="B156" s="522"/>
      <c r="C156" s="522"/>
      <c r="D156" s="522"/>
      <c r="E156" s="522"/>
      <c r="F156" s="522"/>
      <c r="G156" s="522"/>
      <c r="H156" s="522"/>
      <c r="I156" s="522"/>
      <c r="J156" s="522"/>
      <c r="K156" s="522"/>
      <c r="L156" s="522"/>
      <c r="M156" s="522"/>
      <c r="N156" s="522"/>
      <c r="O156" s="522"/>
      <c r="P156" s="520"/>
    </row>
    <row r="157" spans="2:16" ht="13.5" customHeight="1">
      <c r="B157" s="522"/>
      <c r="C157" s="522"/>
      <c r="D157" s="522"/>
      <c r="E157" s="522"/>
      <c r="F157" s="522"/>
      <c r="G157" s="522"/>
      <c r="H157" s="522"/>
      <c r="I157" s="522"/>
      <c r="J157" s="522"/>
      <c r="K157" s="522"/>
      <c r="L157" s="522"/>
      <c r="M157" s="522"/>
      <c r="N157" s="522"/>
      <c r="O157" s="522"/>
      <c r="P157" s="520"/>
    </row>
    <row r="158" spans="2:16" ht="13.5" customHeight="1">
      <c r="B158" s="522"/>
      <c r="C158" s="522"/>
      <c r="D158" s="522"/>
      <c r="E158" s="522"/>
      <c r="F158" s="522"/>
      <c r="G158" s="522"/>
      <c r="H158" s="522"/>
      <c r="I158" s="522"/>
      <c r="J158" s="522"/>
      <c r="K158" s="522"/>
      <c r="L158" s="522"/>
      <c r="M158" s="522"/>
      <c r="N158" s="522"/>
      <c r="O158" s="522"/>
      <c r="P158" s="520"/>
    </row>
    <row r="159" spans="2:16" ht="13.5" customHeight="1">
      <c r="B159" s="522"/>
      <c r="C159" s="522"/>
      <c r="D159" s="522"/>
      <c r="E159" s="522"/>
      <c r="F159" s="522"/>
      <c r="G159" s="522"/>
      <c r="H159" s="522"/>
      <c r="I159" s="522"/>
      <c r="J159" s="522"/>
      <c r="K159" s="522"/>
      <c r="L159" s="522"/>
      <c r="M159" s="522"/>
      <c r="N159" s="522"/>
      <c r="O159" s="522"/>
      <c r="P159" s="520"/>
    </row>
    <row r="160" spans="2:16" ht="13.5" customHeight="1">
      <c r="B160" s="522"/>
      <c r="C160" s="522"/>
      <c r="D160" s="522"/>
      <c r="E160" s="522"/>
      <c r="F160" s="522"/>
      <c r="G160" s="522"/>
      <c r="H160" s="522"/>
      <c r="I160" s="522"/>
      <c r="J160" s="522"/>
      <c r="K160" s="522"/>
      <c r="L160" s="522"/>
      <c r="M160" s="522"/>
      <c r="N160" s="522"/>
      <c r="O160" s="522"/>
      <c r="P160" s="520"/>
    </row>
    <row r="161" spans="2:16" ht="13.5" customHeight="1">
      <c r="B161" s="522"/>
      <c r="C161" s="522"/>
      <c r="D161" s="522"/>
      <c r="E161" s="522"/>
      <c r="F161" s="522"/>
      <c r="G161" s="522"/>
      <c r="H161" s="522"/>
      <c r="I161" s="522"/>
      <c r="J161" s="522"/>
      <c r="K161" s="522"/>
      <c r="L161" s="522"/>
      <c r="M161" s="522"/>
      <c r="N161" s="522"/>
      <c r="O161" s="522"/>
      <c r="P161" s="520"/>
    </row>
    <row r="162" spans="2:16" ht="13.5" customHeight="1">
      <c r="B162" s="522"/>
      <c r="C162" s="522"/>
      <c r="D162" s="522"/>
      <c r="E162" s="522"/>
      <c r="F162" s="522"/>
      <c r="G162" s="522"/>
      <c r="H162" s="522"/>
      <c r="I162" s="522"/>
      <c r="J162" s="522"/>
      <c r="K162" s="522"/>
      <c r="L162" s="522"/>
      <c r="M162" s="522"/>
      <c r="N162" s="522"/>
      <c r="O162" s="522"/>
      <c r="P162" s="520"/>
    </row>
    <row r="163" spans="2:16" ht="13.5" customHeight="1">
      <c r="B163" s="522"/>
      <c r="C163" s="522"/>
      <c r="D163" s="522"/>
      <c r="E163" s="522"/>
      <c r="F163" s="522"/>
      <c r="G163" s="522"/>
      <c r="H163" s="522"/>
      <c r="I163" s="522"/>
      <c r="J163" s="522"/>
      <c r="K163" s="522"/>
      <c r="L163" s="522"/>
      <c r="M163" s="522"/>
      <c r="N163" s="522"/>
      <c r="O163" s="522"/>
      <c r="P163" s="520"/>
    </row>
    <row r="164" spans="2:16" ht="13.5" customHeight="1">
      <c r="B164" s="522"/>
      <c r="C164" s="522"/>
      <c r="D164" s="522"/>
      <c r="E164" s="522"/>
      <c r="F164" s="522"/>
      <c r="G164" s="522"/>
      <c r="H164" s="522"/>
      <c r="I164" s="522"/>
      <c r="J164" s="522"/>
      <c r="K164" s="522"/>
      <c r="L164" s="522"/>
      <c r="M164" s="522"/>
      <c r="N164" s="522"/>
      <c r="O164" s="522"/>
      <c r="P164" s="520"/>
    </row>
    <row r="165" spans="2:16" ht="13.5" customHeight="1">
      <c r="B165" s="522"/>
      <c r="C165" s="522"/>
      <c r="D165" s="522"/>
      <c r="E165" s="522"/>
      <c r="F165" s="522"/>
      <c r="G165" s="522"/>
      <c r="H165" s="522"/>
      <c r="I165" s="522"/>
      <c r="J165" s="522"/>
      <c r="K165" s="522"/>
      <c r="L165" s="522"/>
      <c r="M165" s="522"/>
      <c r="N165" s="522"/>
      <c r="O165" s="522"/>
      <c r="P165" s="520"/>
    </row>
    <row r="166" spans="2:16" ht="13.5" customHeight="1">
      <c r="B166" s="522"/>
      <c r="C166" s="522"/>
      <c r="D166" s="522"/>
      <c r="E166" s="522"/>
      <c r="F166" s="522"/>
      <c r="G166" s="522"/>
      <c r="H166" s="522"/>
      <c r="I166" s="522"/>
      <c r="J166" s="522"/>
      <c r="K166" s="522"/>
      <c r="L166" s="522"/>
      <c r="M166" s="522"/>
      <c r="N166" s="522"/>
      <c r="O166" s="522"/>
      <c r="P166" s="520"/>
    </row>
    <row r="167" spans="2:16" ht="13.5" customHeight="1">
      <c r="B167" s="522"/>
      <c r="C167" s="522"/>
      <c r="D167" s="522"/>
      <c r="E167" s="522"/>
      <c r="F167" s="522"/>
      <c r="G167" s="522"/>
      <c r="H167" s="522"/>
      <c r="I167" s="522"/>
      <c r="J167" s="522"/>
      <c r="K167" s="522"/>
      <c r="L167" s="522"/>
      <c r="M167" s="522"/>
      <c r="N167" s="522"/>
      <c r="O167" s="522"/>
      <c r="P167" s="520"/>
    </row>
    <row r="168" spans="2:16" ht="13.5" customHeight="1">
      <c r="B168" s="522"/>
      <c r="C168" s="522"/>
      <c r="D168" s="522"/>
      <c r="E168" s="522"/>
      <c r="F168" s="522"/>
      <c r="G168" s="522"/>
      <c r="H168" s="522"/>
      <c r="I168" s="522"/>
      <c r="J168" s="522"/>
      <c r="K168" s="522"/>
      <c r="L168" s="522"/>
      <c r="M168" s="522"/>
      <c r="N168" s="522"/>
      <c r="O168" s="522"/>
      <c r="P168" s="520"/>
    </row>
    <row r="169" spans="2:16" ht="13.5" customHeight="1">
      <c r="B169" s="522"/>
      <c r="C169" s="522"/>
      <c r="D169" s="522"/>
      <c r="E169" s="522"/>
      <c r="F169" s="522"/>
      <c r="G169" s="522"/>
      <c r="H169" s="522"/>
      <c r="I169" s="522"/>
      <c r="J169" s="522"/>
      <c r="K169" s="522"/>
      <c r="L169" s="522"/>
      <c r="M169" s="522"/>
      <c r="N169" s="522"/>
      <c r="O169" s="522"/>
      <c r="P169" s="520"/>
    </row>
    <row r="170" spans="2:16" ht="13.5" customHeight="1">
      <c r="B170" s="522"/>
      <c r="C170" s="522"/>
      <c r="D170" s="522"/>
      <c r="E170" s="522"/>
      <c r="F170" s="522"/>
      <c r="G170" s="522"/>
      <c r="H170" s="522"/>
      <c r="I170" s="522"/>
      <c r="J170" s="522"/>
      <c r="K170" s="522"/>
      <c r="L170" s="522"/>
      <c r="M170" s="522"/>
      <c r="N170" s="522"/>
      <c r="O170" s="522"/>
      <c r="P170" s="520"/>
    </row>
    <row r="171" spans="2:16" ht="13.5" customHeight="1">
      <c r="B171" s="522"/>
      <c r="C171" s="522"/>
      <c r="D171" s="522"/>
      <c r="E171" s="522"/>
      <c r="F171" s="522"/>
      <c r="G171" s="522"/>
      <c r="H171" s="522"/>
      <c r="I171" s="522"/>
      <c r="J171" s="522"/>
      <c r="K171" s="522"/>
      <c r="L171" s="522"/>
      <c r="M171" s="522"/>
      <c r="N171" s="522"/>
      <c r="O171" s="522"/>
      <c r="P171" s="520"/>
    </row>
    <row r="172" spans="2:16" ht="13.5" customHeight="1">
      <c r="B172" s="522"/>
      <c r="C172" s="522"/>
      <c r="D172" s="522"/>
      <c r="E172" s="522"/>
      <c r="F172" s="522"/>
      <c r="G172" s="522"/>
      <c r="H172" s="522"/>
      <c r="I172" s="522"/>
      <c r="J172" s="522"/>
      <c r="K172" s="522"/>
      <c r="L172" s="522"/>
      <c r="M172" s="522"/>
      <c r="N172" s="522"/>
      <c r="O172" s="522"/>
      <c r="P172" s="520"/>
    </row>
    <row r="173" spans="2:16" ht="13.5" customHeight="1">
      <c r="B173" s="522"/>
      <c r="C173" s="522"/>
      <c r="D173" s="522"/>
      <c r="E173" s="522"/>
      <c r="F173" s="522"/>
      <c r="G173" s="522"/>
      <c r="H173" s="522"/>
      <c r="I173" s="522"/>
      <c r="J173" s="522"/>
      <c r="K173" s="522"/>
      <c r="L173" s="522"/>
      <c r="M173" s="522"/>
      <c r="N173" s="522"/>
      <c r="O173" s="522"/>
      <c r="P173" s="520"/>
    </row>
    <row r="174" spans="2:16" ht="13.5" customHeight="1">
      <c r="B174" s="522"/>
      <c r="C174" s="522"/>
      <c r="D174" s="522"/>
      <c r="E174" s="522"/>
      <c r="F174" s="522"/>
      <c r="G174" s="522"/>
      <c r="H174" s="522"/>
      <c r="I174" s="522"/>
      <c r="J174" s="522"/>
      <c r="K174" s="522"/>
      <c r="L174" s="522"/>
      <c r="M174" s="522"/>
      <c r="N174" s="522"/>
      <c r="O174" s="522"/>
      <c r="P174" s="520"/>
    </row>
    <row r="175" spans="2:16" ht="13.5" customHeight="1">
      <c r="B175" s="522"/>
      <c r="C175" s="522"/>
      <c r="D175" s="522"/>
      <c r="E175" s="522"/>
      <c r="F175" s="522"/>
      <c r="G175" s="522"/>
      <c r="H175" s="522"/>
      <c r="I175" s="522"/>
      <c r="J175" s="522"/>
      <c r="K175" s="522"/>
      <c r="L175" s="522"/>
      <c r="M175" s="522"/>
      <c r="N175" s="522"/>
      <c r="O175" s="522"/>
      <c r="P175" s="520"/>
    </row>
    <row r="176" spans="2:16" ht="13.5" customHeight="1">
      <c r="B176" s="522"/>
      <c r="C176" s="522"/>
      <c r="D176" s="522"/>
      <c r="E176" s="522"/>
      <c r="F176" s="522"/>
      <c r="G176" s="522"/>
      <c r="H176" s="522"/>
      <c r="I176" s="522"/>
      <c r="J176" s="522"/>
      <c r="K176" s="522"/>
      <c r="L176" s="522"/>
      <c r="M176" s="522"/>
      <c r="N176" s="522"/>
      <c r="O176" s="522"/>
      <c r="P176" s="520"/>
    </row>
    <row r="177" spans="2:16" ht="13.5" customHeight="1">
      <c r="B177" s="522"/>
      <c r="C177" s="522"/>
      <c r="D177" s="522"/>
      <c r="E177" s="522"/>
      <c r="F177" s="522"/>
      <c r="G177" s="522"/>
      <c r="H177" s="522"/>
      <c r="I177" s="522"/>
      <c r="J177" s="522"/>
      <c r="K177" s="522"/>
      <c r="L177" s="522"/>
      <c r="M177" s="522"/>
      <c r="N177" s="522"/>
      <c r="O177" s="522"/>
      <c r="P177" s="520"/>
    </row>
    <row r="178" spans="2:16" ht="13.5" customHeight="1">
      <c r="B178" s="522"/>
      <c r="C178" s="522"/>
      <c r="D178" s="522"/>
      <c r="E178" s="522"/>
      <c r="F178" s="522"/>
      <c r="G178" s="522"/>
      <c r="H178" s="522"/>
      <c r="I178" s="522"/>
      <c r="J178" s="522"/>
      <c r="K178" s="522"/>
      <c r="L178" s="522"/>
      <c r="M178" s="522"/>
      <c r="N178" s="522"/>
      <c r="O178" s="522"/>
      <c r="P178" s="520"/>
    </row>
    <row r="179" spans="2:16" ht="13.5" customHeight="1">
      <c r="B179" s="522"/>
      <c r="C179" s="522"/>
      <c r="D179" s="522"/>
      <c r="E179" s="522"/>
      <c r="F179" s="522"/>
      <c r="G179" s="522"/>
      <c r="H179" s="522"/>
      <c r="I179" s="522"/>
      <c r="J179" s="522"/>
      <c r="K179" s="522"/>
      <c r="L179" s="522"/>
      <c r="M179" s="522"/>
      <c r="N179" s="522"/>
      <c r="O179" s="522"/>
      <c r="P179" s="520"/>
    </row>
    <row r="180" spans="2:16" ht="13.5" customHeight="1">
      <c r="B180" s="522"/>
      <c r="C180" s="522"/>
      <c r="D180" s="522"/>
      <c r="E180" s="522"/>
      <c r="F180" s="522"/>
      <c r="G180" s="522"/>
      <c r="H180" s="522"/>
      <c r="I180" s="522"/>
      <c r="J180" s="522"/>
      <c r="K180" s="522"/>
      <c r="L180" s="522"/>
      <c r="M180" s="522"/>
      <c r="N180" s="522"/>
      <c r="O180" s="522"/>
      <c r="P180" s="520"/>
    </row>
    <row r="181" spans="2:16" ht="13.5" customHeight="1">
      <c r="B181" s="522"/>
      <c r="C181" s="522"/>
      <c r="D181" s="522"/>
      <c r="E181" s="522"/>
      <c r="F181" s="522"/>
      <c r="G181" s="522"/>
      <c r="H181" s="522"/>
      <c r="I181" s="522"/>
      <c r="J181" s="522"/>
      <c r="K181" s="522"/>
      <c r="L181" s="522"/>
      <c r="M181" s="522"/>
      <c r="N181" s="522"/>
      <c r="O181" s="522"/>
      <c r="P181" s="520"/>
    </row>
    <row r="182" spans="2:16" ht="13.5" customHeight="1">
      <c r="B182" s="522"/>
      <c r="C182" s="522"/>
      <c r="D182" s="522"/>
      <c r="E182" s="522"/>
      <c r="F182" s="522"/>
      <c r="G182" s="522"/>
      <c r="H182" s="522"/>
      <c r="I182" s="522"/>
      <c r="J182" s="522"/>
      <c r="K182" s="522"/>
      <c r="L182" s="522"/>
      <c r="M182" s="522"/>
      <c r="N182" s="522"/>
      <c r="O182" s="522"/>
      <c r="P182" s="520"/>
    </row>
    <row r="183" spans="2:16" ht="13.5" customHeight="1">
      <c r="B183" s="522"/>
      <c r="C183" s="522"/>
      <c r="D183" s="522"/>
      <c r="E183" s="522"/>
      <c r="F183" s="522"/>
      <c r="G183" s="522"/>
      <c r="H183" s="522"/>
      <c r="I183" s="522"/>
      <c r="J183" s="522"/>
      <c r="K183" s="522"/>
      <c r="L183" s="522"/>
      <c r="M183" s="522"/>
      <c r="N183" s="522"/>
      <c r="O183" s="522"/>
      <c r="P183" s="520"/>
    </row>
    <row r="184" spans="2:16" ht="13.5" customHeight="1">
      <c r="B184" s="522"/>
      <c r="C184" s="522"/>
      <c r="D184" s="522"/>
      <c r="E184" s="522"/>
      <c r="F184" s="522"/>
      <c r="G184" s="522"/>
      <c r="H184" s="522"/>
      <c r="I184" s="522"/>
      <c r="J184" s="522"/>
      <c r="K184" s="522"/>
      <c r="L184" s="522"/>
      <c r="M184" s="522"/>
      <c r="N184" s="522"/>
      <c r="O184" s="522"/>
      <c r="P184" s="520"/>
    </row>
    <row r="185" spans="2:16" ht="13.5" customHeight="1">
      <c r="B185" s="522"/>
      <c r="C185" s="522"/>
      <c r="D185" s="522"/>
      <c r="E185" s="522"/>
      <c r="F185" s="522"/>
      <c r="G185" s="522"/>
      <c r="H185" s="522"/>
      <c r="I185" s="522"/>
      <c r="J185" s="522"/>
      <c r="K185" s="522"/>
      <c r="L185" s="522"/>
      <c r="M185" s="522"/>
      <c r="N185" s="522"/>
      <c r="O185" s="522"/>
      <c r="P185" s="520"/>
    </row>
    <row r="186" spans="2:16" ht="13.5" customHeight="1">
      <c r="B186" s="522"/>
      <c r="C186" s="522"/>
      <c r="D186" s="522"/>
      <c r="E186" s="522"/>
      <c r="F186" s="522"/>
      <c r="G186" s="522"/>
      <c r="H186" s="522"/>
      <c r="I186" s="522"/>
      <c r="J186" s="522"/>
      <c r="K186" s="522"/>
      <c r="L186" s="522"/>
      <c r="M186" s="522"/>
      <c r="N186" s="522"/>
      <c r="O186" s="522"/>
      <c r="P186" s="520"/>
    </row>
    <row r="187" spans="2:16" ht="13.5" customHeight="1">
      <c r="B187" s="522"/>
      <c r="C187" s="522"/>
      <c r="D187" s="522"/>
      <c r="E187" s="522"/>
      <c r="F187" s="522"/>
      <c r="G187" s="522"/>
      <c r="H187" s="522"/>
      <c r="I187" s="522"/>
      <c r="J187" s="522"/>
      <c r="K187" s="522"/>
      <c r="L187" s="522"/>
      <c r="M187" s="522"/>
      <c r="N187" s="522"/>
      <c r="O187" s="522"/>
      <c r="P187" s="520"/>
    </row>
    <row r="188" spans="2:16" ht="13.5" customHeight="1">
      <c r="B188" s="522"/>
      <c r="C188" s="522"/>
      <c r="D188" s="522"/>
      <c r="E188" s="522"/>
      <c r="F188" s="522"/>
      <c r="G188" s="522"/>
      <c r="H188" s="522"/>
      <c r="I188" s="522"/>
      <c r="J188" s="522"/>
      <c r="K188" s="522"/>
      <c r="L188" s="522"/>
      <c r="M188" s="522"/>
      <c r="N188" s="522"/>
      <c r="O188" s="522"/>
      <c r="P188" s="520"/>
    </row>
    <row r="189" spans="2:16" ht="13.5" customHeight="1">
      <c r="B189" s="522"/>
      <c r="C189" s="522"/>
      <c r="D189" s="522"/>
      <c r="E189" s="522"/>
      <c r="F189" s="522"/>
      <c r="G189" s="522"/>
      <c r="H189" s="522"/>
      <c r="I189" s="522"/>
      <c r="J189" s="522"/>
      <c r="K189" s="522"/>
      <c r="L189" s="522"/>
      <c r="M189" s="522"/>
      <c r="N189" s="522"/>
      <c r="O189" s="522"/>
      <c r="P189" s="520"/>
    </row>
    <row r="190" spans="2:16" ht="13.5" customHeight="1">
      <c r="B190" s="522"/>
      <c r="C190" s="522"/>
      <c r="D190" s="522"/>
      <c r="E190" s="522"/>
      <c r="F190" s="522"/>
      <c r="G190" s="522"/>
      <c r="H190" s="522"/>
      <c r="I190" s="522"/>
      <c r="J190" s="522"/>
      <c r="K190" s="522"/>
      <c r="L190" s="522"/>
      <c r="M190" s="522"/>
      <c r="N190" s="522"/>
      <c r="O190" s="522"/>
      <c r="P190" s="520"/>
    </row>
    <row r="191" spans="2:16" ht="13.5" customHeight="1">
      <c r="B191" s="522"/>
      <c r="C191" s="522"/>
      <c r="D191" s="522"/>
      <c r="E191" s="522"/>
      <c r="F191" s="522"/>
      <c r="G191" s="522"/>
      <c r="H191" s="522"/>
      <c r="I191" s="522"/>
      <c r="J191" s="522"/>
      <c r="K191" s="522"/>
      <c r="L191" s="522"/>
      <c r="M191" s="522"/>
      <c r="N191" s="522"/>
      <c r="O191" s="522"/>
      <c r="P191" s="520"/>
    </row>
    <row r="192" spans="2:16" ht="13.5" customHeight="1">
      <c r="B192" s="522"/>
      <c r="C192" s="522"/>
      <c r="D192" s="522"/>
      <c r="E192" s="522"/>
      <c r="F192" s="522"/>
      <c r="G192" s="522"/>
      <c r="H192" s="522"/>
      <c r="I192" s="522"/>
      <c r="J192" s="522"/>
      <c r="K192" s="522"/>
      <c r="L192" s="522"/>
      <c r="M192" s="522"/>
      <c r="N192" s="522"/>
      <c r="O192" s="522"/>
      <c r="P192" s="520"/>
    </row>
    <row r="193" spans="2:16" ht="13.5" customHeight="1">
      <c r="B193" s="522"/>
      <c r="C193" s="522"/>
      <c r="D193" s="522"/>
      <c r="E193" s="522"/>
      <c r="F193" s="522"/>
      <c r="G193" s="522"/>
      <c r="H193" s="522"/>
      <c r="I193" s="522"/>
      <c r="J193" s="522"/>
      <c r="K193" s="522"/>
      <c r="L193" s="522"/>
      <c r="M193" s="522"/>
      <c r="N193" s="522"/>
      <c r="O193" s="522"/>
      <c r="P193" s="520"/>
    </row>
    <row r="194" spans="2:16" ht="13.5" customHeight="1">
      <c r="B194" s="522"/>
      <c r="C194" s="522"/>
      <c r="D194" s="522"/>
      <c r="E194" s="522"/>
      <c r="F194" s="522"/>
      <c r="G194" s="522"/>
      <c r="H194" s="522"/>
      <c r="I194" s="522"/>
      <c r="J194" s="522"/>
      <c r="K194" s="522"/>
      <c r="L194" s="522"/>
      <c r="M194" s="522"/>
      <c r="N194" s="522"/>
      <c r="O194" s="522"/>
      <c r="P194" s="520"/>
    </row>
    <row r="195" spans="2:16" ht="13.5" customHeight="1">
      <c r="B195" s="522"/>
      <c r="C195" s="522"/>
      <c r="D195" s="522"/>
      <c r="E195" s="522"/>
      <c r="F195" s="522"/>
      <c r="G195" s="522"/>
      <c r="H195" s="522"/>
      <c r="I195" s="522"/>
      <c r="J195" s="522"/>
      <c r="K195" s="522"/>
      <c r="L195" s="522"/>
      <c r="M195" s="522"/>
      <c r="N195" s="522"/>
      <c r="O195" s="522"/>
      <c r="P195" s="520"/>
    </row>
    <row r="196" spans="2:16" ht="13.5" customHeight="1">
      <c r="B196" s="522"/>
      <c r="C196" s="522"/>
      <c r="D196" s="522"/>
      <c r="E196" s="522"/>
      <c r="F196" s="522"/>
      <c r="G196" s="522"/>
      <c r="H196" s="522"/>
      <c r="I196" s="522"/>
      <c r="J196" s="522"/>
      <c r="K196" s="522"/>
      <c r="L196" s="522"/>
      <c r="M196" s="522"/>
      <c r="N196" s="522"/>
      <c r="O196" s="522"/>
      <c r="P196" s="520"/>
    </row>
    <row r="197" spans="2:16" ht="13.5" customHeight="1">
      <c r="B197" s="522"/>
      <c r="C197" s="522"/>
      <c r="D197" s="522"/>
      <c r="E197" s="522"/>
      <c r="F197" s="522"/>
      <c r="G197" s="522"/>
      <c r="H197" s="522"/>
      <c r="I197" s="522"/>
      <c r="J197" s="522"/>
      <c r="K197" s="522"/>
      <c r="L197" s="522"/>
      <c r="M197" s="522"/>
      <c r="N197" s="522"/>
      <c r="O197" s="522"/>
      <c r="P197" s="520"/>
    </row>
    <row r="198" spans="2:16" ht="13.5" customHeight="1">
      <c r="B198" s="522"/>
      <c r="C198" s="522"/>
      <c r="D198" s="522"/>
      <c r="E198" s="522"/>
      <c r="F198" s="522"/>
      <c r="G198" s="522"/>
      <c r="H198" s="522"/>
      <c r="I198" s="522"/>
      <c r="J198" s="522"/>
      <c r="K198" s="522"/>
      <c r="L198" s="522"/>
      <c r="M198" s="522"/>
      <c r="N198" s="522"/>
      <c r="O198" s="522"/>
      <c r="P198" s="520"/>
    </row>
    <row r="199" spans="2:16" ht="13.5" customHeight="1">
      <c r="B199" s="522"/>
      <c r="C199" s="522"/>
      <c r="D199" s="522"/>
      <c r="E199" s="522"/>
      <c r="F199" s="522"/>
      <c r="G199" s="522"/>
      <c r="H199" s="522"/>
      <c r="I199" s="522"/>
      <c r="J199" s="522"/>
      <c r="K199" s="522"/>
      <c r="L199" s="522"/>
      <c r="M199" s="522"/>
      <c r="N199" s="522"/>
      <c r="O199" s="522"/>
      <c r="P199" s="520"/>
    </row>
    <row r="200" spans="2:16" ht="13.5" customHeight="1">
      <c r="B200" s="522"/>
      <c r="C200" s="522"/>
      <c r="D200" s="522"/>
      <c r="E200" s="522"/>
      <c r="F200" s="522"/>
      <c r="G200" s="522"/>
      <c r="H200" s="522"/>
      <c r="I200" s="522"/>
      <c r="J200" s="522"/>
      <c r="K200" s="522"/>
      <c r="L200" s="522"/>
      <c r="M200" s="522"/>
      <c r="N200" s="522"/>
      <c r="O200" s="522"/>
      <c r="P200" s="520"/>
    </row>
    <row r="201" spans="2:16" ht="13.5" customHeight="1">
      <c r="B201" s="522"/>
      <c r="C201" s="522"/>
      <c r="D201" s="522"/>
      <c r="E201" s="522"/>
      <c r="F201" s="522"/>
      <c r="G201" s="522"/>
      <c r="H201" s="522"/>
      <c r="I201" s="522"/>
      <c r="J201" s="522"/>
      <c r="K201" s="522"/>
      <c r="L201" s="522"/>
      <c r="M201" s="522"/>
      <c r="N201" s="522"/>
      <c r="O201" s="522"/>
      <c r="P201" s="520"/>
    </row>
    <row r="202" spans="2:16" ht="13.5" customHeight="1">
      <c r="B202" s="522"/>
      <c r="C202" s="522"/>
      <c r="D202" s="522"/>
      <c r="E202" s="522"/>
      <c r="F202" s="522"/>
      <c r="G202" s="522"/>
      <c r="H202" s="522"/>
      <c r="I202" s="522"/>
      <c r="J202" s="522"/>
      <c r="K202" s="522"/>
      <c r="L202" s="522"/>
      <c r="M202" s="522"/>
      <c r="N202" s="522"/>
      <c r="O202" s="522"/>
      <c r="P202" s="520"/>
    </row>
    <row r="203" spans="2:16" ht="13.5" customHeight="1">
      <c r="B203" s="522"/>
      <c r="C203" s="522"/>
      <c r="D203" s="522"/>
      <c r="E203" s="522"/>
      <c r="F203" s="522"/>
      <c r="G203" s="522"/>
      <c r="H203" s="522"/>
      <c r="I203" s="522"/>
      <c r="J203" s="522"/>
      <c r="K203" s="522"/>
      <c r="L203" s="522"/>
      <c r="M203" s="522"/>
      <c r="N203" s="522"/>
      <c r="O203" s="522"/>
      <c r="P203" s="520"/>
    </row>
    <row r="204" spans="2:16" ht="13.5" customHeight="1">
      <c r="B204" s="522"/>
      <c r="C204" s="522"/>
      <c r="D204" s="522"/>
      <c r="E204" s="522"/>
      <c r="F204" s="522"/>
      <c r="G204" s="522"/>
      <c r="H204" s="522"/>
      <c r="I204" s="522"/>
      <c r="J204" s="522"/>
      <c r="K204" s="522"/>
      <c r="L204" s="522"/>
      <c r="M204" s="522"/>
      <c r="N204" s="522"/>
      <c r="O204" s="522"/>
      <c r="P204" s="520"/>
    </row>
    <row r="205" spans="2:16" ht="13.5" customHeight="1">
      <c r="B205" s="522"/>
      <c r="C205" s="522"/>
      <c r="D205" s="522"/>
      <c r="E205" s="522"/>
      <c r="F205" s="522"/>
      <c r="G205" s="522"/>
      <c r="H205" s="522"/>
      <c r="I205" s="522"/>
      <c r="J205" s="522"/>
      <c r="K205" s="522"/>
      <c r="L205" s="522"/>
      <c r="M205" s="522"/>
      <c r="N205" s="522"/>
      <c r="O205" s="522"/>
      <c r="P205" s="520"/>
    </row>
    <row r="206" spans="2:16" ht="13.5" customHeight="1">
      <c r="B206" s="522"/>
      <c r="C206" s="522"/>
      <c r="D206" s="522"/>
      <c r="E206" s="522"/>
      <c r="F206" s="522"/>
      <c r="G206" s="522"/>
      <c r="H206" s="522"/>
      <c r="I206" s="522"/>
      <c r="J206" s="522"/>
      <c r="K206" s="522"/>
      <c r="L206" s="522"/>
      <c r="M206" s="522"/>
      <c r="N206" s="522"/>
      <c r="O206" s="522"/>
      <c r="P206" s="520"/>
    </row>
    <row r="207" spans="2:16" ht="13.5" customHeight="1">
      <c r="B207" s="522"/>
      <c r="C207" s="522"/>
      <c r="D207" s="522"/>
      <c r="E207" s="522"/>
      <c r="F207" s="522"/>
      <c r="G207" s="522"/>
      <c r="H207" s="522"/>
      <c r="I207" s="522"/>
      <c r="J207" s="522"/>
      <c r="K207" s="522"/>
      <c r="L207" s="522"/>
      <c r="M207" s="522"/>
      <c r="N207" s="522"/>
      <c r="O207" s="522"/>
      <c r="P207" s="520"/>
    </row>
    <row r="208" spans="2:16" ht="13.5" customHeight="1">
      <c r="B208" s="522"/>
      <c r="C208" s="522"/>
      <c r="D208" s="522"/>
      <c r="E208" s="522"/>
      <c r="F208" s="522"/>
      <c r="G208" s="522"/>
      <c r="H208" s="522"/>
      <c r="I208" s="522"/>
      <c r="J208" s="522"/>
      <c r="K208" s="522"/>
      <c r="L208" s="522"/>
      <c r="M208" s="522"/>
      <c r="N208" s="522"/>
      <c r="O208" s="522"/>
      <c r="P208" s="520"/>
    </row>
    <row r="209" spans="2:16" ht="13.5" customHeight="1">
      <c r="B209" s="522"/>
      <c r="C209" s="522"/>
      <c r="D209" s="522"/>
      <c r="E209" s="522"/>
      <c r="F209" s="522"/>
      <c r="G209" s="522"/>
      <c r="H209" s="522"/>
      <c r="I209" s="522"/>
      <c r="J209" s="522"/>
      <c r="K209" s="522"/>
      <c r="L209" s="522"/>
      <c r="M209" s="522"/>
      <c r="N209" s="522"/>
      <c r="O209" s="522"/>
      <c r="P209" s="520"/>
    </row>
    <row r="210" spans="2:16" ht="13.5" customHeight="1">
      <c r="B210" s="522"/>
      <c r="C210" s="522"/>
      <c r="D210" s="522"/>
      <c r="E210" s="522"/>
      <c r="F210" s="522"/>
      <c r="G210" s="522"/>
      <c r="H210" s="522"/>
      <c r="I210" s="522"/>
      <c r="J210" s="522"/>
      <c r="K210" s="522"/>
      <c r="L210" s="522"/>
      <c r="M210" s="522"/>
      <c r="N210" s="522"/>
      <c r="O210" s="522"/>
      <c r="P210" s="520"/>
    </row>
    <row r="211" spans="2:16" ht="13.5" customHeight="1">
      <c r="B211" s="522"/>
      <c r="C211" s="522"/>
      <c r="D211" s="522"/>
      <c r="E211" s="522"/>
      <c r="F211" s="522"/>
      <c r="G211" s="522"/>
      <c r="H211" s="522"/>
      <c r="I211" s="522"/>
      <c r="J211" s="522"/>
      <c r="K211" s="522"/>
      <c r="L211" s="522"/>
      <c r="M211" s="522"/>
      <c r="N211" s="522"/>
      <c r="O211" s="522"/>
      <c r="P211" s="520"/>
    </row>
    <row r="212" spans="2:16" ht="13.5" customHeight="1">
      <c r="B212" s="522"/>
      <c r="C212" s="522"/>
      <c r="D212" s="522"/>
      <c r="E212" s="522"/>
      <c r="F212" s="522"/>
      <c r="G212" s="522"/>
      <c r="H212" s="522"/>
      <c r="I212" s="522"/>
      <c r="J212" s="522"/>
      <c r="K212" s="522"/>
      <c r="L212" s="522"/>
      <c r="M212" s="522"/>
      <c r="N212" s="522"/>
      <c r="O212" s="522"/>
      <c r="P212" s="520"/>
    </row>
    <row r="213" spans="2:16" ht="13.5" customHeight="1">
      <c r="B213" s="522"/>
      <c r="C213" s="522"/>
      <c r="D213" s="522"/>
      <c r="E213" s="522"/>
      <c r="F213" s="522"/>
      <c r="G213" s="522"/>
      <c r="H213" s="522"/>
      <c r="I213" s="522"/>
      <c r="J213" s="522"/>
      <c r="K213" s="522"/>
      <c r="L213" s="522"/>
      <c r="M213" s="522"/>
      <c r="N213" s="522"/>
      <c r="O213" s="522"/>
      <c r="P213" s="520"/>
    </row>
    <row r="214" spans="2:16" ht="13.5" customHeight="1">
      <c r="B214" s="522"/>
      <c r="C214" s="522"/>
      <c r="D214" s="522"/>
      <c r="E214" s="522"/>
      <c r="F214" s="522"/>
      <c r="G214" s="522"/>
      <c r="H214" s="522"/>
      <c r="I214" s="522"/>
      <c r="J214" s="522"/>
      <c r="K214" s="522"/>
      <c r="L214" s="522"/>
      <c r="M214" s="522"/>
      <c r="N214" s="522"/>
      <c r="O214" s="522"/>
      <c r="P214" s="520"/>
    </row>
    <row r="215" spans="2:16" ht="13.5" customHeight="1">
      <c r="B215" s="522"/>
      <c r="C215" s="522"/>
      <c r="D215" s="522"/>
      <c r="E215" s="522"/>
      <c r="F215" s="522"/>
      <c r="G215" s="522"/>
      <c r="H215" s="522"/>
      <c r="I215" s="522"/>
      <c r="J215" s="522"/>
      <c r="K215" s="522"/>
      <c r="L215" s="522"/>
      <c r="M215" s="522"/>
      <c r="N215" s="522"/>
      <c r="O215" s="522"/>
      <c r="P215" s="520"/>
    </row>
    <row r="216" spans="2:16" ht="13.5" customHeight="1">
      <c r="B216" s="522"/>
      <c r="C216" s="522"/>
      <c r="D216" s="522"/>
      <c r="E216" s="522"/>
      <c r="F216" s="522"/>
      <c r="G216" s="522"/>
      <c r="H216" s="522"/>
      <c r="I216" s="522"/>
      <c r="J216" s="522"/>
      <c r="K216" s="522"/>
      <c r="L216" s="522"/>
      <c r="M216" s="522"/>
      <c r="N216" s="522"/>
      <c r="O216" s="522"/>
      <c r="P216" s="520"/>
    </row>
    <row r="217" spans="2:16" ht="13.5" customHeight="1">
      <c r="B217" s="522"/>
      <c r="C217" s="522"/>
      <c r="D217" s="522"/>
      <c r="E217" s="522"/>
      <c r="F217" s="522"/>
      <c r="G217" s="522"/>
      <c r="H217" s="522"/>
      <c r="I217" s="522"/>
      <c r="J217" s="522"/>
      <c r="K217" s="522"/>
      <c r="L217" s="522"/>
      <c r="M217" s="522"/>
      <c r="N217" s="522"/>
      <c r="O217" s="522"/>
      <c r="P217" s="520"/>
    </row>
    <row r="218" spans="2:16" ht="13.5" customHeight="1">
      <c r="B218" s="522"/>
      <c r="C218" s="522"/>
      <c r="D218" s="522"/>
      <c r="E218" s="522"/>
      <c r="F218" s="522"/>
      <c r="G218" s="522"/>
      <c r="H218" s="522"/>
      <c r="I218" s="522"/>
      <c r="J218" s="522"/>
      <c r="K218" s="522"/>
      <c r="L218" s="522"/>
      <c r="M218" s="522"/>
      <c r="N218" s="522"/>
      <c r="O218" s="522"/>
      <c r="P218" s="520"/>
    </row>
    <row r="219" spans="2:16" ht="13.5" customHeight="1">
      <c r="B219" s="522"/>
      <c r="C219" s="522"/>
      <c r="D219" s="522"/>
      <c r="E219" s="522"/>
      <c r="F219" s="522"/>
      <c r="G219" s="522"/>
      <c r="H219" s="522"/>
      <c r="I219" s="522"/>
      <c r="J219" s="522"/>
      <c r="K219" s="522"/>
      <c r="L219" s="522"/>
      <c r="M219" s="522"/>
      <c r="N219" s="522"/>
      <c r="O219" s="522"/>
      <c r="P219" s="520"/>
    </row>
    <row r="220" spans="2:16" ht="13.5" customHeight="1">
      <c r="B220" s="522"/>
      <c r="C220" s="522"/>
      <c r="D220" s="522"/>
      <c r="E220" s="522"/>
      <c r="F220" s="522"/>
      <c r="G220" s="522"/>
      <c r="H220" s="522"/>
      <c r="I220" s="522"/>
      <c r="J220" s="522"/>
      <c r="K220" s="522"/>
      <c r="L220" s="522"/>
      <c r="M220" s="522"/>
      <c r="N220" s="522"/>
      <c r="O220" s="522"/>
      <c r="P220" s="520"/>
    </row>
    <row r="221" spans="2:16" ht="13.5" customHeight="1">
      <c r="B221" s="522"/>
      <c r="C221" s="522"/>
      <c r="D221" s="522"/>
      <c r="E221" s="522"/>
      <c r="F221" s="522"/>
      <c r="G221" s="522"/>
      <c r="H221" s="522"/>
      <c r="I221" s="522"/>
      <c r="J221" s="522"/>
      <c r="K221" s="522"/>
      <c r="L221" s="522"/>
      <c r="M221" s="522"/>
      <c r="N221" s="522"/>
      <c r="O221" s="522"/>
      <c r="P221" s="520"/>
    </row>
    <row r="222" spans="2:16" ht="13.5" customHeight="1">
      <c r="B222" s="522"/>
      <c r="C222" s="522"/>
      <c r="D222" s="522"/>
      <c r="E222" s="522"/>
      <c r="F222" s="522"/>
      <c r="G222" s="522"/>
      <c r="H222" s="522"/>
      <c r="I222" s="522"/>
      <c r="J222" s="522"/>
      <c r="K222" s="522"/>
      <c r="L222" s="522"/>
      <c r="M222" s="522"/>
      <c r="N222" s="522"/>
      <c r="O222" s="522"/>
      <c r="P222" s="520"/>
    </row>
    <row r="223" spans="2:16" ht="13.5" customHeight="1">
      <c r="B223" s="522"/>
      <c r="C223" s="522"/>
      <c r="D223" s="522"/>
      <c r="E223" s="522"/>
      <c r="F223" s="522"/>
      <c r="G223" s="522"/>
      <c r="H223" s="522"/>
      <c r="I223" s="522"/>
      <c r="J223" s="522"/>
      <c r="K223" s="522"/>
      <c r="L223" s="522"/>
      <c r="M223" s="522"/>
      <c r="N223" s="522"/>
      <c r="O223" s="522"/>
      <c r="P223" s="520"/>
    </row>
    <row r="224" spans="2:16" ht="13.5" customHeight="1">
      <c r="B224" s="522"/>
      <c r="C224" s="522"/>
      <c r="D224" s="522"/>
      <c r="E224" s="522"/>
      <c r="F224" s="522"/>
      <c r="G224" s="522"/>
      <c r="H224" s="522"/>
      <c r="I224" s="522"/>
      <c r="J224" s="522"/>
      <c r="K224" s="522"/>
      <c r="L224" s="522"/>
      <c r="M224" s="522"/>
      <c r="N224" s="522"/>
      <c r="O224" s="522"/>
      <c r="P224" s="520"/>
    </row>
    <row r="225" spans="2:16" ht="13.5" customHeight="1">
      <c r="B225" s="522"/>
      <c r="C225" s="522"/>
      <c r="D225" s="522"/>
      <c r="E225" s="522"/>
      <c r="F225" s="522"/>
      <c r="G225" s="522"/>
      <c r="H225" s="522"/>
      <c r="I225" s="522"/>
      <c r="J225" s="522"/>
      <c r="K225" s="522"/>
      <c r="L225" s="522"/>
      <c r="M225" s="522"/>
      <c r="N225" s="522"/>
      <c r="O225" s="522"/>
      <c r="P225" s="520"/>
    </row>
    <row r="226" spans="2:16" ht="13.5" customHeight="1">
      <c r="B226" s="522"/>
      <c r="C226" s="522"/>
      <c r="D226" s="522"/>
      <c r="E226" s="522"/>
      <c r="F226" s="522"/>
      <c r="G226" s="522"/>
      <c r="H226" s="522"/>
      <c r="I226" s="522"/>
      <c r="J226" s="522"/>
      <c r="K226" s="522"/>
      <c r="L226" s="522"/>
      <c r="M226" s="522"/>
      <c r="N226" s="522"/>
      <c r="O226" s="522"/>
      <c r="P226" s="520"/>
    </row>
    <row r="227" spans="2:16" ht="13.5" customHeight="1">
      <c r="B227" s="522"/>
      <c r="C227" s="522"/>
      <c r="D227" s="522"/>
      <c r="E227" s="522"/>
      <c r="F227" s="522"/>
      <c r="G227" s="522"/>
      <c r="H227" s="522"/>
      <c r="I227" s="522"/>
      <c r="J227" s="522"/>
      <c r="K227" s="522"/>
      <c r="L227" s="522"/>
      <c r="M227" s="522"/>
      <c r="N227" s="522"/>
      <c r="O227" s="522"/>
      <c r="P227" s="520"/>
    </row>
    <row r="228" spans="2:16" ht="13.5" customHeight="1">
      <c r="B228" s="522"/>
      <c r="C228" s="522"/>
      <c r="D228" s="522"/>
      <c r="E228" s="522"/>
      <c r="F228" s="522"/>
      <c r="G228" s="522"/>
      <c r="H228" s="522"/>
      <c r="I228" s="522"/>
      <c r="J228" s="522"/>
      <c r="K228" s="522"/>
      <c r="L228" s="522"/>
      <c r="M228" s="522"/>
      <c r="N228" s="522"/>
      <c r="O228" s="522"/>
      <c r="P228" s="520"/>
    </row>
    <row r="229" spans="2:16" ht="13.5" customHeight="1">
      <c r="B229" s="522"/>
      <c r="C229" s="522"/>
      <c r="D229" s="522"/>
      <c r="E229" s="522"/>
      <c r="F229" s="522"/>
      <c r="G229" s="522"/>
      <c r="H229" s="522"/>
      <c r="I229" s="522"/>
      <c r="J229" s="522"/>
      <c r="K229" s="522"/>
      <c r="L229" s="522"/>
      <c r="M229" s="522"/>
      <c r="N229" s="522"/>
      <c r="O229" s="522"/>
      <c r="P229" s="520"/>
    </row>
    <row r="230" spans="2:16" ht="13.5" customHeight="1">
      <c r="B230" s="522"/>
      <c r="C230" s="522"/>
      <c r="D230" s="522"/>
      <c r="E230" s="522"/>
      <c r="F230" s="522"/>
      <c r="G230" s="522"/>
      <c r="H230" s="522"/>
      <c r="I230" s="522"/>
      <c r="J230" s="522"/>
      <c r="K230" s="522"/>
      <c r="L230" s="522"/>
      <c r="M230" s="522"/>
      <c r="N230" s="522"/>
      <c r="O230" s="522"/>
      <c r="P230" s="520"/>
    </row>
    <row r="231" spans="2:16" ht="13.5" customHeight="1">
      <c r="B231" s="522"/>
      <c r="C231" s="522"/>
      <c r="D231" s="522"/>
      <c r="E231" s="522"/>
      <c r="F231" s="522"/>
      <c r="G231" s="522"/>
      <c r="H231" s="522"/>
      <c r="I231" s="522"/>
      <c r="J231" s="522"/>
      <c r="K231" s="522"/>
      <c r="L231" s="522"/>
      <c r="M231" s="522"/>
      <c r="N231" s="522"/>
      <c r="O231" s="522"/>
      <c r="P231" s="520"/>
    </row>
    <row r="232" spans="2:16" ht="13.5" customHeight="1">
      <c r="B232" s="522"/>
      <c r="C232" s="522"/>
      <c r="D232" s="522"/>
      <c r="E232" s="522"/>
      <c r="F232" s="522"/>
      <c r="G232" s="522"/>
      <c r="H232" s="522"/>
      <c r="I232" s="522"/>
      <c r="J232" s="522"/>
      <c r="K232" s="522"/>
      <c r="L232" s="522"/>
      <c r="M232" s="522"/>
      <c r="N232" s="522"/>
      <c r="O232" s="522"/>
      <c r="P232" s="520"/>
    </row>
    <row r="233" spans="2:16" ht="13.5" customHeight="1">
      <c r="B233" s="522"/>
      <c r="C233" s="522"/>
      <c r="D233" s="522"/>
      <c r="E233" s="522"/>
      <c r="F233" s="522"/>
      <c r="G233" s="522"/>
      <c r="H233" s="522"/>
      <c r="I233" s="522"/>
      <c r="J233" s="522"/>
      <c r="K233" s="522"/>
      <c r="L233" s="522"/>
      <c r="M233" s="522"/>
      <c r="N233" s="522"/>
      <c r="O233" s="522"/>
      <c r="P233" s="520"/>
    </row>
    <row r="234" spans="2:16" ht="13.5" customHeight="1">
      <c r="B234" s="522"/>
      <c r="C234" s="522"/>
      <c r="D234" s="522"/>
      <c r="E234" s="522"/>
      <c r="F234" s="522"/>
      <c r="G234" s="522"/>
      <c r="H234" s="522"/>
      <c r="I234" s="522"/>
      <c r="J234" s="522"/>
      <c r="K234" s="522"/>
      <c r="L234" s="522"/>
      <c r="M234" s="522"/>
      <c r="N234" s="522"/>
      <c r="O234" s="522"/>
      <c r="P234" s="520"/>
    </row>
    <row r="235" spans="2:16" ht="13.5" customHeight="1">
      <c r="B235" s="522"/>
      <c r="C235" s="522"/>
      <c r="D235" s="522"/>
      <c r="E235" s="522"/>
      <c r="F235" s="522"/>
      <c r="G235" s="522"/>
      <c r="H235" s="522"/>
      <c r="I235" s="522"/>
      <c r="J235" s="522"/>
      <c r="K235" s="522"/>
      <c r="L235" s="522"/>
      <c r="M235" s="522"/>
      <c r="N235" s="522"/>
      <c r="O235" s="522"/>
      <c r="P235" s="520"/>
    </row>
    <row r="236" spans="2:16" ht="13.5" customHeight="1">
      <c r="B236" s="522"/>
      <c r="C236" s="522"/>
      <c r="D236" s="522"/>
      <c r="E236" s="522"/>
      <c r="F236" s="522"/>
      <c r="G236" s="522"/>
      <c r="H236" s="522"/>
      <c r="I236" s="522"/>
      <c r="J236" s="522"/>
      <c r="K236" s="522"/>
      <c r="L236" s="522"/>
      <c r="M236" s="522"/>
      <c r="N236" s="522"/>
      <c r="O236" s="522"/>
      <c r="P236" s="520"/>
    </row>
    <row r="237" spans="2:16" ht="13.5" customHeight="1">
      <c r="B237" s="522"/>
      <c r="C237" s="522"/>
      <c r="D237" s="522"/>
      <c r="E237" s="522"/>
      <c r="F237" s="522"/>
      <c r="G237" s="522"/>
      <c r="H237" s="522"/>
      <c r="I237" s="522"/>
      <c r="J237" s="522"/>
      <c r="K237" s="522"/>
      <c r="L237" s="522"/>
      <c r="M237" s="522"/>
      <c r="N237" s="522"/>
      <c r="O237" s="522"/>
      <c r="P237" s="520"/>
    </row>
    <row r="238" spans="2:16" ht="13.5" customHeight="1">
      <c r="B238" s="522"/>
      <c r="C238" s="522"/>
      <c r="D238" s="522"/>
      <c r="E238" s="522"/>
      <c r="F238" s="522"/>
      <c r="G238" s="522"/>
      <c r="H238" s="522"/>
      <c r="I238" s="522"/>
      <c r="J238" s="522"/>
      <c r="K238" s="522"/>
      <c r="L238" s="522"/>
      <c r="M238" s="522"/>
      <c r="N238" s="522"/>
      <c r="O238" s="522"/>
      <c r="P238" s="520"/>
    </row>
    <row r="239" spans="2:16" ht="13.5" customHeight="1">
      <c r="B239" s="522"/>
      <c r="C239" s="522"/>
      <c r="D239" s="522"/>
      <c r="E239" s="522"/>
      <c r="F239" s="522"/>
      <c r="G239" s="522"/>
      <c r="H239" s="522"/>
      <c r="I239" s="522"/>
      <c r="J239" s="522"/>
      <c r="K239" s="522"/>
      <c r="L239" s="522"/>
      <c r="M239" s="522"/>
      <c r="N239" s="522"/>
      <c r="O239" s="522"/>
      <c r="P239" s="520"/>
    </row>
    <row r="240" spans="2:16" ht="13.5" customHeight="1">
      <c r="B240" s="522"/>
      <c r="C240" s="522"/>
      <c r="D240" s="522"/>
      <c r="E240" s="522"/>
      <c r="F240" s="522"/>
      <c r="G240" s="522"/>
      <c r="H240" s="522"/>
      <c r="I240" s="522"/>
      <c r="J240" s="522"/>
      <c r="K240" s="522"/>
      <c r="L240" s="522"/>
      <c r="M240" s="522"/>
      <c r="N240" s="522"/>
      <c r="O240" s="522"/>
      <c r="P240" s="520"/>
    </row>
    <row r="241" spans="2:16" ht="13.5" customHeight="1">
      <c r="B241" s="522"/>
      <c r="C241" s="522"/>
      <c r="D241" s="522"/>
      <c r="E241" s="522"/>
      <c r="F241" s="522"/>
      <c r="G241" s="522"/>
      <c r="H241" s="522"/>
      <c r="I241" s="522"/>
      <c r="J241" s="522"/>
      <c r="K241" s="522"/>
      <c r="L241" s="522"/>
      <c r="M241" s="522"/>
      <c r="N241" s="522"/>
      <c r="O241" s="522"/>
      <c r="P241" s="520"/>
    </row>
    <row r="242" spans="2:16" ht="13.5" customHeight="1">
      <c r="B242" s="522"/>
      <c r="C242" s="522"/>
      <c r="D242" s="522"/>
      <c r="E242" s="522"/>
      <c r="F242" s="522"/>
      <c r="G242" s="522"/>
      <c r="H242" s="522"/>
      <c r="I242" s="522"/>
      <c r="J242" s="522"/>
      <c r="K242" s="522"/>
      <c r="L242" s="522"/>
      <c r="M242" s="522"/>
      <c r="N242" s="522"/>
      <c r="O242" s="522"/>
      <c r="P242" s="520"/>
    </row>
    <row r="243" spans="2:16" ht="13.5" customHeight="1">
      <c r="B243" s="522"/>
      <c r="C243" s="522"/>
      <c r="D243" s="522"/>
      <c r="E243" s="522"/>
      <c r="F243" s="522"/>
      <c r="G243" s="522"/>
      <c r="H243" s="522"/>
      <c r="I243" s="522"/>
      <c r="J243" s="522"/>
      <c r="K243" s="522"/>
      <c r="L243" s="522"/>
      <c r="M243" s="522"/>
      <c r="N243" s="522"/>
      <c r="O243" s="522"/>
      <c r="P243" s="520"/>
    </row>
    <row r="244" spans="2:16" ht="13.5" customHeight="1">
      <c r="B244" s="522"/>
      <c r="C244" s="522"/>
      <c r="D244" s="522"/>
      <c r="E244" s="522"/>
      <c r="F244" s="522"/>
      <c r="G244" s="522"/>
      <c r="H244" s="522"/>
      <c r="I244" s="522"/>
      <c r="J244" s="522"/>
      <c r="K244" s="522"/>
      <c r="L244" s="522"/>
      <c r="M244" s="522"/>
      <c r="N244" s="522"/>
      <c r="O244" s="522"/>
      <c r="P244" s="520"/>
    </row>
    <row r="245" spans="2:16" ht="13.5" customHeight="1">
      <c r="B245" s="522"/>
      <c r="C245" s="522"/>
      <c r="D245" s="522"/>
      <c r="E245" s="522"/>
      <c r="F245" s="522"/>
      <c r="G245" s="522"/>
      <c r="H245" s="522"/>
      <c r="I245" s="522"/>
      <c r="J245" s="522"/>
      <c r="K245" s="522"/>
      <c r="L245" s="522"/>
      <c r="M245" s="522"/>
      <c r="N245" s="522"/>
      <c r="O245" s="522"/>
      <c r="P245" s="520"/>
    </row>
    <row r="246" spans="2:16" ht="13.5" customHeight="1">
      <c r="B246" s="522"/>
      <c r="C246" s="522"/>
      <c r="D246" s="522"/>
      <c r="E246" s="522"/>
      <c r="F246" s="522"/>
      <c r="G246" s="522"/>
      <c r="H246" s="522"/>
      <c r="I246" s="522"/>
      <c r="J246" s="522"/>
      <c r="K246" s="522"/>
      <c r="L246" s="522"/>
      <c r="M246" s="522"/>
      <c r="N246" s="522"/>
      <c r="O246" s="522"/>
      <c r="P246" s="520"/>
    </row>
    <row r="247" spans="2:16" ht="13.5" customHeight="1">
      <c r="B247" s="522"/>
      <c r="C247" s="522"/>
      <c r="D247" s="522"/>
      <c r="E247" s="522"/>
      <c r="F247" s="522"/>
      <c r="G247" s="522"/>
      <c r="H247" s="522"/>
      <c r="I247" s="522"/>
      <c r="J247" s="522"/>
      <c r="K247" s="522"/>
      <c r="L247" s="522"/>
      <c r="M247" s="522"/>
      <c r="N247" s="522"/>
      <c r="O247" s="522"/>
      <c r="P247" s="520"/>
    </row>
    <row r="248" spans="2:16" ht="13.5" customHeight="1">
      <c r="B248" s="522"/>
      <c r="C248" s="522"/>
      <c r="D248" s="522"/>
      <c r="E248" s="522"/>
      <c r="F248" s="522"/>
      <c r="G248" s="522"/>
      <c r="H248" s="522"/>
      <c r="I248" s="522"/>
      <c r="J248" s="522"/>
      <c r="K248" s="522"/>
      <c r="L248" s="522"/>
      <c r="M248" s="522"/>
      <c r="N248" s="522"/>
      <c r="O248" s="522"/>
      <c r="P248" s="520"/>
    </row>
    <row r="249" spans="2:16" ht="13.5" customHeight="1">
      <c r="B249" s="522"/>
      <c r="C249" s="522"/>
      <c r="D249" s="522"/>
      <c r="E249" s="522"/>
      <c r="F249" s="522"/>
      <c r="G249" s="522"/>
      <c r="H249" s="522"/>
      <c r="I249" s="522"/>
      <c r="J249" s="522"/>
      <c r="K249" s="522"/>
      <c r="L249" s="522"/>
      <c r="M249" s="522"/>
      <c r="N249" s="522"/>
      <c r="O249" s="522"/>
      <c r="P249" s="520"/>
    </row>
    <row r="250" spans="2:16" ht="13.5" customHeight="1">
      <c r="B250" s="522"/>
      <c r="C250" s="522"/>
      <c r="D250" s="522"/>
      <c r="E250" s="522"/>
      <c r="F250" s="522"/>
      <c r="G250" s="522"/>
      <c r="H250" s="522"/>
      <c r="I250" s="522"/>
      <c r="J250" s="522"/>
      <c r="K250" s="522"/>
      <c r="L250" s="522"/>
      <c r="M250" s="522"/>
      <c r="N250" s="522"/>
      <c r="O250" s="522"/>
      <c r="P250" s="520"/>
    </row>
    <row r="251" spans="2:16" ht="13.5" customHeight="1">
      <c r="B251" s="522"/>
      <c r="C251" s="522"/>
      <c r="D251" s="522"/>
      <c r="E251" s="522"/>
      <c r="F251" s="522"/>
      <c r="G251" s="522"/>
      <c r="H251" s="522"/>
      <c r="I251" s="522"/>
      <c r="J251" s="522"/>
      <c r="K251" s="522"/>
      <c r="L251" s="522"/>
      <c r="M251" s="522"/>
      <c r="N251" s="522"/>
      <c r="O251" s="522"/>
      <c r="P251" s="520"/>
    </row>
    <row r="252" spans="2:16" ht="13.5" customHeight="1">
      <c r="B252" s="522"/>
      <c r="C252" s="522"/>
      <c r="D252" s="522"/>
      <c r="E252" s="522"/>
      <c r="F252" s="522"/>
      <c r="G252" s="522"/>
      <c r="H252" s="522"/>
      <c r="I252" s="522"/>
      <c r="J252" s="522"/>
      <c r="K252" s="522"/>
      <c r="L252" s="522"/>
      <c r="M252" s="522"/>
      <c r="N252" s="522"/>
      <c r="O252" s="522"/>
      <c r="P252" s="520"/>
    </row>
    <row r="253" spans="2:16" ht="13.5" customHeight="1">
      <c r="B253" s="522"/>
      <c r="C253" s="522"/>
      <c r="D253" s="522"/>
      <c r="E253" s="522"/>
      <c r="F253" s="522"/>
      <c r="G253" s="522"/>
      <c r="H253" s="522"/>
      <c r="I253" s="522"/>
      <c r="J253" s="522"/>
      <c r="K253" s="522"/>
      <c r="L253" s="522"/>
      <c r="M253" s="522"/>
      <c r="N253" s="522"/>
      <c r="O253" s="522"/>
      <c r="P253" s="520"/>
    </row>
    <row r="254" spans="2:16" ht="13.5" customHeight="1">
      <c r="B254" s="522"/>
      <c r="C254" s="522"/>
      <c r="D254" s="522"/>
      <c r="E254" s="522"/>
      <c r="F254" s="522"/>
      <c r="G254" s="522"/>
      <c r="H254" s="522"/>
      <c r="I254" s="522"/>
      <c r="J254" s="522"/>
      <c r="K254" s="522"/>
      <c r="L254" s="522"/>
      <c r="M254" s="522"/>
      <c r="N254" s="522"/>
      <c r="O254" s="522"/>
      <c r="P254" s="520"/>
    </row>
    <row r="255" spans="2:16" ht="13.5" customHeight="1">
      <c r="B255" s="522"/>
      <c r="C255" s="522"/>
      <c r="D255" s="522"/>
      <c r="E255" s="522"/>
      <c r="F255" s="522"/>
      <c r="G255" s="522"/>
      <c r="H255" s="522"/>
      <c r="I255" s="522"/>
      <c r="J255" s="522"/>
      <c r="K255" s="522"/>
      <c r="L255" s="522"/>
      <c r="M255" s="522"/>
      <c r="N255" s="522"/>
      <c r="O255" s="522"/>
      <c r="P255" s="520"/>
    </row>
    <row r="256" spans="2:16" ht="13.5" customHeight="1">
      <c r="B256" s="522"/>
      <c r="C256" s="522"/>
      <c r="D256" s="522"/>
      <c r="E256" s="522"/>
      <c r="F256" s="522"/>
      <c r="G256" s="522"/>
      <c r="H256" s="522"/>
      <c r="I256" s="522"/>
      <c r="J256" s="522"/>
      <c r="K256" s="522"/>
      <c r="L256" s="522"/>
      <c r="M256" s="522"/>
      <c r="N256" s="522"/>
      <c r="O256" s="522"/>
      <c r="P256" s="520"/>
    </row>
    <row r="257" spans="2:16" ht="13.5" customHeight="1">
      <c r="B257" s="522"/>
      <c r="C257" s="522"/>
      <c r="D257" s="522"/>
      <c r="E257" s="522"/>
      <c r="F257" s="522"/>
      <c r="G257" s="522"/>
      <c r="H257" s="522"/>
      <c r="I257" s="522"/>
      <c r="J257" s="522"/>
      <c r="K257" s="522"/>
      <c r="L257" s="522"/>
      <c r="M257" s="522"/>
      <c r="N257" s="522"/>
      <c r="O257" s="522"/>
      <c r="P257" s="520"/>
    </row>
    <row r="258" spans="2:16" ht="13.5" customHeight="1">
      <c r="B258" s="522"/>
      <c r="C258" s="522"/>
      <c r="D258" s="522"/>
      <c r="E258" s="522"/>
      <c r="F258" s="522"/>
      <c r="G258" s="522"/>
      <c r="H258" s="522"/>
      <c r="I258" s="522"/>
      <c r="J258" s="522"/>
      <c r="K258" s="522"/>
      <c r="L258" s="522"/>
      <c r="M258" s="522"/>
      <c r="N258" s="522"/>
      <c r="O258" s="522"/>
      <c r="P258" s="520"/>
    </row>
    <row r="259" spans="2:16" ht="13.5" customHeight="1">
      <c r="B259" s="522"/>
      <c r="C259" s="522"/>
      <c r="D259" s="522"/>
      <c r="E259" s="522"/>
      <c r="F259" s="522"/>
      <c r="G259" s="522"/>
      <c r="H259" s="522"/>
      <c r="I259" s="522"/>
      <c r="J259" s="522"/>
      <c r="K259" s="522"/>
      <c r="L259" s="522"/>
      <c r="M259" s="522"/>
      <c r="N259" s="522"/>
      <c r="O259" s="522"/>
      <c r="P259" s="520"/>
    </row>
    <row r="260" spans="2:16" ht="13.5" customHeight="1">
      <c r="B260" s="522"/>
      <c r="C260" s="522"/>
      <c r="D260" s="522"/>
      <c r="E260" s="522"/>
      <c r="F260" s="522"/>
      <c r="G260" s="522"/>
      <c r="H260" s="522"/>
      <c r="I260" s="522"/>
      <c r="J260" s="522"/>
      <c r="K260" s="522"/>
      <c r="L260" s="522"/>
      <c r="M260" s="522"/>
      <c r="N260" s="522"/>
      <c r="O260" s="522"/>
      <c r="P260" s="520"/>
    </row>
    <row r="261" spans="2:16" ht="13.5" customHeight="1">
      <c r="B261" s="522"/>
      <c r="C261" s="522"/>
      <c r="D261" s="522"/>
      <c r="E261" s="522"/>
      <c r="F261" s="522"/>
      <c r="G261" s="522"/>
      <c r="H261" s="522"/>
      <c r="I261" s="522"/>
      <c r="J261" s="522"/>
      <c r="K261" s="522"/>
      <c r="L261" s="522"/>
      <c r="M261" s="522"/>
      <c r="N261" s="522"/>
      <c r="O261" s="522"/>
      <c r="P261" s="520"/>
    </row>
    <row r="262" spans="2:16" ht="13.5" customHeight="1">
      <c r="B262" s="522"/>
      <c r="C262" s="522"/>
      <c r="D262" s="522"/>
      <c r="E262" s="522"/>
      <c r="F262" s="522"/>
      <c r="G262" s="522"/>
      <c r="H262" s="522"/>
      <c r="I262" s="522"/>
      <c r="J262" s="522"/>
      <c r="K262" s="522"/>
      <c r="L262" s="522"/>
      <c r="M262" s="522"/>
      <c r="N262" s="522"/>
      <c r="O262" s="522"/>
      <c r="P262" s="520"/>
    </row>
    <row r="263" spans="2:16" ht="13.5" customHeight="1">
      <c r="B263" s="522"/>
      <c r="C263" s="522"/>
      <c r="D263" s="522"/>
      <c r="E263" s="522"/>
      <c r="F263" s="522"/>
      <c r="G263" s="522"/>
      <c r="H263" s="522"/>
      <c r="I263" s="522"/>
      <c r="J263" s="522"/>
      <c r="K263" s="522"/>
      <c r="L263" s="522"/>
      <c r="M263" s="522"/>
      <c r="N263" s="522"/>
      <c r="O263" s="522"/>
      <c r="P263" s="520"/>
    </row>
    <row r="264" spans="2:16" ht="13.5" customHeight="1">
      <c r="B264" s="522"/>
      <c r="C264" s="522"/>
      <c r="D264" s="522"/>
      <c r="E264" s="522"/>
      <c r="F264" s="522"/>
      <c r="G264" s="522"/>
      <c r="H264" s="522"/>
      <c r="I264" s="522"/>
      <c r="J264" s="522"/>
      <c r="K264" s="522"/>
      <c r="L264" s="522"/>
      <c r="M264" s="522"/>
      <c r="N264" s="522"/>
      <c r="O264" s="522"/>
      <c r="P264" s="520"/>
    </row>
    <row r="265" spans="2:16" ht="13.5" customHeight="1">
      <c r="B265" s="522"/>
      <c r="C265" s="522"/>
      <c r="D265" s="522"/>
      <c r="E265" s="522"/>
      <c r="F265" s="522"/>
      <c r="G265" s="522"/>
      <c r="H265" s="522"/>
      <c r="I265" s="522"/>
      <c r="J265" s="522"/>
      <c r="K265" s="522"/>
      <c r="L265" s="522"/>
      <c r="M265" s="522"/>
      <c r="N265" s="522"/>
      <c r="O265" s="522"/>
      <c r="P265" s="520"/>
    </row>
    <row r="266" spans="2:16" ht="13.5" customHeight="1">
      <c r="B266" s="522"/>
      <c r="C266" s="522"/>
      <c r="D266" s="522"/>
      <c r="E266" s="522"/>
      <c r="F266" s="522"/>
      <c r="G266" s="522"/>
      <c r="H266" s="522"/>
      <c r="I266" s="522"/>
      <c r="J266" s="522"/>
      <c r="K266" s="522"/>
      <c r="L266" s="522"/>
      <c r="M266" s="522"/>
      <c r="N266" s="522"/>
      <c r="O266" s="522"/>
      <c r="P266" s="520"/>
    </row>
  </sheetData>
  <sheetProtection/>
  <mergeCells count="1">
    <mergeCell ref="B3:P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2" r:id="rId1"/>
  <headerFooter alignWithMargins="0">
    <oddHeader>&amp;L15. melléklet a 2014. évi 15/2014.(XI.27.) Önkormányzati költségvetési rendelethez&amp;R&amp;D</oddHeader>
    <oddFooter>&amp;R&amp;F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3:AU257"/>
  <sheetViews>
    <sheetView zoomScalePageLayoutView="0" workbookViewId="0" topLeftCell="A1">
      <selection activeCell="O37" sqref="O37"/>
    </sheetView>
  </sheetViews>
  <sheetFormatPr defaultColWidth="9.140625" defaultRowHeight="13.5" customHeight="1"/>
  <cols>
    <col min="1" max="1" width="4.7109375" style="48" customWidth="1"/>
    <col min="2" max="2" width="23.7109375" style="48" customWidth="1"/>
    <col min="3" max="4" width="12.7109375" style="48" bestFit="1" customWidth="1"/>
    <col min="5" max="5" width="10.140625" style="48" bestFit="1" customWidth="1"/>
    <col min="6" max="6" width="8.28125" style="48" bestFit="1" customWidth="1"/>
    <col min="7" max="9" width="10.140625" style="48" bestFit="1" customWidth="1"/>
    <col min="10" max="10" width="9.8515625" style="48" bestFit="1" customWidth="1"/>
    <col min="11" max="11" width="11.00390625" style="48" bestFit="1" customWidth="1"/>
    <col min="12" max="12" width="10.140625" style="48" bestFit="1" customWidth="1"/>
    <col min="13" max="13" width="11.57421875" style="48" bestFit="1" customWidth="1"/>
    <col min="14" max="14" width="11.140625" style="48" bestFit="1" customWidth="1"/>
    <col min="15" max="15" width="11.00390625" style="519" customWidth="1"/>
    <col min="16" max="17" width="11.7109375" style="116" hidden="1" customWidth="1"/>
    <col min="18" max="18" width="11.7109375" style="116" customWidth="1"/>
    <col min="19" max="20" width="9.7109375" style="116" customWidth="1"/>
    <col min="21" max="21" width="10.57421875" style="116" customWidth="1"/>
    <col min="22" max="22" width="13.00390625" style="116" customWidth="1"/>
    <col min="23" max="23" width="9.28125" style="116" customWidth="1"/>
    <col min="24" max="47" width="9.140625" style="116" customWidth="1"/>
    <col min="48" max="16384" width="9.140625" style="48" customWidth="1"/>
  </cols>
  <sheetData>
    <row r="3" spans="1:15" ht="32.25" customHeight="1" thickBot="1">
      <c r="A3" s="711" t="s">
        <v>458</v>
      </c>
      <c r="B3" s="711"/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1"/>
    </row>
    <row r="4" spans="1:15" ht="13.5" customHeight="1" thickBot="1">
      <c r="A4" s="247" t="s">
        <v>300</v>
      </c>
      <c r="B4" s="248" t="s">
        <v>67</v>
      </c>
      <c r="C4" s="248" t="s">
        <v>301</v>
      </c>
      <c r="D4" s="248" t="s">
        <v>302</v>
      </c>
      <c r="E4" s="248" t="s">
        <v>303</v>
      </c>
      <c r="F4" s="248" t="s">
        <v>304</v>
      </c>
      <c r="G4" s="248" t="s">
        <v>305</v>
      </c>
      <c r="H4" s="248" t="s">
        <v>306</v>
      </c>
      <c r="I4" s="248" t="s">
        <v>307</v>
      </c>
      <c r="J4" s="248" t="s">
        <v>308</v>
      </c>
      <c r="K4" s="248" t="s">
        <v>309</v>
      </c>
      <c r="L4" s="248" t="s">
        <v>310</v>
      </c>
      <c r="M4" s="248" t="s">
        <v>311</v>
      </c>
      <c r="N4" s="248" t="s">
        <v>312</v>
      </c>
      <c r="O4" s="249" t="s">
        <v>313</v>
      </c>
    </row>
    <row r="5" spans="1:15" ht="13.5" customHeight="1" thickBot="1">
      <c r="A5" s="250" t="s">
        <v>20</v>
      </c>
      <c r="B5" s="251" t="s">
        <v>97</v>
      </c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67"/>
    </row>
    <row r="6" spans="1:15" ht="13.5" customHeight="1">
      <c r="A6" s="253" t="s">
        <v>21</v>
      </c>
      <c r="B6" s="254" t="s">
        <v>334</v>
      </c>
      <c r="C6" s="280">
        <v>77957</v>
      </c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2" t="s">
        <v>335</v>
      </c>
    </row>
    <row r="7" spans="1:17" ht="13.5" customHeight="1">
      <c r="A7" s="257" t="s">
        <v>22</v>
      </c>
      <c r="B7" s="258" t="s">
        <v>315</v>
      </c>
      <c r="C7" s="283">
        <f>+'ÖK elői.felhaszn. terve'!D8+'Könyvtár elői.felhaszn.terve'!D9+'Városellátó elői.felhaszn.terve'!D9+'ESZESZ elői.felhaszn.terve'!D9+'PH elői.felhaszn.terve'!D11</f>
        <v>8289</v>
      </c>
      <c r="D7" s="283">
        <f>+'ÖK elői.felhaszn. terve'!E8+'Könyvtár elői.felhaszn.terve'!E9+'Városellátó elői.felhaszn.terve'!E9+'ESZESZ elői.felhaszn.terve'!E9+'PH elői.felhaszn.terve'!E11</f>
        <v>8289</v>
      </c>
      <c r="E7" s="283">
        <f>+'ÖK elői.felhaszn. terve'!F8+'Könyvtár elői.felhaszn.terve'!F9+'Városellátó elői.felhaszn.terve'!F9+'ESZESZ elői.felhaszn.terve'!F9+'PH elői.felhaszn.terve'!F11</f>
        <v>13789</v>
      </c>
      <c r="F7" s="283">
        <f>+'ÖK elői.felhaszn. terve'!G8+'Könyvtár elői.felhaszn.terve'!G9+'Városellátó elői.felhaszn.terve'!G9+'ESZESZ elői.felhaszn.terve'!G9+'PH elői.felhaszn.terve'!G11</f>
        <v>8289</v>
      </c>
      <c r="G7" s="283">
        <f>+'ÖK elői.felhaszn. terve'!H8+'Könyvtár elői.felhaszn.terve'!H9+'Városellátó elői.felhaszn.terve'!H9+'ESZESZ elői.felhaszn.terve'!H9+'PH elői.felhaszn.terve'!H11</f>
        <v>8289</v>
      </c>
      <c r="H7" s="283">
        <f>+'ÖK elői.felhaszn. terve'!I8+'Könyvtár elői.felhaszn.terve'!I9+'Városellátó elői.felhaszn.terve'!I9+'ESZESZ elői.felhaszn.terve'!I9+'PH elői.felhaszn.terve'!I11</f>
        <v>11520</v>
      </c>
      <c r="I7" s="283">
        <f>+'ÖK elői.felhaszn. terve'!J8+'Könyvtár elői.felhaszn.terve'!J9+'Városellátó elői.felhaszn.terve'!J9+'ESZESZ elői.felhaszn.terve'!J9+'PH elői.felhaszn.terve'!J11</f>
        <v>8289</v>
      </c>
      <c r="J7" s="283">
        <f>+'ÖK elői.felhaszn. terve'!K8+'Könyvtár elői.felhaszn.terve'!K9+'Városellátó elői.felhaszn.terve'!K9+'ESZESZ elői.felhaszn.terve'!K9+'PH elői.felhaszn.terve'!K11</f>
        <v>8289</v>
      </c>
      <c r="K7" s="283">
        <f>+'ÖK elői.felhaszn. terve'!L8+'Könyvtár elői.felhaszn.terve'!L9+'Városellátó elői.felhaszn.terve'!L9+'ESZESZ elői.felhaszn.terve'!L9+'PH elői.felhaszn.terve'!L11</f>
        <v>15464</v>
      </c>
      <c r="L7" s="283">
        <f>+'ÖK elői.felhaszn. terve'!M8+'Könyvtár elői.felhaszn.terve'!M9+'Városellátó elői.felhaszn.terve'!M9+'ESZESZ elői.felhaszn.terve'!M9+'PH elői.felhaszn.terve'!M11</f>
        <v>8289</v>
      </c>
      <c r="M7" s="283">
        <f>+'ÖK elői.felhaszn. terve'!N8+'Könyvtár elői.felhaszn.terve'!N9+'Városellátó elői.felhaszn.terve'!N9+'ESZESZ elői.felhaszn.terve'!N9+'PH elői.felhaszn.terve'!N11</f>
        <v>12224</v>
      </c>
      <c r="N7" s="283">
        <f>+'ÖK elői.felhaszn. terve'!O8+'Könyvtár elői.felhaszn.terve'!O9+'Városellátó elői.felhaszn.terve'!O9+'ESZESZ elői.felhaszn.terve'!O9+'PH elői.felhaszn.terve'!O11</f>
        <v>8292</v>
      </c>
      <c r="O7" s="284">
        <f>SUM(C7:N7)</f>
        <v>119312</v>
      </c>
      <c r="P7" s="116">
        <f>+Bevétel!F7</f>
        <v>119312</v>
      </c>
      <c r="Q7" s="116">
        <f>+P7-O7</f>
        <v>0</v>
      </c>
    </row>
    <row r="8" spans="1:17" ht="22.5" customHeight="1">
      <c r="A8" s="257" t="s">
        <v>23</v>
      </c>
      <c r="B8" s="261" t="s">
        <v>359</v>
      </c>
      <c r="C8" s="283">
        <f>+'ÖK elői.felhaszn. terve'!D9+'Könyvtár elői.felhaszn.terve'!D10+'Városellátó elői.felhaszn.terve'!D10+'ESZESZ elői.felhaszn.terve'!D10+'PH elői.felhaszn.terve'!D12</f>
        <v>23008</v>
      </c>
      <c r="D8" s="285">
        <f>+'ÖK elői.felhaszn. terve'!E9</f>
        <v>22760</v>
      </c>
      <c r="E8" s="285">
        <f>+'ÖK elői.felhaszn. terve'!F9</f>
        <v>33467</v>
      </c>
      <c r="F8" s="285">
        <f>+'ÖK elői.felhaszn. terve'!G9</f>
        <v>26064</v>
      </c>
      <c r="G8" s="285">
        <f>+'ÖK elői.felhaszn. terve'!H9</f>
        <v>26064</v>
      </c>
      <c r="H8" s="285">
        <f>+'ÖK elői.felhaszn. terve'!I9</f>
        <v>302552</v>
      </c>
      <c r="I8" s="285">
        <f>+'ÖK elői.felhaszn. terve'!J9</f>
        <v>26064</v>
      </c>
      <c r="J8" s="285">
        <f>+'ÖK elői.felhaszn. terve'!K9</f>
        <v>26064</v>
      </c>
      <c r="K8" s="285">
        <f>+'ÖK elői.felhaszn. terve'!L9</f>
        <v>26064</v>
      </c>
      <c r="L8" s="285">
        <f>+'ÖK elői.felhaszn. terve'!M9</f>
        <v>26064</v>
      </c>
      <c r="M8" s="285">
        <f>+'ÖK elői.felhaszn. terve'!N9</f>
        <v>45694</v>
      </c>
      <c r="N8" s="285">
        <f>+'ÖK elői.felhaszn. terve'!O9</f>
        <v>26249</v>
      </c>
      <c r="O8" s="286">
        <f>SUM(C8:N8)</f>
        <v>610114</v>
      </c>
      <c r="P8" s="116">
        <f>+Bevétel!F24</f>
        <v>610114</v>
      </c>
      <c r="Q8" s="116">
        <f aca="true" t="shared" si="0" ref="Q8:Q29">+P8-O8</f>
        <v>0</v>
      </c>
    </row>
    <row r="9" spans="1:17" ht="13.5" customHeight="1">
      <c r="A9" s="257" t="s">
        <v>24</v>
      </c>
      <c r="B9" s="258" t="s">
        <v>317</v>
      </c>
      <c r="C9" s="283">
        <f>+'ÖK elői.felhaszn. terve'!D10+'Könyvtár elői.felhaszn.terve'!D11+'Városellátó elői.felhaszn.terve'!D11+'ESZESZ elői.felhaszn.terve'!D11+'PH elői.felhaszn.terve'!D13</f>
        <v>12937</v>
      </c>
      <c r="D9" s="283">
        <f>+'ÖK elői.felhaszn. terve'!E10+'Könyvtár elői.felhaszn.terve'!E11+'Városellátó elői.felhaszn.terve'!E11+'ESZESZ elői.felhaszn.terve'!E11+'PH elői.felhaszn.terve'!E13</f>
        <v>12937</v>
      </c>
      <c r="E9" s="283">
        <f>+'ÖK elői.felhaszn. terve'!F10+'Könyvtár elői.felhaszn.terve'!F11+'Városellátó elői.felhaszn.terve'!F11+'ESZESZ elői.felhaszn.terve'!F11+'PH elői.felhaszn.terve'!F13</f>
        <v>12937</v>
      </c>
      <c r="F9" s="283">
        <f>+'ÖK elői.felhaszn. terve'!G10+'Könyvtár elői.felhaszn.terve'!G11+'Városellátó elői.felhaszn.terve'!G11+'ESZESZ elői.felhaszn.terve'!G11+'PH elői.felhaszn.terve'!G13</f>
        <v>13837</v>
      </c>
      <c r="G9" s="283">
        <f>+'ÖK elői.felhaszn. terve'!H10+'Könyvtár elői.felhaszn.terve'!H11+'Városellátó elői.felhaszn.terve'!H11+'ESZESZ elői.felhaszn.terve'!H11+'PH elői.felhaszn.terve'!H13</f>
        <v>13837</v>
      </c>
      <c r="H9" s="283">
        <f>+'ÖK elői.felhaszn. terve'!I10+'Könyvtár elői.felhaszn.terve'!I11+'Városellátó elői.felhaszn.terve'!I11+'ESZESZ elői.felhaszn.terve'!I11+'PH elői.felhaszn.terve'!I13</f>
        <v>13980</v>
      </c>
      <c r="I9" s="283">
        <f>+'ÖK elői.felhaszn. terve'!J10+'Könyvtár elői.felhaszn.terve'!J11+'Városellátó elői.felhaszn.terve'!J11+'ESZESZ elői.felhaszn.terve'!J11+'PH elői.felhaszn.terve'!J13</f>
        <v>13837</v>
      </c>
      <c r="J9" s="283">
        <f>+'ÖK elői.felhaszn. terve'!K10+'Könyvtár elői.felhaszn.terve'!K11+'Városellátó elői.felhaszn.terve'!K11+'ESZESZ elői.felhaszn.terve'!K11+'PH elői.felhaszn.terve'!K13</f>
        <v>13837</v>
      </c>
      <c r="K9" s="283">
        <f>+'ÖK elői.felhaszn. terve'!L10+'Könyvtár elői.felhaszn.terve'!L11+'Városellátó elői.felhaszn.terve'!L11+'ESZESZ elői.felhaszn.terve'!L11+'PH elői.felhaszn.terve'!L13</f>
        <v>13837</v>
      </c>
      <c r="L9" s="283">
        <f>+'ÖK elői.felhaszn. terve'!M10+'Könyvtár elői.felhaszn.terve'!M11+'Városellátó elői.felhaszn.terve'!M11+'ESZESZ elői.felhaszn.terve'!M11+'PH elői.felhaszn.terve'!M13</f>
        <v>13837</v>
      </c>
      <c r="M9" s="283">
        <f>+'ÖK elői.felhaszn. terve'!N10+'Könyvtár elői.felhaszn.terve'!N11+'Városellátó elői.felhaszn.terve'!N11+'ESZESZ elői.felhaszn.terve'!N11+'PH elői.felhaszn.terve'!N13</f>
        <v>13837</v>
      </c>
      <c r="N9" s="283">
        <f>+'ÖK elői.felhaszn. terve'!O10+'Könyvtár elői.felhaszn.terve'!O11+'Városellátó elői.felhaszn.terve'!O11+'ESZESZ elői.felhaszn.terve'!O11+'PH elői.felhaszn.terve'!O13</f>
        <v>5735</v>
      </c>
      <c r="O9" s="284">
        <f aca="true" t="shared" si="1" ref="O9:O27">SUM(C9:N9)</f>
        <v>155385</v>
      </c>
      <c r="P9" s="116">
        <f>+Bevétel!F20+Bevétel!F11+Bevétel!F14+Bevétel!F15+Bevétel!F16+Bevétel!F17</f>
        <v>155385</v>
      </c>
      <c r="Q9" s="116">
        <f t="shared" si="0"/>
        <v>0</v>
      </c>
    </row>
    <row r="10" spans="1:17" ht="13.5" customHeight="1">
      <c r="A10" s="257" t="s">
        <v>25</v>
      </c>
      <c r="B10" s="258" t="s">
        <v>318</v>
      </c>
      <c r="C10" s="283">
        <f>+'ÖK elői.felhaszn. terve'!D11+'Könyvtár elői.felhaszn.terve'!D12+'Városellátó elői.felhaszn.terve'!D12+'ESZESZ elői.felhaszn.terve'!D12+'PH elői.felhaszn.terve'!D14</f>
        <v>5000</v>
      </c>
      <c r="D10" s="283">
        <f>+'ÖK elői.felhaszn. terve'!E11+'Könyvtár elői.felhaszn.terve'!E12+'Városellátó elői.felhaszn.terve'!E12+'ESZESZ elői.felhaszn.terve'!E12+'PH elői.felhaszn.terve'!E14</f>
        <v>10000</v>
      </c>
      <c r="E10" s="283">
        <f>+'ÖK elői.felhaszn. terve'!F11+'Könyvtár elői.felhaszn.terve'!F12+'Városellátó elői.felhaszn.terve'!F12+'ESZESZ elői.felhaszn.terve'!F12+'PH elői.felhaszn.terve'!F14</f>
        <v>6094</v>
      </c>
      <c r="F10" s="283">
        <f>+'ÖK elői.felhaszn. terve'!G11+'Könyvtár elői.felhaszn.terve'!G12+'Városellátó elői.felhaszn.terve'!G12+'ESZESZ elői.felhaszn.terve'!G12+'PH elői.felhaszn.terve'!G14</f>
        <v>1100</v>
      </c>
      <c r="G10" s="283">
        <f>+'ÖK elői.felhaszn. terve'!H11+'Könyvtár elői.felhaszn.terve'!H12+'Városellátó elői.felhaszn.terve'!H12+'ESZESZ elői.felhaszn.terve'!H12+'PH elői.felhaszn.terve'!H14</f>
        <v>0</v>
      </c>
      <c r="H10" s="283">
        <f>+'ÖK elői.felhaszn. terve'!I11+'Könyvtár elői.felhaszn.terve'!I12+'Városellátó elői.felhaszn.terve'!I12+'ESZESZ elői.felhaszn.terve'!I12+'PH elői.felhaszn.terve'!I14</f>
        <v>0</v>
      </c>
      <c r="I10" s="283">
        <f>+'ÖK elői.felhaszn. terve'!J11+'Könyvtár elői.felhaszn.terve'!J12+'Városellátó elői.felhaszn.terve'!J12+'ESZESZ elői.felhaszn.terve'!J12+'PH elői.felhaszn.terve'!J14</f>
        <v>0</v>
      </c>
      <c r="J10" s="283">
        <f>+'ÖK elői.felhaszn. terve'!K11+'Könyvtár elői.felhaszn.terve'!K12+'Városellátó elői.felhaszn.terve'!K12+'ESZESZ elői.felhaszn.terve'!K12+'PH elői.felhaszn.terve'!K14</f>
        <v>0</v>
      </c>
      <c r="K10" s="283">
        <f>+'ÖK elői.felhaszn. terve'!L11+'Könyvtár elői.felhaszn.terve'!L12+'Városellátó elői.felhaszn.terve'!L12+'ESZESZ elői.felhaszn.terve'!L12+'PH elői.felhaszn.terve'!L14</f>
        <v>14137</v>
      </c>
      <c r="L10" s="283">
        <f>+'ÖK elői.felhaszn. terve'!M11+'Könyvtár elői.felhaszn.terve'!M12+'Városellátó elői.felhaszn.terve'!M12+'ESZESZ elői.felhaszn.terve'!M12+'PH elői.felhaszn.terve'!M14</f>
        <v>0</v>
      </c>
      <c r="M10" s="283">
        <f>+'ÖK elői.felhaszn. terve'!N11+'Könyvtár elői.felhaszn.terve'!N12+'Városellátó elői.felhaszn.terve'!N12+'ESZESZ elői.felhaszn.terve'!N12+'PH elői.felhaszn.terve'!N14+1000</f>
        <v>50687</v>
      </c>
      <c r="N10" s="283">
        <f>+'ÖK elői.felhaszn. terve'!O11+'Könyvtár elői.felhaszn.terve'!O12+'Városellátó elői.felhaszn.terve'!O12+'ESZESZ elői.felhaszn.terve'!O12+'PH elői.felhaszn.terve'!O14</f>
        <v>0</v>
      </c>
      <c r="O10" s="284">
        <f t="shared" si="1"/>
        <v>87018</v>
      </c>
      <c r="P10" s="116">
        <f>+Bevétel!F18+Bevétel!F98</f>
        <v>87018</v>
      </c>
      <c r="Q10" s="116">
        <f t="shared" si="0"/>
        <v>0</v>
      </c>
    </row>
    <row r="11" spans="1:17" ht="13.5" customHeight="1">
      <c r="A11" s="257" t="s">
        <v>26</v>
      </c>
      <c r="B11" s="258" t="s">
        <v>319</v>
      </c>
      <c r="C11" s="283">
        <f>+'ÖK elői.felhaszn. terve'!D12+'Könyvtár elői.felhaszn.terve'!D13+'Városellátó elői.felhaszn.terve'!D13+'ESZESZ elői.felhaszn.terve'!D13+'PH elői.felhaszn.terve'!D15</f>
        <v>18461</v>
      </c>
      <c r="D11" s="283">
        <f>+'ÖK elői.felhaszn. terve'!E12+'Könyvtár elői.felhaszn.terve'!E13+'Városellátó elői.felhaszn.terve'!E13+'ESZESZ elői.felhaszn.terve'!E13+'PH elői.felhaszn.terve'!E15</f>
        <v>25239</v>
      </c>
      <c r="E11" s="283">
        <f>+'ÖK elői.felhaszn. terve'!F12+'Könyvtár elői.felhaszn.terve'!F13+'Városellátó elői.felhaszn.terve'!F13+'ESZESZ elői.felhaszn.terve'!F13+'PH elői.felhaszn.terve'!F15</f>
        <v>58441</v>
      </c>
      <c r="F11" s="283">
        <f>+'ÖK elői.felhaszn. terve'!G12+'Könyvtár elői.felhaszn.terve'!G13+'Városellátó elői.felhaszn.terve'!G13+'ESZESZ elői.felhaszn.terve'!G13+'PH elői.felhaszn.terve'!G15</f>
        <v>26890</v>
      </c>
      <c r="G11" s="283">
        <f>+'ÖK elői.felhaszn. terve'!H12+'Könyvtár elői.felhaszn.terve'!H13+'Városellátó elői.felhaszn.terve'!H13+'ESZESZ elői.felhaszn.terve'!H13+'PH elői.felhaszn.terve'!H15</f>
        <v>26890</v>
      </c>
      <c r="H11" s="283">
        <f>+'ÖK elői.felhaszn. terve'!I12+'Könyvtár elői.felhaszn.terve'!I13+'Városellátó elői.felhaszn.terve'!I13+'ESZESZ elői.felhaszn.terve'!I13+'PH elői.felhaszn.terve'!I15</f>
        <v>9060</v>
      </c>
      <c r="I11" s="283">
        <f>+'ÖK elői.felhaszn. terve'!J12+'Könyvtár elői.felhaszn.terve'!J13+'Városellátó elői.felhaszn.terve'!J13+'ESZESZ elői.felhaszn.terve'!J13+'PH elői.felhaszn.terve'!J15</f>
        <v>25890</v>
      </c>
      <c r="J11" s="283">
        <f>+'ÖK elői.felhaszn. terve'!K12+'Könyvtár elői.felhaszn.terve'!K13+'Városellátó elői.felhaszn.terve'!K13+'ESZESZ elői.felhaszn.terve'!K13+'PH elői.felhaszn.terve'!K15</f>
        <v>25890</v>
      </c>
      <c r="K11" s="283">
        <f>+'ÖK elői.felhaszn. terve'!L12+'Könyvtár elői.felhaszn.terve'!L13+'Városellátó elői.felhaszn.terve'!L13+'ESZESZ elői.felhaszn.terve'!L13+'PH elői.felhaszn.terve'!L15</f>
        <v>26924</v>
      </c>
      <c r="L11" s="283">
        <f>+'ÖK elői.felhaszn. terve'!M12+'Könyvtár elői.felhaszn.terve'!M13+'Városellátó elői.felhaszn.terve'!M13+'ESZESZ elői.felhaszn.terve'!M13+'PH elői.felhaszn.terve'!M15</f>
        <v>25890</v>
      </c>
      <c r="M11" s="283">
        <f>+'ÖK elői.felhaszn. terve'!N12+'Könyvtár elői.felhaszn.terve'!N13+'Városellátó elői.felhaszn.terve'!N13+'ESZESZ elői.felhaszn.terve'!N13+'PH elői.felhaszn.terve'!N15-1000</f>
        <v>15122</v>
      </c>
      <c r="N11" s="283">
        <f>+'ÖK elői.felhaszn. terve'!O12+'Könyvtár elői.felhaszn.terve'!O13+'Városellátó elői.felhaszn.terve'!O13+'ESZESZ elői.felhaszn.terve'!O13+'PH elői.felhaszn.terve'!O15</f>
        <v>25909</v>
      </c>
      <c r="O11" s="284">
        <f t="shared" si="1"/>
        <v>310606</v>
      </c>
      <c r="P11" s="116">
        <f>+Bevétel!F53</f>
        <v>310606</v>
      </c>
      <c r="Q11" s="116">
        <f t="shared" si="0"/>
        <v>0</v>
      </c>
    </row>
    <row r="12" spans="1:17" ht="13.5" customHeight="1">
      <c r="A12" s="257" t="s">
        <v>27</v>
      </c>
      <c r="B12" s="258" t="s">
        <v>320</v>
      </c>
      <c r="C12" s="283">
        <f>+'ÖK elői.felhaszn. terve'!D13+'Könyvtár elői.felhaszn.terve'!D14+'Városellátó elői.felhaszn.terve'!D14+'ESZESZ elői.felhaszn.terve'!D14+'PH elői.felhaszn.terve'!D16</f>
        <v>13</v>
      </c>
      <c r="D12" s="283">
        <f>+'ÖK elői.felhaszn. terve'!E13+'Könyvtár elői.felhaszn.terve'!E14+'Városellátó elői.felhaszn.terve'!E14+'ESZESZ elői.felhaszn.terve'!E14+'PH elői.felhaszn.terve'!E16</f>
        <v>13</v>
      </c>
      <c r="E12" s="283">
        <f>+'ÖK elői.felhaszn. terve'!F13+'Könyvtár elői.felhaszn.terve'!F14+'Városellátó elői.felhaszn.terve'!F14+'ESZESZ elői.felhaszn.terve'!F14+'PH elői.felhaszn.terve'!F16</f>
        <v>13</v>
      </c>
      <c r="F12" s="283">
        <f>+'ÖK elői.felhaszn. terve'!G13+'Könyvtár elői.felhaszn.terve'!G14+'Városellátó elői.felhaszn.terve'!G14+'ESZESZ elői.felhaszn.terve'!G14+'PH elői.felhaszn.terve'!G16</f>
        <v>13</v>
      </c>
      <c r="G12" s="283">
        <f>+'ÖK elői.felhaszn. terve'!H13+'Könyvtár elői.felhaszn.terve'!H14+'Városellátó elői.felhaszn.terve'!H14+'ESZESZ elői.felhaszn.terve'!H14+'PH elői.felhaszn.terve'!H16</f>
        <v>13</v>
      </c>
      <c r="H12" s="283">
        <f>+'ÖK elői.felhaszn. terve'!I13+'Könyvtár elői.felhaszn.terve'!I14+'Városellátó elői.felhaszn.terve'!I14+'ESZESZ elői.felhaszn.terve'!I14+'PH elői.felhaszn.terve'!I16</f>
        <v>13</v>
      </c>
      <c r="I12" s="283">
        <f>+'ÖK elői.felhaszn. terve'!J13+'Könyvtár elői.felhaszn.terve'!J14+'Városellátó elői.felhaszn.terve'!J14+'ESZESZ elői.felhaszn.terve'!J14+'PH elői.felhaszn.terve'!J16</f>
        <v>13</v>
      </c>
      <c r="J12" s="283">
        <f>+'ÖK elői.felhaszn. terve'!K13+'Könyvtár elői.felhaszn.terve'!K14+'Városellátó elői.felhaszn.terve'!K14+'ESZESZ elői.felhaszn.terve'!K14+'PH elői.felhaszn.terve'!K16</f>
        <v>13</v>
      </c>
      <c r="K12" s="283">
        <f>+'ÖK elői.felhaszn. terve'!L13+'Könyvtár elői.felhaszn.terve'!L14+'Városellátó elői.felhaszn.terve'!L14+'ESZESZ elői.felhaszn.terve'!L14+'PH elői.felhaszn.terve'!L16</f>
        <v>13</v>
      </c>
      <c r="L12" s="283">
        <f>+'ÖK elői.felhaszn. terve'!M13+'Könyvtár elői.felhaszn.terve'!M14+'Városellátó elői.felhaszn.terve'!M14+'ESZESZ elői.felhaszn.terve'!M14+'PH elői.felhaszn.terve'!M16</f>
        <v>13</v>
      </c>
      <c r="M12" s="283">
        <f>+'ÖK elői.felhaszn. terve'!N13+'Könyvtár elői.felhaszn.terve'!N14+'Városellátó elői.felhaszn.terve'!N14+'ESZESZ elői.felhaszn.terve'!N14+'PH elői.felhaszn.terve'!N16</f>
        <v>13</v>
      </c>
      <c r="N12" s="283">
        <f>+'ÖK elői.felhaszn. terve'!O13+'Könyvtár elői.felhaszn.terve'!O14+'Városellátó elői.felhaszn.terve'!O14+'ESZESZ elői.felhaszn.terve'!O14+'PH elői.felhaszn.terve'!O16</f>
        <v>7</v>
      </c>
      <c r="O12" s="284">
        <f t="shared" si="1"/>
        <v>150</v>
      </c>
      <c r="P12" s="116">
        <f>+Bevétel!F105</f>
        <v>150</v>
      </c>
      <c r="Q12" s="116">
        <f t="shared" si="0"/>
        <v>0</v>
      </c>
    </row>
    <row r="13" spans="1:17" ht="21" customHeight="1">
      <c r="A13" s="257" t="s">
        <v>28</v>
      </c>
      <c r="B13" s="263" t="s">
        <v>321</v>
      </c>
      <c r="C13" s="283">
        <f>+'ÖK elői.felhaszn. terve'!D14+'Könyvtár elői.felhaszn.terve'!D15+'Városellátó elői.felhaszn.terve'!D15+'ESZESZ elői.felhaszn.terve'!D15+'PH elői.felhaszn.terve'!D17</f>
        <v>0</v>
      </c>
      <c r="D13" s="283">
        <f>+'ÖK elői.felhaszn. terve'!E14+'PH elői.felhaszn.terve'!E17+'ESZESZ elői.felhaszn.terve'!E15+'Városellátó elői.felhaszn.terve'!E15+'Könyvtár elői.felhaszn.terve'!E15</f>
        <v>2500</v>
      </c>
      <c r="E13" s="283">
        <f>+'ÖK elői.felhaszn. terve'!F14+'PH elői.felhaszn.terve'!F17+'ESZESZ elői.felhaszn.terve'!F15+'Városellátó elői.felhaszn.terve'!F15+'Könyvtár elői.felhaszn.terve'!F15</f>
        <v>75457</v>
      </c>
      <c r="F13" s="283">
        <f>+'ÖK elői.felhaszn. terve'!G14+'PH elői.felhaszn.terve'!G17+'ESZESZ elői.felhaszn.terve'!G15+'Városellátó elői.felhaszn.terve'!G15+'Könyvtár elői.felhaszn.terve'!G15</f>
        <v>0</v>
      </c>
      <c r="G13" s="283">
        <f>+'ÖK elői.felhaszn. terve'!H14+'PH elői.felhaszn.terve'!H17+'ESZESZ elői.felhaszn.terve'!H15+'Városellátó elői.felhaszn.terve'!H15+'Könyvtár elői.felhaszn.terve'!H15</f>
        <v>0</v>
      </c>
      <c r="H13" s="283">
        <f>+'ÖK elői.felhaszn. terve'!I14+'PH elői.felhaszn.terve'!I17+'ESZESZ elői.felhaszn.terve'!I15+'Városellátó elői.felhaszn.terve'!I15+'Könyvtár elői.felhaszn.terve'!I15</f>
        <v>0</v>
      </c>
      <c r="I13" s="283">
        <f>+'ÖK elői.felhaszn. terve'!J14+'PH elői.felhaszn.terve'!J17+'ESZESZ elői.felhaszn.terve'!J15+'Városellátó elői.felhaszn.terve'!J15+'Könyvtár elői.felhaszn.terve'!J15</f>
        <v>0</v>
      </c>
      <c r="J13" s="283">
        <f>+'ÖK elői.felhaszn. terve'!K14+'PH elői.felhaszn.terve'!K17+'ESZESZ elői.felhaszn.terve'!K15+'Városellátó elői.felhaszn.terve'!K15+'Könyvtár elői.felhaszn.terve'!K15</f>
        <v>0</v>
      </c>
      <c r="K13" s="283">
        <f>+'ÖK elői.felhaszn. terve'!L14+'PH elői.felhaszn.terve'!L17+'ESZESZ elői.felhaszn.terve'!L15+'Városellátó elői.felhaszn.terve'!L15+'Könyvtár elői.felhaszn.terve'!L15</f>
        <v>0</v>
      </c>
      <c r="L13" s="283">
        <f>+'ÖK elői.felhaszn. terve'!M14+'PH elői.felhaszn.terve'!M17+'ESZESZ elői.felhaszn.terve'!M15+'Városellátó elői.felhaszn.terve'!M15+'Könyvtár elői.felhaszn.terve'!M15</f>
        <v>0</v>
      </c>
      <c r="M13" s="283">
        <f>+'ÖK elői.felhaszn. terve'!N14+'PH elői.felhaszn.terve'!N17+'ESZESZ elői.felhaszn.terve'!N15+'Városellátó elői.felhaszn.terve'!N15+'Könyvtár elői.felhaszn.terve'!N15</f>
        <v>0</v>
      </c>
      <c r="N13" s="283">
        <f>+'ÖK elői.felhaszn. terve'!O14+'PH elői.felhaszn.terve'!O17+'ESZESZ elői.felhaszn.terve'!O15+'Városellátó elői.felhaszn.terve'!O15+'Könyvtár elői.felhaszn.terve'!O15</f>
        <v>0</v>
      </c>
      <c r="O13" s="284">
        <f t="shared" si="1"/>
        <v>77957</v>
      </c>
      <c r="P13" s="116">
        <f>+Bevétel!F110</f>
        <v>77957</v>
      </c>
      <c r="Q13" s="116">
        <f t="shared" si="0"/>
        <v>0</v>
      </c>
    </row>
    <row r="14" spans="1:17" ht="13.5" customHeight="1" thickBot="1">
      <c r="A14" s="257" t="s">
        <v>29</v>
      </c>
      <c r="B14" s="258" t="s">
        <v>336</v>
      </c>
      <c r="C14" s="283">
        <f>+'ÖK elői.felhaszn. terve'!D15</f>
        <v>0</v>
      </c>
      <c r="D14" s="283">
        <f>+'ÖK elői.felhaszn. terve'!E15</f>
        <v>0</v>
      </c>
      <c r="E14" s="283">
        <f>+'ÖK elői.felhaszn. terve'!F15</f>
        <v>0</v>
      </c>
      <c r="F14" s="283">
        <f>+'ÖK elői.felhaszn. terve'!G15</f>
        <v>0</v>
      </c>
      <c r="G14" s="283">
        <f>+'ÖK elői.felhaszn. terve'!H15</f>
        <v>0</v>
      </c>
      <c r="H14" s="283">
        <f>+'ÖK elői.felhaszn. terve'!I15</f>
        <v>0</v>
      </c>
      <c r="I14" s="283">
        <f>+'ÖK elői.felhaszn. terve'!J15</f>
        <v>0</v>
      </c>
      <c r="J14" s="283">
        <f>+'ÖK elői.felhaszn. terve'!K15</f>
        <v>0</v>
      </c>
      <c r="K14" s="283">
        <f>+'ÖK elői.felhaszn. terve'!L15</f>
        <v>0</v>
      </c>
      <c r="L14" s="283">
        <f>+'ÖK elői.felhaszn. terve'!M15</f>
        <v>0</v>
      </c>
      <c r="M14" s="283">
        <f>+'ÖK elői.felhaszn. terve'!N15</f>
        <v>0</v>
      </c>
      <c r="N14" s="283">
        <f>+'ÖK elői.felhaszn. terve'!O15</f>
        <v>12084</v>
      </c>
      <c r="O14" s="284">
        <f t="shared" si="1"/>
        <v>12084</v>
      </c>
      <c r="P14" s="116">
        <f>+Bevétel!F108</f>
        <v>12084</v>
      </c>
      <c r="Q14" s="116">
        <f t="shared" si="0"/>
        <v>0</v>
      </c>
    </row>
    <row r="15" spans="1:47" s="519" customFormat="1" ht="13.5" customHeight="1" thickBot="1">
      <c r="A15" s="250" t="s">
        <v>30</v>
      </c>
      <c r="B15" s="265" t="s">
        <v>322</v>
      </c>
      <c r="C15" s="287">
        <f>SUM(C7:C14)</f>
        <v>67708</v>
      </c>
      <c r="D15" s="287">
        <f aca="true" t="shared" si="2" ref="D15:N15">SUM(D7:D14)</f>
        <v>81738</v>
      </c>
      <c r="E15" s="287">
        <f t="shared" si="2"/>
        <v>200198</v>
      </c>
      <c r="F15" s="287">
        <f t="shared" si="2"/>
        <v>76193</v>
      </c>
      <c r="G15" s="287">
        <f t="shared" si="2"/>
        <v>75093</v>
      </c>
      <c r="H15" s="287">
        <f t="shared" si="2"/>
        <v>337125</v>
      </c>
      <c r="I15" s="287">
        <f t="shared" si="2"/>
        <v>74093</v>
      </c>
      <c r="J15" s="287">
        <f t="shared" si="2"/>
        <v>74093</v>
      </c>
      <c r="K15" s="287">
        <f t="shared" si="2"/>
        <v>96439</v>
      </c>
      <c r="L15" s="287">
        <f t="shared" si="2"/>
        <v>74093</v>
      </c>
      <c r="M15" s="287">
        <f t="shared" si="2"/>
        <v>137577</v>
      </c>
      <c r="N15" s="287">
        <f t="shared" si="2"/>
        <v>78276</v>
      </c>
      <c r="O15" s="287">
        <f>SUM(O7:O14)</f>
        <v>1372626</v>
      </c>
      <c r="P15" s="116"/>
      <c r="Q15" s="116">
        <f t="shared" si="0"/>
        <v>-1372626</v>
      </c>
      <c r="R15" s="116"/>
      <c r="S15" s="520"/>
      <c r="T15" s="520"/>
      <c r="U15" s="520"/>
      <c r="V15" s="520"/>
      <c r="W15" s="520"/>
      <c r="X15" s="520"/>
      <c r="Y15" s="520"/>
      <c r="Z15" s="520"/>
      <c r="AA15" s="520"/>
      <c r="AB15" s="520"/>
      <c r="AC15" s="520"/>
      <c r="AD15" s="520"/>
      <c r="AE15" s="520"/>
      <c r="AF15" s="520"/>
      <c r="AG15" s="520"/>
      <c r="AH15" s="520"/>
      <c r="AI15" s="520"/>
      <c r="AJ15" s="520"/>
      <c r="AK15" s="520"/>
      <c r="AL15" s="520"/>
      <c r="AM15" s="520"/>
      <c r="AN15" s="520"/>
      <c r="AO15" s="520"/>
      <c r="AP15" s="520"/>
      <c r="AQ15" s="520"/>
      <c r="AR15" s="520"/>
      <c r="AS15" s="520"/>
      <c r="AT15" s="520"/>
      <c r="AU15" s="520"/>
    </row>
    <row r="16" spans="1:47" s="519" customFormat="1" ht="13.5" customHeight="1" thickBot="1">
      <c r="A16" s="250" t="s">
        <v>31</v>
      </c>
      <c r="B16" s="251" t="s">
        <v>125</v>
      </c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67"/>
      <c r="P16" s="116"/>
      <c r="Q16" s="116">
        <f t="shared" si="0"/>
        <v>0</v>
      </c>
      <c r="R16" s="116"/>
      <c r="S16" s="520"/>
      <c r="T16" s="520"/>
      <c r="U16" s="520"/>
      <c r="V16" s="520"/>
      <c r="W16" s="520"/>
      <c r="X16" s="520"/>
      <c r="Y16" s="520"/>
      <c r="Z16" s="520"/>
      <c r="AA16" s="520"/>
      <c r="AB16" s="520"/>
      <c r="AC16" s="520"/>
      <c r="AD16" s="520"/>
      <c r="AE16" s="520"/>
      <c r="AF16" s="520"/>
      <c r="AG16" s="520"/>
      <c r="AH16" s="520"/>
      <c r="AI16" s="520"/>
      <c r="AJ16" s="520"/>
      <c r="AK16" s="520"/>
      <c r="AL16" s="520"/>
      <c r="AM16" s="520"/>
      <c r="AN16" s="520"/>
      <c r="AO16" s="520"/>
      <c r="AP16" s="520"/>
      <c r="AQ16" s="520"/>
      <c r="AR16" s="520"/>
      <c r="AS16" s="520"/>
      <c r="AT16" s="520"/>
      <c r="AU16" s="520"/>
    </row>
    <row r="17" spans="1:17" ht="13.5" customHeight="1">
      <c r="A17" s="268" t="s">
        <v>32</v>
      </c>
      <c r="B17" s="269" t="s">
        <v>215</v>
      </c>
      <c r="C17" s="285">
        <f>+'ÖK elői.felhaszn. terve'!D18+'Könyvtár elői.felhaszn.terve'!D19+'Városellátó elői.felhaszn.terve'!D19+'ESZESZ elői.felhaszn.terve'!D19+'PH elői.felhaszn.terve'!D21</f>
        <v>39682</v>
      </c>
      <c r="D17" s="285">
        <f>+'ÖK elői.felhaszn. terve'!E18+'Könyvtár elői.felhaszn.terve'!E19+'Városellátó elői.felhaszn.terve'!E19+'ESZESZ elői.felhaszn.terve'!E19+'PH elői.felhaszn.terve'!E21</f>
        <v>43808</v>
      </c>
      <c r="E17" s="285">
        <f>+'ÖK elői.felhaszn. terve'!F18+'Könyvtár elői.felhaszn.terve'!F19+'Városellátó elői.felhaszn.terve'!F19+'ESZESZ elői.felhaszn.terve'!F19+'PH elői.felhaszn.terve'!F21</f>
        <v>46177</v>
      </c>
      <c r="F17" s="285">
        <f>+'ÖK elői.felhaszn. terve'!G18+'Könyvtár elői.felhaszn.terve'!G19+'Városellátó elői.felhaszn.terve'!G19+'ESZESZ elői.felhaszn.terve'!G19+'PH elői.felhaszn.terve'!G21</f>
        <v>63653</v>
      </c>
      <c r="G17" s="285">
        <f>+'ÖK elői.felhaszn. terve'!H18+'Könyvtár elői.felhaszn.terve'!H19+'Városellátó elői.felhaszn.terve'!H19+'ESZESZ elői.felhaszn.terve'!H19+'PH elői.felhaszn.terve'!H21</f>
        <v>24974</v>
      </c>
      <c r="H17" s="285">
        <f>+'ÖK elői.felhaszn. terve'!I18+'Könyvtár elői.felhaszn.terve'!I19+'Városellátó elői.felhaszn.terve'!I19+'ESZESZ elői.felhaszn.terve'!I19+'PH elői.felhaszn.terve'!I21</f>
        <v>28969</v>
      </c>
      <c r="I17" s="285">
        <f>+'ÖK elői.felhaszn. terve'!J18+'Könyvtár elői.felhaszn.terve'!J19+'Városellátó elői.felhaszn.terve'!J19+'ESZESZ elői.felhaszn.terve'!J19+'PH elői.felhaszn.terve'!J21</f>
        <v>30840</v>
      </c>
      <c r="J17" s="285">
        <f>+'ÖK elői.felhaszn. terve'!K18+'Könyvtár elői.felhaszn.terve'!K19+'Városellátó elői.felhaszn.terve'!K19+'ESZESZ elői.felhaszn.terve'!K19+'PH elői.felhaszn.terve'!K21</f>
        <v>31936</v>
      </c>
      <c r="K17" s="285">
        <f>+'ÖK elői.felhaszn. terve'!L18+'Könyvtár elői.felhaszn.terve'!L19+'Városellátó elői.felhaszn.terve'!L19+'ESZESZ elői.felhaszn.terve'!L19+'PH elői.felhaszn.terve'!L21</f>
        <v>30436</v>
      </c>
      <c r="L17" s="285">
        <f>+'ÖK elői.felhaszn. terve'!M18+'Könyvtár elői.felhaszn.terve'!M19+'Városellátó elői.felhaszn.terve'!M19+'ESZESZ elői.felhaszn.terve'!M19+'PH elői.felhaszn.terve'!M21</f>
        <v>27909</v>
      </c>
      <c r="M17" s="285">
        <f>+'ÖK elői.felhaszn. terve'!N18+'Könyvtár elői.felhaszn.terve'!N19+'Városellátó elői.felhaszn.terve'!N19+'ESZESZ elői.felhaszn.terve'!N19+'PH elői.felhaszn.terve'!N21</f>
        <v>29101</v>
      </c>
      <c r="N17" s="285">
        <f>+'ÖK elői.felhaszn. terve'!O18+'Könyvtár elői.felhaszn.terve'!O19+'Városellátó elői.felhaszn.terve'!O19+'ESZESZ elői.felhaszn.terve'!O19+'PH elői.felhaszn.terve'!O21</f>
        <v>22979</v>
      </c>
      <c r="O17" s="667">
        <f>SUM(C17:N17)</f>
        <v>420464</v>
      </c>
      <c r="P17" s="116">
        <f>+'Kiad.intézményenként'!D36</f>
        <v>420464</v>
      </c>
      <c r="Q17" s="116">
        <f t="shared" si="0"/>
        <v>0</v>
      </c>
    </row>
    <row r="18" spans="1:17" ht="24.75" customHeight="1">
      <c r="A18" s="257" t="s">
        <v>33</v>
      </c>
      <c r="B18" s="263" t="s">
        <v>323</v>
      </c>
      <c r="C18" s="285">
        <f>+'ÖK elői.felhaszn. terve'!D19+'Könyvtár elői.felhaszn.terve'!D20+'Városellátó elői.felhaszn.terve'!D20+'ESZESZ elői.felhaszn.terve'!D20+'PH elői.felhaszn.terve'!D22</f>
        <v>7885</v>
      </c>
      <c r="D18" s="285">
        <f>+'ÖK elői.felhaszn. terve'!E19+'Könyvtár elői.felhaszn.terve'!E20+'Városellátó elői.felhaszn.terve'!E20+'ESZESZ elői.felhaszn.terve'!E20+'PH elői.felhaszn.terve'!E22</f>
        <v>8422</v>
      </c>
      <c r="E18" s="285">
        <f>+'ÖK elői.felhaszn. terve'!F19+'Könyvtár elői.felhaszn.terve'!F20+'Városellátó elői.felhaszn.terve'!F20+'ESZESZ elői.felhaszn.terve'!F20+'PH elői.felhaszn.terve'!F22</f>
        <v>8589</v>
      </c>
      <c r="F18" s="285">
        <f>+'ÖK elői.felhaszn. terve'!G19+'Könyvtár elői.felhaszn.terve'!G20+'Városellátó elői.felhaszn.terve'!G20+'ESZESZ elői.felhaszn.terve'!G20+'PH elői.felhaszn.terve'!G22</f>
        <v>8726</v>
      </c>
      <c r="G18" s="285">
        <f>+'ÖK elői.felhaszn. terve'!H19+'Könyvtár elői.felhaszn.terve'!H20+'Városellátó elői.felhaszn.terve'!H20+'ESZESZ elői.felhaszn.terve'!H20+'PH elői.felhaszn.terve'!H22</f>
        <v>8447</v>
      </c>
      <c r="H18" s="285">
        <f>+'ÖK elői.felhaszn. terve'!I19+'Könyvtár elői.felhaszn.terve'!I20+'Városellátó elői.felhaszn.terve'!I20+'ESZESZ elői.felhaszn.terve'!I20+'PH elői.felhaszn.terve'!I22</f>
        <v>6564</v>
      </c>
      <c r="I18" s="285">
        <f>+'ÖK elői.felhaszn. terve'!J19+'Könyvtár elői.felhaszn.terve'!J20+'Városellátó elői.felhaszn.terve'!J20+'ESZESZ elői.felhaszn.terve'!J20+'PH elői.felhaszn.terve'!J22</f>
        <v>6463</v>
      </c>
      <c r="J18" s="285">
        <f>+'ÖK elői.felhaszn. terve'!K19+'Könyvtár elői.felhaszn.terve'!K20+'Városellátó elői.felhaszn.terve'!K20+'ESZESZ elői.felhaszn.terve'!K20+'PH elői.felhaszn.terve'!K22</f>
        <v>6764</v>
      </c>
      <c r="K18" s="285">
        <f>+'ÖK elői.felhaszn. terve'!L19+'Könyvtár elői.felhaszn.terve'!L20+'Városellátó elői.felhaszn.terve'!L20+'ESZESZ elői.felhaszn.terve'!L20+'PH elői.felhaszn.terve'!L22</f>
        <v>6764</v>
      </c>
      <c r="L18" s="285">
        <f>+'ÖK elői.felhaszn. terve'!M19+'Könyvtár elői.felhaszn.terve'!M20+'Városellátó elői.felhaszn.terve'!M20+'ESZESZ elői.felhaszn.terve'!M20+'PH elői.felhaszn.terve'!M22</f>
        <v>7349</v>
      </c>
      <c r="M18" s="285">
        <f>+'ÖK elői.felhaszn. terve'!N19+'Könyvtár elői.felhaszn.terve'!N20+'Városellátó elői.felhaszn.terve'!N20+'ESZESZ elői.felhaszn.terve'!N20+'PH elői.felhaszn.terve'!N22</f>
        <v>6679</v>
      </c>
      <c r="N18" s="285">
        <f>+'ÖK elői.felhaszn. terve'!O19+'Könyvtár elői.felhaszn.terve'!O20+'Városellátó elői.felhaszn.terve'!O20+'ESZESZ elői.felhaszn.terve'!O20+'PH elői.felhaszn.terve'!O22</f>
        <v>5556</v>
      </c>
      <c r="O18" s="668">
        <f t="shared" si="1"/>
        <v>88208</v>
      </c>
      <c r="P18" s="116">
        <f>+'Kiad.intézményenként'!E36</f>
        <v>88208</v>
      </c>
      <c r="Q18" s="116">
        <f t="shared" si="0"/>
        <v>0</v>
      </c>
    </row>
    <row r="19" spans="1:17" ht="13.5" customHeight="1">
      <c r="A19" s="257" t="s">
        <v>34</v>
      </c>
      <c r="B19" s="258" t="s">
        <v>251</v>
      </c>
      <c r="C19" s="285">
        <f>+'ÖK elői.felhaszn. terve'!D20+'Könyvtár elői.felhaszn.terve'!D21+'Városellátó elői.felhaszn.terve'!D21+'ESZESZ elői.felhaszn.terve'!D21+'PH elői.felhaszn.terve'!D23</f>
        <v>35902</v>
      </c>
      <c r="D19" s="285">
        <f>+'ÖK elői.felhaszn. terve'!E20+'Könyvtár elői.felhaszn.terve'!E21+'Városellátó elői.felhaszn.terve'!E21+'ESZESZ elői.felhaszn.terve'!E21+'PH elői.felhaszn.terve'!E23</f>
        <v>42704</v>
      </c>
      <c r="E19" s="285">
        <f>+'ÖK elői.felhaszn. terve'!F20+'Könyvtár elői.felhaszn.terve'!F21+'Városellátó elői.felhaszn.terve'!F21+'ESZESZ elői.felhaszn.terve'!F21+'PH elői.felhaszn.terve'!F23</f>
        <v>37092</v>
      </c>
      <c r="F19" s="285">
        <f>+'ÖK elői.felhaszn. terve'!G20+'Könyvtár elői.felhaszn.terve'!G21+'Városellátó elői.felhaszn.terve'!G21+'ESZESZ elői.felhaszn.terve'!G21+'PH elői.felhaszn.terve'!G23</f>
        <v>23049</v>
      </c>
      <c r="G19" s="285">
        <f>+'ÖK elői.felhaszn. terve'!H20+'Könyvtár elői.felhaszn.terve'!H21+'Városellátó elői.felhaszn.terve'!H21+'ESZESZ elői.felhaszn.terve'!H21+'PH elői.felhaszn.terve'!H23</f>
        <v>19592</v>
      </c>
      <c r="H19" s="285">
        <f>+'ÖK elői.felhaszn. terve'!I20+'Könyvtár elői.felhaszn.terve'!I21+'Városellátó elői.felhaszn.terve'!I21+'ESZESZ elői.felhaszn.terve'!I21+'PH elői.felhaszn.terve'!I23</f>
        <v>34222</v>
      </c>
      <c r="I19" s="285">
        <f>+'ÖK elői.felhaszn. terve'!J20+'Könyvtár elői.felhaszn.terve'!J21+'Városellátó elői.felhaszn.terve'!J21+'ESZESZ elői.felhaszn.terve'!J21+'PH elői.felhaszn.terve'!J23</f>
        <v>25342</v>
      </c>
      <c r="J19" s="285">
        <f>+'ÖK elői.felhaszn. terve'!K20+'Könyvtár elői.felhaszn.terve'!K21+'Városellátó elői.felhaszn.terve'!K21+'ESZESZ elői.felhaszn.terve'!K21+'PH elői.felhaszn.terve'!K23</f>
        <v>26057</v>
      </c>
      <c r="K19" s="285">
        <f>+'ÖK elői.felhaszn. terve'!L20+'Könyvtár elői.felhaszn.terve'!L21+'Városellátó elői.felhaszn.terve'!L21+'ESZESZ elői.felhaszn.terve'!L21+'PH elői.felhaszn.terve'!L23</f>
        <v>18119</v>
      </c>
      <c r="L19" s="285">
        <f>+'ÖK elői.felhaszn. terve'!M20+'Könyvtár elői.felhaszn.terve'!M21+'Városellátó elői.felhaszn.terve'!M21+'ESZESZ elői.felhaszn.terve'!M21+'PH elői.felhaszn.terve'!M23</f>
        <v>20420</v>
      </c>
      <c r="M19" s="285">
        <f>+'ÖK elői.felhaszn. terve'!N20+'Könyvtár elői.felhaszn.terve'!N21+'Városellátó elői.felhaszn.terve'!N21+'ESZESZ elői.felhaszn.terve'!N21+'PH elői.felhaszn.terve'!N23</f>
        <v>26386</v>
      </c>
      <c r="N19" s="285">
        <f>+'ÖK elői.felhaszn. terve'!O20+'Könyvtár elői.felhaszn.terve'!O21+'Városellátó elői.felhaszn.terve'!O21+'ESZESZ elői.felhaszn.terve'!O21+'PH elői.felhaszn.terve'!O23</f>
        <v>29270</v>
      </c>
      <c r="O19" s="668">
        <f t="shared" si="1"/>
        <v>338155</v>
      </c>
      <c r="P19" s="116">
        <f>+'Kiad.intézményenként'!F36</f>
        <v>338155</v>
      </c>
      <c r="Q19" s="116">
        <f t="shared" si="0"/>
        <v>0</v>
      </c>
    </row>
    <row r="20" spans="1:17" ht="13.5" customHeight="1">
      <c r="A20" s="257" t="s">
        <v>35</v>
      </c>
      <c r="B20" s="258" t="s">
        <v>324</v>
      </c>
      <c r="C20" s="285">
        <f>+'ÖK elői.felhaszn. terve'!D21+'Könyvtár elői.felhaszn.terve'!D22+'Városellátó elői.felhaszn.terve'!D22+'ESZESZ elői.felhaszn.terve'!D22+'PH elői.felhaszn.terve'!D24</f>
        <v>0</v>
      </c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4">
        <f t="shared" si="1"/>
        <v>0</v>
      </c>
      <c r="Q20" s="116">
        <f t="shared" si="0"/>
        <v>0</v>
      </c>
    </row>
    <row r="21" spans="1:17" ht="13.5" customHeight="1">
      <c r="A21" s="257" t="s">
        <v>36</v>
      </c>
      <c r="B21" s="258" t="s">
        <v>325</v>
      </c>
      <c r="C21" s="285">
        <f>+'ÖK elői.felhaszn. terve'!D22+'Könyvtár elői.felhaszn.terve'!D23+'Városellátó elői.felhaszn.terve'!D23+'ESZESZ elői.felhaszn.terve'!D23+'PH elői.felhaszn.terve'!D25</f>
        <v>0</v>
      </c>
      <c r="D21" s="285">
        <f>+'ÖK elői.felhaszn. terve'!E22+'Könyvtár elői.felhaszn.terve'!E23+'Városellátó elői.felhaszn.terve'!E23+'ESZESZ elői.felhaszn.terve'!E23+'PH elői.felhaszn.terve'!E25</f>
        <v>0</v>
      </c>
      <c r="E21" s="285">
        <f>+'ÖK elői.felhaszn. terve'!F22+'Könyvtár elői.felhaszn.terve'!F23+'Városellátó elői.felhaszn.terve'!F23+'ESZESZ elői.felhaszn.terve'!F23+'PH elői.felhaszn.terve'!F25</f>
        <v>0</v>
      </c>
      <c r="F21" s="285">
        <f>+'ÖK elői.felhaszn. terve'!G22+'Könyvtár elői.felhaszn.terve'!G23+'Városellátó elői.felhaszn.terve'!G23+'ESZESZ elői.felhaszn.terve'!G23+'PH elői.felhaszn.terve'!G25</f>
        <v>0</v>
      </c>
      <c r="G21" s="285">
        <f>+'ÖK elői.felhaszn. terve'!H22+'Könyvtár elői.felhaszn.terve'!H23+'Városellátó elői.felhaszn.terve'!H23+'ESZESZ elői.felhaszn.terve'!H23+'PH elői.felhaszn.terve'!H25</f>
        <v>0</v>
      </c>
      <c r="H21" s="285">
        <f>+'ÖK elői.felhaszn. terve'!I22+'Könyvtár elői.felhaszn.terve'!I23+'Városellátó elői.felhaszn.terve'!I23+'ESZESZ elői.felhaszn.terve'!I23+'PH elői.felhaszn.terve'!I25</f>
        <v>0</v>
      </c>
      <c r="I21" s="285">
        <f>+'ÖK elői.felhaszn. terve'!J22+'Könyvtár elői.felhaszn.terve'!J23+'Városellátó elői.felhaszn.terve'!J23+'ESZESZ elői.felhaszn.terve'!J23+'PH elői.felhaszn.terve'!J25</f>
        <v>0</v>
      </c>
      <c r="J21" s="285">
        <f>+'ÖK elői.felhaszn. terve'!K22+'Könyvtár elői.felhaszn.terve'!K23+'Városellátó elői.felhaszn.terve'!K23+'ESZESZ elői.felhaszn.terve'!K23+'PH elői.felhaszn.terve'!K25</f>
        <v>0</v>
      </c>
      <c r="K21" s="285">
        <f>+'ÖK elői.felhaszn. terve'!L22+'Könyvtár elői.felhaszn.terve'!L23+'Városellátó elői.felhaszn.terve'!L23+'ESZESZ elői.felhaszn.terve'!L23+'PH elői.felhaszn.terve'!L25</f>
        <v>0</v>
      </c>
      <c r="L21" s="285">
        <f>+'ÖK elői.felhaszn. terve'!M22+'Könyvtár elői.felhaszn.terve'!M23+'Városellátó elői.felhaszn.terve'!M23+'ESZESZ elői.felhaszn.terve'!M23+'PH elői.felhaszn.terve'!M25</f>
        <v>0</v>
      </c>
      <c r="M21" s="285">
        <f>+'ÖK elői.felhaszn. terve'!N22+'Könyvtár elői.felhaszn.terve'!N23+'Városellátó elői.felhaszn.terve'!N23+'ESZESZ elői.felhaszn.terve'!N23+'PH elői.felhaszn.terve'!N25</f>
        <v>0</v>
      </c>
      <c r="N21" s="285">
        <f>+'ÖK elői.felhaszn. terve'!O22+'Könyvtár elői.felhaszn.terve'!O23+'Városellátó elői.felhaszn.terve'!O23+'ESZESZ elői.felhaszn.terve'!O23+'PH elői.felhaszn.terve'!O25</f>
        <v>0</v>
      </c>
      <c r="O21" s="284">
        <f t="shared" si="1"/>
        <v>0</v>
      </c>
      <c r="Q21" s="116">
        <f t="shared" si="0"/>
        <v>0</v>
      </c>
    </row>
    <row r="22" spans="1:17" ht="13.5" customHeight="1">
      <c r="A22" s="257" t="s">
        <v>37</v>
      </c>
      <c r="B22" s="258" t="s">
        <v>326</v>
      </c>
      <c r="C22" s="285">
        <f>+'ÖK elői.felhaszn. terve'!D23+'Könyvtár elői.felhaszn.terve'!D24+'Városellátó elői.felhaszn.terve'!D24+'ESZESZ elői.felhaszn.terve'!D24+'PH elői.felhaszn.terve'!D26</f>
        <v>2239</v>
      </c>
      <c r="D22" s="285">
        <f>+'ÖK elői.felhaszn. terve'!E23+'Könyvtár elői.felhaszn.terve'!E24+'Városellátó elői.felhaszn.terve'!E24+'ESZESZ elői.felhaszn.terve'!E24+'PH elői.felhaszn.terve'!E26</f>
        <v>2239</v>
      </c>
      <c r="E22" s="285">
        <f>+'ÖK elői.felhaszn. terve'!F23+'Könyvtár elői.felhaszn.terve'!F24+'Városellátó elői.felhaszn.terve'!F24+'ESZESZ elői.felhaszn.terve'!F24+'PH elői.felhaszn.terve'!F26</f>
        <v>2239</v>
      </c>
      <c r="F22" s="285">
        <f>+'ÖK elői.felhaszn. terve'!G23+'Könyvtár elői.felhaszn.terve'!G24+'Városellátó elői.felhaszn.terve'!G24+'ESZESZ elői.felhaszn.terve'!G24+'PH elői.felhaszn.terve'!G26</f>
        <v>37428</v>
      </c>
      <c r="G22" s="285">
        <f>+'ÖK elői.felhaszn. terve'!H23+'Könyvtár elői.felhaszn.terve'!H24+'Városellátó elői.felhaszn.terve'!H24+'ESZESZ elői.felhaszn.terve'!H24+'PH elői.felhaszn.terve'!H26</f>
        <v>2239</v>
      </c>
      <c r="H22" s="285">
        <f>+'ÖK elői.felhaszn. terve'!I23+'Könyvtár elői.felhaszn.terve'!I24+'Városellátó elői.felhaszn.terve'!I24+'ESZESZ elői.felhaszn.terve'!I24+'PH elői.felhaszn.terve'!I26</f>
        <v>2693</v>
      </c>
      <c r="I22" s="285">
        <f>+'ÖK elői.felhaszn. terve'!J23+'Könyvtár elői.felhaszn.terve'!J24+'Városellátó elői.felhaszn.terve'!J24+'ESZESZ elői.felhaszn.terve'!J24+'PH elői.felhaszn.terve'!J26</f>
        <v>1022</v>
      </c>
      <c r="J22" s="285">
        <f>+'ÖK elői.felhaszn. terve'!K23+'Könyvtár elői.felhaszn.terve'!K24+'Városellátó elői.felhaszn.terve'!K24+'ESZESZ elői.felhaszn.terve'!K24+'PH elői.felhaszn.terve'!K26</f>
        <v>2239</v>
      </c>
      <c r="K22" s="285">
        <f>+'ÖK elői.felhaszn. terve'!L23+'Könyvtár elői.felhaszn.terve'!L24+'Városellátó elői.felhaszn.terve'!L24+'ESZESZ elői.felhaszn.terve'!L24+'PH elői.felhaszn.terve'!L26</f>
        <v>2239</v>
      </c>
      <c r="L22" s="285">
        <f>+'ÖK elői.felhaszn. terve'!M23+'Könyvtár elői.felhaszn.terve'!M24+'Városellátó elői.felhaszn.terve'!M24+'ESZESZ elői.felhaszn.terve'!M24+'PH elői.felhaszn.terve'!M26</f>
        <v>2239</v>
      </c>
      <c r="M22" s="285">
        <f>+'ÖK elői.felhaszn. terve'!N23+'Könyvtár elői.felhaszn.terve'!N24+'Városellátó elői.felhaszn.terve'!N24+'ESZESZ elői.felhaszn.terve'!N24+'PH elői.felhaszn.terve'!N26</f>
        <v>3449</v>
      </c>
      <c r="N22" s="285">
        <f>+'ÖK elői.felhaszn. terve'!O23+'Könyvtár elői.felhaszn.terve'!O24+'Városellátó elői.felhaszn.terve'!O24+'ESZESZ elői.felhaszn.terve'!O24+'PH elői.felhaszn.terve'!O26</f>
        <v>1820</v>
      </c>
      <c r="O22" s="668">
        <f t="shared" si="1"/>
        <v>62085</v>
      </c>
      <c r="P22" s="116">
        <f>+'Kiad.intézményenként'!H36</f>
        <v>62085</v>
      </c>
      <c r="Q22" s="116">
        <f t="shared" si="0"/>
        <v>0</v>
      </c>
    </row>
    <row r="23" spans="1:17" ht="21" customHeight="1">
      <c r="A23" s="257" t="s">
        <v>40</v>
      </c>
      <c r="B23" s="263" t="s">
        <v>327</v>
      </c>
      <c r="C23" s="285">
        <f>+'ÖK elői.felhaszn. terve'!D24+'Könyvtár elői.felhaszn.terve'!D25+'Városellátó elői.felhaszn.terve'!D25+'ESZESZ elői.felhaszn.terve'!D25+'PH elői.felhaszn.terve'!D27</f>
        <v>9861</v>
      </c>
      <c r="D23" s="285">
        <f>+'ÖK elői.felhaszn. terve'!E24+'Könyvtár elői.felhaszn.terve'!E25+'Városellátó elői.felhaszn.terve'!E25+'ESZESZ elői.felhaszn.terve'!E25+'PH elői.felhaszn.terve'!E27</f>
        <v>9861</v>
      </c>
      <c r="E23" s="285">
        <f>+'ÖK elői.felhaszn. terve'!F24+'Könyvtár elői.felhaszn.terve'!F25+'Városellátó elői.felhaszn.terve'!F25+'ESZESZ elői.felhaszn.terve'!F25+'PH elői.felhaszn.terve'!F27</f>
        <v>9861</v>
      </c>
      <c r="F23" s="285">
        <f>+'ÖK elői.felhaszn. terve'!G24+'Könyvtár elői.felhaszn.terve'!G25+'Városellátó elői.felhaszn.terve'!G25+'ESZESZ elői.felhaszn.terve'!G25+'PH elői.felhaszn.terve'!G27</f>
        <v>9861</v>
      </c>
      <c r="G23" s="285">
        <f>+'ÖK elői.felhaszn. terve'!H24+'Könyvtár elői.felhaszn.terve'!H25+'Városellátó elői.felhaszn.terve'!H25+'ESZESZ elői.felhaszn.terve'!H25+'PH elői.felhaszn.terve'!H27</f>
        <v>9861</v>
      </c>
      <c r="H23" s="285">
        <f>+'ÖK elői.felhaszn. terve'!I24+'Könyvtár elői.felhaszn.terve'!I25+'Városellátó elői.felhaszn.terve'!I25+'ESZESZ elői.felhaszn.terve'!I25+'PH elői.felhaszn.terve'!I27</f>
        <v>10131</v>
      </c>
      <c r="I23" s="285">
        <f>+'ÖK elői.felhaszn. terve'!J24+'Könyvtár elői.felhaszn.terve'!J25+'Városellátó elői.felhaszn.terve'!J25+'ESZESZ elői.felhaszn.terve'!J25+'PH elői.felhaszn.terve'!J27</f>
        <v>9861</v>
      </c>
      <c r="J23" s="285">
        <f>+'ÖK elői.felhaszn. terve'!K24+'Könyvtár elői.felhaszn.terve'!K25+'Városellátó elői.felhaszn.terve'!K25+'ESZESZ elői.felhaszn.terve'!K25+'PH elői.felhaszn.terve'!K27</f>
        <v>19907</v>
      </c>
      <c r="K23" s="285">
        <f>+'ÖK elői.felhaszn. terve'!L24+'Könyvtár elői.felhaszn.terve'!L25+'Városellátó elői.felhaszn.terve'!L25+'ESZESZ elői.felhaszn.terve'!L25+'PH elői.felhaszn.terve'!L27</f>
        <v>9861</v>
      </c>
      <c r="L23" s="285">
        <f>+'ÖK elői.felhaszn. terve'!M24+'Könyvtár elői.felhaszn.terve'!M25+'Városellátó elői.felhaszn.terve'!M25+'ESZESZ elői.felhaszn.terve'!M25+'PH elői.felhaszn.terve'!M27</f>
        <v>9861</v>
      </c>
      <c r="M23" s="285">
        <f>+'ÖK elői.felhaszn. terve'!N24+'Könyvtár elői.felhaszn.terve'!N25+'Városellátó elői.felhaszn.terve'!N25+'ESZESZ elői.felhaszn.terve'!N25+'PH elői.felhaszn.terve'!N27</f>
        <v>9861</v>
      </c>
      <c r="N23" s="285">
        <f>+'ÖK elői.felhaszn. terve'!O24+'Könyvtár elői.felhaszn.terve'!O25+'Városellátó elői.felhaszn.terve'!O25+'ESZESZ elői.felhaszn.terve'!O25+'PH elői.felhaszn.terve'!O27</f>
        <v>9868</v>
      </c>
      <c r="O23" s="668">
        <f t="shared" si="1"/>
        <v>128655</v>
      </c>
      <c r="P23" s="116">
        <f>+'Kiad.intézményenként'!I36</f>
        <v>128655</v>
      </c>
      <c r="Q23" s="116">
        <f t="shared" si="0"/>
        <v>0</v>
      </c>
    </row>
    <row r="24" spans="1:17" ht="13.5" customHeight="1">
      <c r="A24" s="257" t="s">
        <v>42</v>
      </c>
      <c r="B24" s="258" t="s">
        <v>448</v>
      </c>
      <c r="C24" s="285">
        <f>+'ÖK elői.felhaszn. terve'!D25+'Könyvtár elői.felhaszn.terve'!D26+'Városellátó elői.felhaszn.terve'!D26+'ESZESZ elői.felhaszn.terve'!D26+'PH elői.felhaszn.terve'!D28</f>
        <v>0</v>
      </c>
      <c r="D24" s="285">
        <f>+'ÖK elői.felhaszn. terve'!E25+'Könyvtár elői.felhaszn.terve'!E26+'Városellátó elői.felhaszn.terve'!E26+'ESZESZ elői.felhaszn.terve'!E26+'PH elői.felhaszn.terve'!E28</f>
        <v>1000</v>
      </c>
      <c r="E24" s="285">
        <f>+'ÖK elői.felhaszn. terve'!F25+'Könyvtár elői.felhaszn.terve'!F26+'Városellátó elői.felhaszn.terve'!F26+'ESZESZ elői.felhaszn.terve'!F26+'PH elői.felhaszn.terve'!F28</f>
        <v>2000</v>
      </c>
      <c r="F24" s="285">
        <f>+'ÖK elői.felhaszn. terve'!G25+'Könyvtár elői.felhaszn.terve'!G26+'Városellátó elői.felhaszn.terve'!G26+'ESZESZ elői.felhaszn.terve'!G26+'PH elői.felhaszn.terve'!G28</f>
        <v>0</v>
      </c>
      <c r="G24" s="285">
        <f>+'ÖK elői.felhaszn. terve'!H25+'Könyvtár elői.felhaszn.terve'!H26+'Városellátó elői.felhaszn.terve'!H26+'ESZESZ elői.felhaszn.terve'!H26+'PH elői.felhaszn.terve'!H28</f>
        <v>0</v>
      </c>
      <c r="H24" s="285">
        <f>+'ÖK elői.felhaszn. terve'!I25+'Könyvtár elői.felhaszn.terve'!I26+'Városellátó elői.felhaszn.terve'!I26+'ESZESZ elői.felhaszn.terve'!I26+'PH elői.felhaszn.terve'!I28</f>
        <v>1000</v>
      </c>
      <c r="I24" s="285">
        <f>+'ÖK elői.felhaszn. terve'!J25+'Könyvtár elői.felhaszn.terve'!J26+'Városellátó elői.felhaszn.terve'!J26+'ESZESZ elői.felhaszn.terve'!J26+'PH elői.felhaszn.terve'!J28</f>
        <v>0</v>
      </c>
      <c r="J24" s="285">
        <f>+'ÖK elői.felhaszn. terve'!K25+'Könyvtár elői.felhaszn.terve'!K26+'Városellátó elői.felhaszn.terve'!K26+'ESZESZ elői.felhaszn.terve'!K26+'PH elői.felhaszn.terve'!K28</f>
        <v>0</v>
      </c>
      <c r="K24" s="285">
        <f>+'ÖK elői.felhaszn. terve'!L25+'Könyvtár elői.felhaszn.terve'!L26+'Városellátó elői.felhaszn.terve'!L26+'ESZESZ elői.felhaszn.terve'!L26+'PH elői.felhaszn.terve'!L28</f>
        <v>0</v>
      </c>
      <c r="L24" s="285">
        <f>+'ÖK elői.felhaszn. terve'!M25+'Könyvtár elői.felhaszn.terve'!M26+'Városellátó elői.felhaszn.terve'!M26+'ESZESZ elői.felhaszn.terve'!M26+'PH elői.felhaszn.terve'!M28</f>
        <v>0</v>
      </c>
      <c r="M24" s="285">
        <f>+'ÖK elői.felhaszn. terve'!N25+'Könyvtár elői.felhaszn.terve'!N26+'Városellátó elői.felhaszn.terve'!N26+'ESZESZ elői.felhaszn.terve'!N26+'PH elői.felhaszn.terve'!N28</f>
        <v>0</v>
      </c>
      <c r="N24" s="285">
        <f>+'ÖK elői.felhaszn. terve'!O25+'Könyvtár elői.felhaszn.terve'!O26+'Városellátó elői.felhaszn.terve'!O26+'ESZESZ elői.felhaszn.terve'!O26+'PH elői.felhaszn.terve'!O28</f>
        <v>0</v>
      </c>
      <c r="O24" s="668">
        <f t="shared" si="1"/>
        <v>4000</v>
      </c>
      <c r="P24" s="116">
        <f>+'Kiad.intézményenként'!K36</f>
        <v>4000</v>
      </c>
      <c r="Q24" s="116">
        <f t="shared" si="0"/>
        <v>0</v>
      </c>
    </row>
    <row r="25" spans="1:17" ht="13.5" customHeight="1">
      <c r="A25" s="257" t="s">
        <v>43</v>
      </c>
      <c r="B25" s="258" t="str">
        <f>+'ÖK elői.felhaszn. terve'!C26</f>
        <v>Finanszírozási műveletek</v>
      </c>
      <c r="C25" s="285">
        <f>+'ÖK elői.felhaszn. terve'!D26+'Könyvtár elői.felhaszn.terve'!D27+'Városellátó elői.felhaszn.terve'!D27+'ESZESZ elői.felhaszn.terve'!D27+'PH elői.felhaszn.terve'!D29</f>
        <v>0</v>
      </c>
      <c r="D25" s="283"/>
      <c r="E25" s="283"/>
      <c r="F25" s="283"/>
      <c r="G25" s="283"/>
      <c r="H25" s="283">
        <f>+'ÖK elői.felhaszn. terve'!I26</f>
        <v>232405</v>
      </c>
      <c r="I25" s="283"/>
      <c r="J25" s="283"/>
      <c r="K25" s="283"/>
      <c r="L25" s="283"/>
      <c r="M25" s="283"/>
      <c r="N25" s="283"/>
      <c r="O25" s="284">
        <f t="shared" si="1"/>
        <v>232405</v>
      </c>
      <c r="Q25" s="116">
        <f t="shared" si="0"/>
        <v>-232405</v>
      </c>
    </row>
    <row r="26" spans="1:17" ht="13.5" customHeight="1">
      <c r="A26" s="257" t="s">
        <v>44</v>
      </c>
      <c r="B26" s="258" t="s">
        <v>330</v>
      </c>
      <c r="C26" s="285">
        <f>+'ÖK elői.felhaszn. terve'!D27+'Könyvtár elői.felhaszn.terve'!D28+'Városellátó elői.felhaszn.terve'!D28+'ESZESZ elői.felhaszn.terve'!D28+'PH elői.felhaszn.terve'!D30</f>
        <v>0</v>
      </c>
      <c r="D26" s="285">
        <f>+'ÖK elői.felhaszn. terve'!E27+'Könyvtár elői.felhaszn.terve'!E28+'Városellátó elői.felhaszn.terve'!E28+'ESZESZ elői.felhaszn.terve'!E28+'PH elői.felhaszn.terve'!E30</f>
        <v>0</v>
      </c>
      <c r="E26" s="285">
        <f>+'ÖK elői.felhaszn. terve'!F27+'Könyvtár elői.felhaszn.terve'!F28+'Városellátó elői.felhaszn.terve'!F28+'ESZESZ elői.felhaszn.terve'!F28+'PH elői.felhaszn.terve'!F30</f>
        <v>0</v>
      </c>
      <c r="F26" s="285">
        <f>+'ÖK elői.felhaszn. terve'!G27+'Könyvtár elői.felhaszn.terve'!G28+'Városellátó elői.felhaszn.terve'!G28+'ESZESZ elői.felhaszn.terve'!G28+'PH elői.felhaszn.terve'!G30</f>
        <v>7194</v>
      </c>
      <c r="G26" s="285">
        <f>+'ÖK elői.felhaszn. terve'!H27+'Könyvtár elői.felhaszn.terve'!H28+'Városellátó elői.felhaszn.terve'!H28+'ESZESZ elői.felhaszn.terve'!H28+'PH elői.felhaszn.terve'!H30</f>
        <v>1650</v>
      </c>
      <c r="H26" s="285">
        <f>+'ÖK elői.felhaszn. terve'!I27+'Könyvtár elői.felhaszn.terve'!I28+'Városellátó elői.felhaszn.terve'!I28+'ESZESZ elői.felhaszn.terve'!I28+'PH elői.felhaszn.terve'!I30</f>
        <v>8620</v>
      </c>
      <c r="I26" s="285">
        <f>+'ÖK elői.felhaszn. terve'!J27+'Könyvtár elői.felhaszn.terve'!J28+'Városellátó elői.felhaszn.terve'!J28+'ESZESZ elői.felhaszn.terve'!J28+'PH elői.felhaszn.terve'!J30</f>
        <v>0</v>
      </c>
      <c r="J26" s="285">
        <f>+'ÖK elői.felhaszn. terve'!K27+'Könyvtár elői.felhaszn.terve'!K28+'Városellátó elői.felhaszn.terve'!K28+'ESZESZ elői.felhaszn.terve'!K28+'PH elői.felhaszn.terve'!K30</f>
        <v>2000</v>
      </c>
      <c r="K26" s="285">
        <f>+'ÖK elői.felhaszn. terve'!L27+'Könyvtár elői.felhaszn.terve'!L28+'Városellátó elői.felhaszn.terve'!L28+'ESZESZ elői.felhaszn.terve'!L28+'PH elői.felhaszn.terve'!L30</f>
        <v>800</v>
      </c>
      <c r="L26" s="285">
        <f>+'ÖK elői.felhaszn. terve'!M27+'Könyvtár elői.felhaszn.terve'!M28+'Városellátó elői.felhaszn.terve'!M28+'ESZESZ elői.felhaszn.terve'!M28+'PH elői.felhaszn.terve'!M30</f>
        <v>13483</v>
      </c>
      <c r="M26" s="285">
        <f>+'ÖK elői.felhaszn. terve'!N27+'Könyvtár elői.felhaszn.terve'!N28+'Városellátó elői.felhaszn.terve'!N28+'ESZESZ elői.felhaszn.terve'!N28+'PH elői.felhaszn.terve'!N30</f>
        <v>28707</v>
      </c>
      <c r="N26" s="285">
        <f>+'ÖK elői.felhaszn. terve'!O27+'Könyvtár elői.felhaszn.terve'!O28+'Városellátó elői.felhaszn.terve'!O28+'ESZESZ elői.felhaszn.terve'!O28+'PH elői.felhaszn.terve'!O30</f>
        <v>36200</v>
      </c>
      <c r="O26" s="668">
        <f t="shared" si="1"/>
        <v>98654</v>
      </c>
      <c r="P26" s="116">
        <f>+'Kiad.intézményenként'!L36</f>
        <v>98654</v>
      </c>
      <c r="Q26" s="116">
        <f t="shared" si="0"/>
        <v>0</v>
      </c>
    </row>
    <row r="27" spans="1:47" s="519" customFormat="1" ht="13.5" customHeight="1" thickBot="1">
      <c r="A27" s="257" t="s">
        <v>45</v>
      </c>
      <c r="B27" s="258" t="s">
        <v>331</v>
      </c>
      <c r="C27" s="285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4">
        <f t="shared" si="1"/>
        <v>0</v>
      </c>
      <c r="P27" s="116"/>
      <c r="Q27" s="116">
        <f t="shared" si="0"/>
        <v>0</v>
      </c>
      <c r="R27" s="116"/>
      <c r="S27" s="520"/>
      <c r="T27" s="520"/>
      <c r="U27" s="520"/>
      <c r="V27" s="520"/>
      <c r="W27" s="520"/>
      <c r="X27" s="520"/>
      <c r="Y27" s="520"/>
      <c r="Z27" s="520"/>
      <c r="AA27" s="520"/>
      <c r="AB27" s="520"/>
      <c r="AC27" s="520"/>
      <c r="AD27" s="520"/>
      <c r="AE27" s="520"/>
      <c r="AF27" s="520"/>
      <c r="AG27" s="520"/>
      <c r="AH27" s="520"/>
      <c r="AI27" s="520"/>
      <c r="AJ27" s="520"/>
      <c r="AK27" s="520"/>
      <c r="AL27" s="520"/>
      <c r="AM27" s="520"/>
      <c r="AN27" s="520"/>
      <c r="AO27" s="520"/>
      <c r="AP27" s="520"/>
      <c r="AQ27" s="520"/>
      <c r="AR27" s="520"/>
      <c r="AS27" s="520"/>
      <c r="AT27" s="520"/>
      <c r="AU27" s="520"/>
    </row>
    <row r="28" spans="1:47" s="519" customFormat="1" ht="13.5" customHeight="1" thickBot="1">
      <c r="A28" s="271" t="s">
        <v>46</v>
      </c>
      <c r="B28" s="265" t="s">
        <v>332</v>
      </c>
      <c r="C28" s="287">
        <f>SUM(C17:C27)</f>
        <v>95569</v>
      </c>
      <c r="D28" s="287">
        <f aca="true" t="shared" si="3" ref="D28:N28">SUM(D17:D27)</f>
        <v>108034</v>
      </c>
      <c r="E28" s="287">
        <f t="shared" si="3"/>
        <v>105958</v>
      </c>
      <c r="F28" s="287">
        <f t="shared" si="3"/>
        <v>149911</v>
      </c>
      <c r="G28" s="287">
        <f t="shared" si="3"/>
        <v>66763</v>
      </c>
      <c r="H28" s="287">
        <f t="shared" si="3"/>
        <v>324604</v>
      </c>
      <c r="I28" s="287">
        <f t="shared" si="3"/>
        <v>73528</v>
      </c>
      <c r="J28" s="287">
        <f t="shared" si="3"/>
        <v>88903</v>
      </c>
      <c r="K28" s="287">
        <f t="shared" si="3"/>
        <v>68219</v>
      </c>
      <c r="L28" s="287">
        <f t="shared" si="3"/>
        <v>81261</v>
      </c>
      <c r="M28" s="287">
        <f t="shared" si="3"/>
        <v>104183</v>
      </c>
      <c r="N28" s="287">
        <f t="shared" si="3"/>
        <v>105693</v>
      </c>
      <c r="O28" s="288">
        <f>SUM(C28:N28)</f>
        <v>1372626</v>
      </c>
      <c r="P28" s="520">
        <f>+'Kiad.intézményenként'!M36</f>
        <v>1140221</v>
      </c>
      <c r="Q28" s="116">
        <f t="shared" si="0"/>
        <v>-232405</v>
      </c>
      <c r="R28" s="116">
        <f>SUM(O17:O26)</f>
        <v>1372626</v>
      </c>
      <c r="S28" s="520"/>
      <c r="T28" s="520"/>
      <c r="U28" s="520"/>
      <c r="V28" s="520"/>
      <c r="W28" s="520"/>
      <c r="X28" s="520"/>
      <c r="Y28" s="520"/>
      <c r="Z28" s="520"/>
      <c r="AA28" s="520"/>
      <c r="AB28" s="520"/>
      <c r="AC28" s="520"/>
      <c r="AD28" s="520"/>
      <c r="AE28" s="520"/>
      <c r="AF28" s="520"/>
      <c r="AG28" s="520"/>
      <c r="AH28" s="520"/>
      <c r="AI28" s="520"/>
      <c r="AJ28" s="520"/>
      <c r="AK28" s="520"/>
      <c r="AL28" s="520"/>
      <c r="AM28" s="520"/>
      <c r="AN28" s="520"/>
      <c r="AO28" s="520"/>
      <c r="AP28" s="520"/>
      <c r="AQ28" s="520"/>
      <c r="AR28" s="520"/>
      <c r="AS28" s="520"/>
      <c r="AT28" s="520"/>
      <c r="AU28" s="520"/>
    </row>
    <row r="29" spans="1:47" s="44" customFormat="1" ht="28.5" customHeight="1" thickBot="1">
      <c r="A29" s="271" t="s">
        <v>47</v>
      </c>
      <c r="B29" s="273" t="s">
        <v>337</v>
      </c>
      <c r="C29" s="289">
        <f>+C6+C15-C28</f>
        <v>50096</v>
      </c>
      <c r="D29" s="289">
        <f>+C29+D15-D28</f>
        <v>23800</v>
      </c>
      <c r="E29" s="289">
        <f aca="true" t="shared" si="4" ref="E29:N29">+D29+E15-E28</f>
        <v>118040</v>
      </c>
      <c r="F29" s="289">
        <f t="shared" si="4"/>
        <v>44322</v>
      </c>
      <c r="G29" s="289">
        <f t="shared" si="4"/>
        <v>52652</v>
      </c>
      <c r="H29" s="289">
        <f t="shared" si="4"/>
        <v>65173</v>
      </c>
      <c r="I29" s="289">
        <f t="shared" si="4"/>
        <v>65738</v>
      </c>
      <c r="J29" s="289">
        <f t="shared" si="4"/>
        <v>50928</v>
      </c>
      <c r="K29" s="289">
        <f t="shared" si="4"/>
        <v>79148</v>
      </c>
      <c r="L29" s="289">
        <f t="shared" si="4"/>
        <v>71980</v>
      </c>
      <c r="M29" s="289">
        <f t="shared" si="4"/>
        <v>105374</v>
      </c>
      <c r="N29" s="289">
        <f t="shared" si="4"/>
        <v>77957</v>
      </c>
      <c r="O29" s="290" t="s">
        <v>335</v>
      </c>
      <c r="P29" s="6"/>
      <c r="Q29" s="116" t="e">
        <f t="shared" si="0"/>
        <v>#VALUE!</v>
      </c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</row>
    <row r="30" spans="1:15" ht="13.5" customHeight="1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520"/>
    </row>
    <row r="31" spans="1:15" ht="13.5" customHeight="1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520"/>
    </row>
    <row r="32" spans="1:15" ht="13.5" customHeight="1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520"/>
    </row>
    <row r="33" spans="1:15" ht="13.5" customHeight="1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520"/>
    </row>
    <row r="34" spans="1:15" ht="13.5" customHeight="1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520"/>
    </row>
    <row r="35" spans="1:15" ht="13.5" customHeight="1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520"/>
    </row>
    <row r="36" spans="1:15" ht="13.5" customHeight="1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520"/>
    </row>
    <row r="37" spans="1:15" ht="13.5" customHeight="1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520"/>
    </row>
    <row r="38" spans="1:15" ht="13.5" customHeight="1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520"/>
    </row>
    <row r="39" spans="1:15" ht="13.5" customHeight="1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520"/>
    </row>
    <row r="40" spans="1:15" ht="13.5" customHeight="1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520"/>
    </row>
    <row r="41" spans="1:15" ht="13.5" customHeight="1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520"/>
    </row>
    <row r="42" spans="1:15" ht="13.5" customHeight="1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520"/>
    </row>
    <row r="43" spans="1:15" ht="13.5" customHeight="1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520"/>
    </row>
    <row r="44" spans="1:15" ht="13.5" customHeight="1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520"/>
    </row>
    <row r="45" spans="1:15" ht="13.5" customHeight="1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520"/>
    </row>
    <row r="46" spans="1:15" ht="13.5" customHeight="1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520"/>
    </row>
    <row r="47" spans="1:15" ht="13.5" customHeight="1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520"/>
    </row>
    <row r="48" spans="1:15" ht="13.5" customHeight="1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520"/>
    </row>
    <row r="49" spans="1:15" ht="13.5" customHeight="1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520"/>
    </row>
    <row r="50" spans="1:15" ht="13.5" customHeight="1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520"/>
    </row>
    <row r="51" spans="1:15" ht="13.5" customHeight="1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520"/>
    </row>
    <row r="52" spans="1:15" ht="13.5" customHeight="1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520"/>
    </row>
    <row r="53" spans="1:15" ht="13.5" customHeight="1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520"/>
    </row>
    <row r="54" spans="1:15" ht="13.5" customHeight="1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520"/>
    </row>
    <row r="55" spans="1:15" ht="13.5" customHeight="1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520"/>
    </row>
    <row r="56" spans="1:15" ht="13.5" customHeight="1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520"/>
    </row>
    <row r="57" spans="1:15" ht="13.5" customHeight="1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520"/>
    </row>
    <row r="58" spans="1:15" ht="13.5" customHeight="1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520"/>
    </row>
    <row r="59" spans="1:15" ht="13.5" customHeight="1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520"/>
    </row>
    <row r="60" spans="1:15" ht="13.5" customHeight="1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520"/>
    </row>
    <row r="61" spans="1:15" ht="13.5" customHeight="1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520"/>
    </row>
    <row r="62" spans="1:15" ht="13.5" customHeight="1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520"/>
    </row>
    <row r="63" spans="1:15" ht="13.5" customHeight="1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520"/>
    </row>
    <row r="64" spans="1:15" ht="13.5" customHeight="1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520"/>
    </row>
    <row r="65" spans="1:15" ht="13.5" customHeight="1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520"/>
    </row>
    <row r="66" spans="1:15" ht="13.5" customHeight="1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520"/>
    </row>
    <row r="67" spans="1:15" ht="13.5" customHeight="1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520"/>
    </row>
    <row r="68" spans="1:15" ht="13.5" customHeight="1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520"/>
    </row>
    <row r="69" spans="1:15" ht="13.5" customHeight="1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520"/>
    </row>
    <row r="70" spans="1:15" ht="13.5" customHeight="1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520"/>
    </row>
    <row r="71" spans="1:15" ht="13.5" customHeight="1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520"/>
    </row>
    <row r="72" spans="1:15" ht="13.5" customHeight="1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520"/>
    </row>
    <row r="73" spans="1:15" ht="13.5" customHeight="1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520"/>
    </row>
    <row r="74" spans="1:15" ht="13.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520"/>
    </row>
    <row r="75" spans="1:15" ht="13.5" customHeight="1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520"/>
    </row>
    <row r="76" spans="1:15" ht="13.5" customHeight="1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520"/>
    </row>
    <row r="77" spans="1:15" ht="13.5" customHeight="1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520"/>
    </row>
    <row r="78" spans="1:15" ht="13.5" customHeight="1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520"/>
    </row>
    <row r="79" spans="1:15" ht="13.5" customHeight="1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520"/>
    </row>
    <row r="80" spans="1:15" ht="13.5" customHeight="1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520"/>
    </row>
    <row r="81" spans="1:15" ht="13.5" customHeight="1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520"/>
    </row>
    <row r="82" spans="1:15" ht="13.5" customHeight="1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520"/>
    </row>
    <row r="83" spans="1:15" ht="13.5" customHeight="1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520"/>
    </row>
    <row r="84" spans="1:15" ht="13.5" customHeight="1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520"/>
    </row>
    <row r="85" spans="1:15" ht="13.5" customHeight="1">
      <c r="A85" s="11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520"/>
    </row>
    <row r="86" spans="1:15" ht="13.5" customHeight="1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520"/>
    </row>
    <row r="87" spans="1:15" ht="13.5" customHeight="1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520"/>
    </row>
    <row r="88" spans="1:15" ht="13.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520"/>
    </row>
    <row r="89" spans="1:15" ht="13.5" customHeight="1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520"/>
    </row>
    <row r="90" spans="1:15" ht="13.5" customHeight="1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520"/>
    </row>
    <row r="91" spans="1:15" ht="13.5" customHeight="1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520"/>
    </row>
    <row r="92" spans="1:15" ht="13.5" customHeight="1">
      <c r="A92" s="116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520"/>
    </row>
    <row r="93" spans="1:15" ht="13.5" customHeight="1">
      <c r="A93" s="116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520"/>
    </row>
    <row r="94" spans="1:15" ht="13.5" customHeight="1">
      <c r="A94" s="116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520"/>
    </row>
    <row r="95" spans="1:15" ht="13.5" customHeight="1">
      <c r="A95" s="116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520"/>
    </row>
    <row r="96" spans="1:15" ht="13.5" customHeight="1">
      <c r="A96" s="116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520"/>
    </row>
    <row r="97" spans="1:15" ht="13.5" customHeight="1">
      <c r="A97" s="116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520"/>
    </row>
    <row r="98" spans="1:15" ht="13.5" customHeight="1">
      <c r="A98" s="116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520"/>
    </row>
    <row r="99" spans="1:15" ht="13.5" customHeight="1">
      <c r="A99" s="116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520"/>
    </row>
    <row r="100" spans="1:15" ht="13.5" customHeight="1">
      <c r="A100" s="116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520"/>
    </row>
    <row r="101" spans="1:15" ht="13.5" customHeight="1">
      <c r="A101" s="116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520"/>
    </row>
    <row r="102" spans="1:15" ht="13.5" customHeight="1">
      <c r="A102" s="116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520"/>
    </row>
    <row r="103" spans="1:15" ht="13.5" customHeight="1">
      <c r="A103" s="116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520"/>
    </row>
    <row r="104" spans="1:15" ht="13.5" customHeight="1">
      <c r="A104" s="116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520"/>
    </row>
    <row r="105" spans="1:15" ht="13.5" customHeight="1">
      <c r="A105" s="116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520"/>
    </row>
    <row r="106" spans="1:15" ht="13.5" customHeight="1">
      <c r="A106" s="116"/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520"/>
    </row>
    <row r="107" spans="1:15" ht="13.5" customHeight="1">
      <c r="A107" s="116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520"/>
    </row>
    <row r="108" spans="1:15" ht="13.5" customHeight="1">
      <c r="A108" s="116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520"/>
    </row>
    <row r="109" spans="1:15" ht="13.5" customHeight="1">
      <c r="A109" s="116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520"/>
    </row>
    <row r="110" spans="1:15" ht="13.5" customHeight="1">
      <c r="A110" s="116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520"/>
    </row>
    <row r="111" spans="1:15" ht="13.5" customHeight="1">
      <c r="A111" s="116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520"/>
    </row>
    <row r="112" spans="1:15" ht="13.5" customHeight="1">
      <c r="A112" s="116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520"/>
    </row>
    <row r="113" spans="1:15" ht="13.5" customHeight="1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520"/>
    </row>
    <row r="114" spans="1:15" ht="13.5" customHeight="1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520"/>
    </row>
    <row r="115" spans="1:15" ht="13.5" customHeight="1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520"/>
    </row>
    <row r="116" spans="1:15" ht="13.5" customHeight="1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520"/>
    </row>
    <row r="117" spans="1:15" ht="13.5" customHeight="1">
      <c r="A117" s="116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520"/>
    </row>
    <row r="118" spans="1:15" ht="13.5" customHeight="1">
      <c r="A118" s="116"/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520"/>
    </row>
    <row r="119" spans="1:15" ht="13.5" customHeight="1">
      <c r="A119" s="116"/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520"/>
    </row>
    <row r="120" spans="1:15" ht="13.5" customHeight="1">
      <c r="A120" s="116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520"/>
    </row>
    <row r="121" spans="1:15" ht="13.5" customHeight="1">
      <c r="A121" s="116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520"/>
    </row>
    <row r="122" spans="1:15" ht="13.5" customHeight="1">
      <c r="A122" s="116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520"/>
    </row>
    <row r="123" spans="1:15" ht="13.5" customHeight="1">
      <c r="A123" s="116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520"/>
    </row>
    <row r="124" spans="1:15" ht="13.5" customHeight="1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520"/>
    </row>
    <row r="125" spans="1:15" ht="13.5" customHeight="1">
      <c r="A125" s="116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520"/>
    </row>
    <row r="126" spans="1:15" ht="13.5" customHeight="1">
      <c r="A126" s="116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520"/>
    </row>
    <row r="127" spans="1:15" ht="13.5" customHeight="1">
      <c r="A127" s="116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520"/>
    </row>
    <row r="128" spans="1:15" ht="13.5" customHeight="1">
      <c r="A128" s="116"/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520"/>
    </row>
    <row r="129" spans="1:15" ht="13.5" customHeight="1">
      <c r="A129" s="116"/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520"/>
    </row>
    <row r="130" spans="1:15" ht="13.5" customHeight="1">
      <c r="A130" s="116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520"/>
    </row>
    <row r="131" spans="1:15" ht="13.5" customHeight="1">
      <c r="A131" s="116"/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520"/>
    </row>
    <row r="132" spans="1:15" ht="13.5" customHeight="1">
      <c r="A132" s="116"/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520"/>
    </row>
    <row r="133" spans="1:15" ht="13.5" customHeight="1">
      <c r="A133" s="116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520"/>
    </row>
    <row r="134" spans="1:15" ht="13.5" customHeight="1">
      <c r="A134" s="116"/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520"/>
    </row>
    <row r="135" spans="1:15" ht="13.5" customHeight="1">
      <c r="A135" s="116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520"/>
    </row>
    <row r="136" spans="1:15" ht="13.5" customHeight="1">
      <c r="A136" s="116"/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520"/>
    </row>
    <row r="137" spans="1:15" ht="13.5" customHeight="1">
      <c r="A137" s="116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520"/>
    </row>
    <row r="138" spans="1:15" ht="13.5" customHeight="1">
      <c r="A138" s="116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520"/>
    </row>
    <row r="139" spans="1:15" ht="13.5" customHeight="1">
      <c r="A139" s="116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520"/>
    </row>
    <row r="140" spans="1:15" ht="13.5" customHeight="1">
      <c r="A140" s="116"/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520"/>
    </row>
    <row r="141" spans="1:15" ht="13.5" customHeight="1">
      <c r="A141" s="116"/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520"/>
    </row>
    <row r="142" spans="1:15" ht="13.5" customHeight="1">
      <c r="A142" s="116"/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520"/>
    </row>
    <row r="143" spans="1:15" ht="13.5" customHeight="1">
      <c r="A143" s="116"/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520"/>
    </row>
    <row r="144" spans="1:15" ht="13.5" customHeight="1">
      <c r="A144" s="116"/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520"/>
    </row>
    <row r="145" spans="1:15" ht="13.5" customHeight="1">
      <c r="A145" s="116"/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520"/>
    </row>
    <row r="146" spans="1:15" ht="13.5" customHeight="1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520"/>
    </row>
    <row r="147" spans="1:15" ht="13.5" customHeight="1">
      <c r="A147" s="116"/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520"/>
    </row>
    <row r="148" spans="1:15" ht="13.5" customHeight="1">
      <c r="A148" s="116"/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520"/>
    </row>
    <row r="149" spans="1:15" ht="13.5" customHeight="1">
      <c r="A149" s="116"/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520"/>
    </row>
    <row r="150" spans="1:15" ht="13.5" customHeight="1">
      <c r="A150" s="116"/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520"/>
    </row>
    <row r="151" spans="1:15" ht="13.5" customHeight="1">
      <c r="A151" s="116"/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520"/>
    </row>
    <row r="152" spans="1:15" ht="13.5" customHeight="1">
      <c r="A152" s="116"/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520"/>
    </row>
    <row r="153" spans="1:15" ht="13.5" customHeight="1">
      <c r="A153" s="116"/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520"/>
    </row>
    <row r="154" spans="1:15" ht="13.5" customHeight="1">
      <c r="A154" s="116"/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520"/>
    </row>
    <row r="155" spans="1:15" ht="13.5" customHeight="1">
      <c r="A155" s="116"/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520"/>
    </row>
    <row r="156" spans="1:15" ht="13.5" customHeight="1">
      <c r="A156" s="116"/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520"/>
    </row>
    <row r="157" spans="1:15" ht="13.5" customHeight="1">
      <c r="A157" s="116"/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520"/>
    </row>
    <row r="158" spans="1:15" ht="13.5" customHeight="1">
      <c r="A158" s="116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520"/>
    </row>
    <row r="159" spans="1:15" ht="13.5" customHeight="1">
      <c r="A159" s="116"/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520"/>
    </row>
    <row r="160" spans="1:15" ht="13.5" customHeight="1">
      <c r="A160" s="116"/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520"/>
    </row>
    <row r="161" spans="1:15" ht="13.5" customHeight="1">
      <c r="A161" s="116"/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520"/>
    </row>
    <row r="162" spans="1:15" ht="13.5" customHeight="1">
      <c r="A162" s="116"/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520"/>
    </row>
    <row r="163" spans="1:15" ht="13.5" customHeight="1">
      <c r="A163" s="116"/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520"/>
    </row>
    <row r="164" spans="1:15" ht="13.5" customHeight="1">
      <c r="A164" s="116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520"/>
    </row>
    <row r="165" spans="1:15" ht="13.5" customHeight="1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520"/>
    </row>
    <row r="166" spans="1:15" ht="13.5" customHeight="1">
      <c r="A166" s="116"/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520"/>
    </row>
    <row r="167" spans="1:15" ht="13.5" customHeight="1">
      <c r="A167" s="116"/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520"/>
    </row>
    <row r="168" spans="1:15" ht="13.5" customHeight="1">
      <c r="A168" s="116"/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520"/>
    </row>
    <row r="169" spans="1:15" ht="13.5" customHeight="1">
      <c r="A169" s="116"/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520"/>
    </row>
    <row r="170" spans="1:15" ht="13.5" customHeight="1">
      <c r="A170" s="116"/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520"/>
    </row>
    <row r="171" spans="1:15" ht="13.5" customHeight="1">
      <c r="A171" s="116"/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520"/>
    </row>
    <row r="172" spans="1:15" ht="13.5" customHeight="1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520"/>
    </row>
    <row r="173" spans="1:15" ht="13.5" customHeight="1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520"/>
    </row>
    <row r="174" spans="1:15" ht="13.5" customHeight="1">
      <c r="A174" s="116"/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520"/>
    </row>
    <row r="175" spans="1:15" ht="13.5" customHeight="1">
      <c r="A175" s="116"/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520"/>
    </row>
    <row r="176" spans="1:15" ht="13.5" customHeight="1">
      <c r="A176" s="116"/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520"/>
    </row>
    <row r="177" spans="1:15" ht="13.5" customHeight="1">
      <c r="A177" s="116"/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520"/>
    </row>
    <row r="178" spans="1:15" ht="13.5" customHeight="1">
      <c r="A178" s="116"/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520"/>
    </row>
    <row r="179" spans="1:15" ht="13.5" customHeight="1">
      <c r="A179" s="116"/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520"/>
    </row>
    <row r="180" spans="1:15" ht="13.5" customHeight="1">
      <c r="A180" s="116"/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520"/>
    </row>
    <row r="181" spans="1:15" ht="13.5" customHeight="1">
      <c r="A181" s="116"/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520"/>
    </row>
    <row r="182" spans="1:15" ht="13.5" customHeight="1">
      <c r="A182" s="116"/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520"/>
    </row>
    <row r="183" spans="1:15" ht="13.5" customHeight="1">
      <c r="A183" s="116"/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520"/>
    </row>
    <row r="184" spans="1:15" ht="13.5" customHeight="1">
      <c r="A184" s="116"/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520"/>
    </row>
    <row r="185" spans="1:15" ht="13.5" customHeight="1">
      <c r="A185" s="116"/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520"/>
    </row>
    <row r="186" spans="1:15" ht="13.5" customHeight="1">
      <c r="A186" s="116"/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520"/>
    </row>
    <row r="187" spans="1:15" ht="13.5" customHeight="1">
      <c r="A187" s="116"/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520"/>
    </row>
    <row r="188" spans="1:15" ht="13.5" customHeight="1">
      <c r="A188" s="116"/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520"/>
    </row>
    <row r="189" spans="1:15" ht="13.5" customHeight="1">
      <c r="A189" s="116"/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520"/>
    </row>
    <row r="190" spans="1:15" ht="13.5" customHeight="1">
      <c r="A190" s="116"/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520"/>
    </row>
    <row r="191" spans="1:15" ht="13.5" customHeight="1">
      <c r="A191" s="116"/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520"/>
    </row>
    <row r="192" spans="1:15" ht="13.5" customHeight="1">
      <c r="A192" s="116"/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520"/>
    </row>
    <row r="193" spans="1:15" ht="13.5" customHeight="1">
      <c r="A193" s="116"/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520"/>
    </row>
    <row r="194" spans="1:15" ht="13.5" customHeight="1">
      <c r="A194" s="116"/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520"/>
    </row>
    <row r="195" spans="1:15" ht="13.5" customHeight="1">
      <c r="A195" s="116"/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520"/>
    </row>
    <row r="196" spans="1:15" ht="13.5" customHeight="1">
      <c r="A196" s="116"/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520"/>
    </row>
    <row r="197" spans="1:15" ht="13.5" customHeight="1">
      <c r="A197" s="116"/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520"/>
    </row>
    <row r="198" spans="1:15" ht="13.5" customHeight="1">
      <c r="A198" s="116"/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520"/>
    </row>
    <row r="199" spans="1:15" ht="13.5" customHeight="1">
      <c r="A199" s="116"/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520"/>
    </row>
    <row r="200" spans="1:15" ht="13.5" customHeight="1">
      <c r="A200" s="116"/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520"/>
    </row>
    <row r="201" spans="1:15" ht="13.5" customHeight="1">
      <c r="A201" s="116"/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520"/>
    </row>
    <row r="202" spans="1:15" ht="13.5" customHeight="1">
      <c r="A202" s="116"/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520"/>
    </row>
    <row r="203" spans="1:15" ht="13.5" customHeight="1">
      <c r="A203" s="116"/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520"/>
    </row>
    <row r="204" spans="1:15" ht="13.5" customHeight="1">
      <c r="A204" s="116"/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520"/>
    </row>
    <row r="205" spans="1:15" ht="13.5" customHeight="1">
      <c r="A205" s="116"/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520"/>
    </row>
    <row r="206" spans="1:15" ht="13.5" customHeight="1">
      <c r="A206" s="116"/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520"/>
    </row>
    <row r="207" spans="1:15" ht="13.5" customHeight="1">
      <c r="A207" s="116"/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520"/>
    </row>
    <row r="208" spans="1:15" ht="13.5" customHeight="1">
      <c r="A208" s="116"/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520"/>
    </row>
    <row r="209" spans="1:15" ht="13.5" customHeight="1">
      <c r="A209" s="116"/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520"/>
    </row>
    <row r="210" spans="1:15" ht="13.5" customHeight="1">
      <c r="A210" s="116"/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520"/>
    </row>
    <row r="211" spans="1:15" ht="13.5" customHeight="1">
      <c r="A211" s="116"/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520"/>
    </row>
    <row r="212" spans="1:15" ht="13.5" customHeight="1">
      <c r="A212" s="116"/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520"/>
    </row>
    <row r="213" spans="1:15" ht="13.5" customHeight="1">
      <c r="A213" s="116"/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520"/>
    </row>
    <row r="214" spans="1:15" ht="13.5" customHeight="1">
      <c r="A214" s="116"/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520"/>
    </row>
    <row r="215" spans="1:15" ht="13.5" customHeight="1">
      <c r="A215" s="116"/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520"/>
    </row>
    <row r="216" spans="1:15" ht="13.5" customHeight="1">
      <c r="A216" s="116"/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520"/>
    </row>
    <row r="217" spans="1:15" ht="13.5" customHeight="1">
      <c r="A217" s="116"/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520"/>
    </row>
    <row r="218" spans="1:15" ht="13.5" customHeight="1">
      <c r="A218" s="116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520"/>
    </row>
    <row r="219" spans="1:15" ht="13.5" customHeight="1">
      <c r="A219" s="116"/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520"/>
    </row>
    <row r="220" spans="1:15" ht="13.5" customHeight="1">
      <c r="A220" s="116"/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520"/>
    </row>
    <row r="221" spans="1:15" ht="13.5" customHeight="1">
      <c r="A221" s="116"/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520"/>
    </row>
    <row r="222" spans="1:15" ht="13.5" customHeight="1">
      <c r="A222" s="116"/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520"/>
    </row>
    <row r="223" spans="1:15" ht="13.5" customHeight="1">
      <c r="A223" s="116"/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520"/>
    </row>
    <row r="224" spans="1:15" ht="13.5" customHeight="1">
      <c r="A224" s="116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520"/>
    </row>
    <row r="225" spans="1:15" ht="13.5" customHeight="1">
      <c r="A225" s="116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520"/>
    </row>
    <row r="226" spans="1:15" ht="13.5" customHeight="1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520"/>
    </row>
    <row r="227" spans="1:15" ht="13.5" customHeight="1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520"/>
    </row>
    <row r="228" spans="1:15" ht="13.5" customHeight="1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520"/>
    </row>
    <row r="229" spans="1:15" ht="13.5" customHeight="1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520"/>
    </row>
    <row r="230" spans="1:15" ht="13.5" customHeight="1">
      <c r="A230" s="116"/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520"/>
    </row>
    <row r="231" spans="1:15" ht="13.5" customHeight="1">
      <c r="A231" s="116"/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520"/>
    </row>
    <row r="232" spans="1:15" ht="13.5" customHeight="1">
      <c r="A232" s="116"/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520"/>
    </row>
    <row r="233" spans="1:15" ht="13.5" customHeight="1">
      <c r="A233" s="116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520"/>
    </row>
    <row r="234" spans="1:15" ht="13.5" customHeight="1">
      <c r="A234" s="116"/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520"/>
    </row>
    <row r="235" spans="1:15" ht="13.5" customHeight="1">
      <c r="A235" s="116"/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520"/>
    </row>
    <row r="236" spans="1:15" ht="13.5" customHeight="1">
      <c r="A236" s="116"/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520"/>
    </row>
    <row r="237" spans="1:15" ht="13.5" customHeight="1">
      <c r="A237" s="116"/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520"/>
    </row>
    <row r="238" spans="1:15" ht="13.5" customHeight="1">
      <c r="A238" s="116"/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520"/>
    </row>
    <row r="239" spans="1:15" ht="13.5" customHeight="1">
      <c r="A239" s="116"/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520"/>
    </row>
    <row r="240" spans="1:15" ht="13.5" customHeight="1">
      <c r="A240" s="116"/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520"/>
    </row>
    <row r="241" spans="1:15" ht="13.5" customHeight="1">
      <c r="A241" s="116"/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520"/>
    </row>
    <row r="242" spans="1:15" ht="13.5" customHeight="1">
      <c r="A242" s="116"/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520"/>
    </row>
    <row r="243" spans="1:15" ht="13.5" customHeight="1">
      <c r="A243" s="116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520"/>
    </row>
    <row r="244" spans="1:15" ht="13.5" customHeight="1">
      <c r="A244" s="116"/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520"/>
    </row>
    <row r="245" spans="1:15" ht="13.5" customHeight="1">
      <c r="A245" s="116"/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520"/>
    </row>
    <row r="246" spans="1:15" ht="13.5" customHeight="1">
      <c r="A246" s="116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520"/>
    </row>
    <row r="247" spans="1:15" ht="13.5" customHeight="1">
      <c r="A247" s="116"/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520"/>
    </row>
    <row r="248" spans="1:15" ht="13.5" customHeight="1">
      <c r="A248" s="116"/>
      <c r="B248" s="11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520"/>
    </row>
    <row r="249" spans="1:15" ht="13.5" customHeight="1">
      <c r="A249" s="116"/>
      <c r="B249" s="116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520"/>
    </row>
    <row r="250" spans="1:15" ht="13.5" customHeight="1">
      <c r="A250" s="116"/>
      <c r="B250" s="116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520"/>
    </row>
    <row r="251" spans="1:15" ht="13.5" customHeight="1">
      <c r="A251" s="116"/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520"/>
    </row>
    <row r="252" spans="1:15" ht="13.5" customHeight="1">
      <c r="A252" s="116"/>
      <c r="B252" s="116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520"/>
    </row>
    <row r="253" spans="1:15" ht="13.5" customHeight="1">
      <c r="A253" s="116"/>
      <c r="B253" s="116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520"/>
    </row>
    <row r="254" spans="1:15" ht="13.5" customHeight="1">
      <c r="A254" s="116"/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520"/>
    </row>
    <row r="255" spans="1:15" ht="13.5" customHeight="1">
      <c r="A255" s="116"/>
      <c r="B255" s="116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520"/>
    </row>
    <row r="256" spans="1:15" ht="13.5" customHeight="1">
      <c r="A256" s="116"/>
      <c r="B256" s="116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520"/>
    </row>
    <row r="257" spans="1:15" ht="13.5" customHeight="1">
      <c r="A257" s="116"/>
      <c r="B257" s="116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520"/>
    </row>
  </sheetData>
  <sheetProtection/>
  <mergeCells count="1">
    <mergeCell ref="A3:O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74" r:id="rId1"/>
  <headerFooter alignWithMargins="0">
    <oddHeader>&amp;L16. melléklet a 2014. évi 15/2014.(XI.27.) Önkormányzati költségvetési rendelethez&amp;R&amp;D</oddHeader>
    <oddFooter>&amp;R&amp;F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I39" sqref="I39"/>
    </sheetView>
  </sheetViews>
  <sheetFormatPr defaultColWidth="9.140625" defaultRowHeight="12.75"/>
  <cols>
    <col min="1" max="1" width="3.421875" style="0" customWidth="1"/>
    <col min="2" max="2" width="4.8515625" style="0" bestFit="1" customWidth="1"/>
    <col min="3" max="3" width="35.57421875" style="0" customWidth="1"/>
  </cols>
  <sheetData>
    <row r="1" spans="15:16" ht="12.75">
      <c r="O1" s="716"/>
      <c r="P1" s="716"/>
    </row>
    <row r="2" spans="2:16" ht="15.75">
      <c r="B2" s="717" t="s">
        <v>356</v>
      </c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</row>
    <row r="3" spans="2:16" ht="15.75">
      <c r="B3" s="717" t="s">
        <v>422</v>
      </c>
      <c r="C3" s="717"/>
      <c r="D3" s="717"/>
      <c r="E3" s="717"/>
      <c r="F3" s="717"/>
      <c r="G3" s="717"/>
      <c r="H3" s="717"/>
      <c r="I3" s="717"/>
      <c r="J3" s="717"/>
      <c r="K3" s="717"/>
      <c r="L3" s="717"/>
      <c r="M3" s="717"/>
      <c r="N3" s="717"/>
      <c r="O3" s="717"/>
      <c r="P3" s="717"/>
    </row>
    <row r="4" spans="2:16" ht="15.75"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6" t="s">
        <v>299</v>
      </c>
    </row>
    <row r="5" spans="1:16" ht="16.5" thickBot="1">
      <c r="A5" t="s">
        <v>11</v>
      </c>
      <c r="B5" s="347" t="s">
        <v>12</v>
      </c>
      <c r="C5" s="348" t="s">
        <v>13</v>
      </c>
      <c r="D5" s="348" t="s">
        <v>14</v>
      </c>
      <c r="E5" s="348" t="s">
        <v>15</v>
      </c>
      <c r="F5" s="348" t="s">
        <v>16</v>
      </c>
      <c r="G5" s="348" t="s">
        <v>17</v>
      </c>
      <c r="H5" s="348" t="s">
        <v>18</v>
      </c>
      <c r="I5" s="348" t="s">
        <v>63</v>
      </c>
      <c r="J5" s="348" t="s">
        <v>367</v>
      </c>
      <c r="K5" s="348" t="s">
        <v>361</v>
      </c>
      <c r="L5" s="348" t="s">
        <v>362</v>
      </c>
      <c r="M5" s="348" t="s">
        <v>364</v>
      </c>
      <c r="N5" s="348" t="s">
        <v>368</v>
      </c>
      <c r="O5" s="348" t="s">
        <v>369</v>
      </c>
      <c r="P5" s="348" t="s">
        <v>370</v>
      </c>
    </row>
    <row r="6" spans="1:16" ht="24.75" thickBot="1">
      <c r="A6" t="s">
        <v>20</v>
      </c>
      <c r="B6" s="247" t="s">
        <v>300</v>
      </c>
      <c r="C6" s="248" t="s">
        <v>67</v>
      </c>
      <c r="D6" s="248" t="s">
        <v>301</v>
      </c>
      <c r="E6" s="248" t="s">
        <v>302</v>
      </c>
      <c r="F6" s="248" t="s">
        <v>303</v>
      </c>
      <c r="G6" s="248" t="s">
        <v>304</v>
      </c>
      <c r="H6" s="248" t="s">
        <v>305</v>
      </c>
      <c r="I6" s="248" t="s">
        <v>306</v>
      </c>
      <c r="J6" s="248" t="s">
        <v>307</v>
      </c>
      <c r="K6" s="248" t="s">
        <v>308</v>
      </c>
      <c r="L6" s="248" t="s">
        <v>309</v>
      </c>
      <c r="M6" s="248" t="s">
        <v>310</v>
      </c>
      <c r="N6" s="248" t="s">
        <v>311</v>
      </c>
      <c r="O6" s="248" t="s">
        <v>312</v>
      </c>
      <c r="P6" s="249" t="s">
        <v>313</v>
      </c>
    </row>
    <row r="7" spans="1:16" ht="13.5" thickBot="1">
      <c r="A7" t="s">
        <v>21</v>
      </c>
      <c r="B7" s="250" t="s">
        <v>20</v>
      </c>
      <c r="C7" s="712" t="s">
        <v>97</v>
      </c>
      <c r="D7" s="713"/>
      <c r="E7" s="713"/>
      <c r="F7" s="713"/>
      <c r="G7" s="713"/>
      <c r="H7" s="713"/>
      <c r="I7" s="713"/>
      <c r="J7" s="713"/>
      <c r="K7" s="713"/>
      <c r="L7" s="713"/>
      <c r="M7" s="713"/>
      <c r="N7" s="713"/>
      <c r="O7" s="713"/>
      <c r="P7" s="714"/>
    </row>
    <row r="8" spans="1:16" ht="12.75">
      <c r="A8" t="s">
        <v>22</v>
      </c>
      <c r="B8" s="253" t="s">
        <v>21</v>
      </c>
      <c r="C8" s="254" t="s">
        <v>314</v>
      </c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6">
        <f>SUM(D8:O8)</f>
        <v>0</v>
      </c>
    </row>
    <row r="9" spans="1:18" ht="12.75">
      <c r="A9" t="s">
        <v>23</v>
      </c>
      <c r="B9" s="257" t="s">
        <v>22</v>
      </c>
      <c r="C9" s="258" t="s">
        <v>315</v>
      </c>
      <c r="D9" s="259">
        <v>742</v>
      </c>
      <c r="E9" s="259">
        <f>+D9</f>
        <v>742</v>
      </c>
      <c r="F9" s="259">
        <f aca="true" t="shared" si="0" ref="F9:N9">+E9</f>
        <v>742</v>
      </c>
      <c r="G9" s="259">
        <f t="shared" si="0"/>
        <v>742</v>
      </c>
      <c r="H9" s="259">
        <f t="shared" si="0"/>
        <v>742</v>
      </c>
      <c r="I9" s="259">
        <f t="shared" si="0"/>
        <v>742</v>
      </c>
      <c r="J9" s="259">
        <f t="shared" si="0"/>
        <v>742</v>
      </c>
      <c r="K9" s="259">
        <v>742</v>
      </c>
      <c r="L9" s="259">
        <v>742</v>
      </c>
      <c r="M9" s="259">
        <f t="shared" si="0"/>
        <v>742</v>
      </c>
      <c r="N9" s="259">
        <f t="shared" si="0"/>
        <v>742</v>
      </c>
      <c r="O9" s="259">
        <f>+N9-1</f>
        <v>741</v>
      </c>
      <c r="P9" s="260">
        <f aca="true" t="shared" si="1" ref="P9:P15">SUM(D9:O9)</f>
        <v>8903</v>
      </c>
      <c r="Q9" s="85">
        <f>+'Bev.intézményenként'!D13</f>
        <v>8903</v>
      </c>
      <c r="R9" s="85">
        <f>+Q9-P9</f>
        <v>0</v>
      </c>
    </row>
    <row r="10" spans="1:16" ht="12.75">
      <c r="A10" t="s">
        <v>24</v>
      </c>
      <c r="B10" s="257" t="s">
        <v>23</v>
      </c>
      <c r="C10" s="261" t="s">
        <v>316</v>
      </c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0">
        <f t="shared" si="1"/>
        <v>0</v>
      </c>
    </row>
    <row r="11" spans="1:16" ht="12.75">
      <c r="A11" t="s">
        <v>25</v>
      </c>
      <c r="B11" s="257" t="s">
        <v>24</v>
      </c>
      <c r="C11" s="258" t="s">
        <v>317</v>
      </c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60">
        <f t="shared" si="1"/>
        <v>0</v>
      </c>
    </row>
    <row r="12" spans="1:16" ht="12.75">
      <c r="A12" t="s">
        <v>26</v>
      </c>
      <c r="B12" s="257" t="s">
        <v>25</v>
      </c>
      <c r="C12" s="258" t="s">
        <v>318</v>
      </c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60">
        <f t="shared" si="1"/>
        <v>0</v>
      </c>
    </row>
    <row r="13" spans="1:18" ht="12.75">
      <c r="A13" t="s">
        <v>27</v>
      </c>
      <c r="B13" s="257" t="s">
        <v>26</v>
      </c>
      <c r="C13" s="258" t="s">
        <v>319</v>
      </c>
      <c r="D13" s="259">
        <v>2708</v>
      </c>
      <c r="E13" s="259">
        <f>+D13+54</f>
        <v>2762</v>
      </c>
      <c r="F13" s="259">
        <f>+E13+2356+800-54</f>
        <v>5864</v>
      </c>
      <c r="G13" s="259">
        <f>2708+1000</f>
        <v>3708</v>
      </c>
      <c r="H13" s="259">
        <v>2708</v>
      </c>
      <c r="I13" s="259">
        <f>+H13</f>
        <v>2708</v>
      </c>
      <c r="J13" s="259">
        <f>+I13</f>
        <v>2708</v>
      </c>
      <c r="K13" s="259">
        <f>+J13</f>
        <v>2708</v>
      </c>
      <c r="L13" s="259">
        <f>+K13</f>
        <v>2708</v>
      </c>
      <c r="M13" s="259">
        <f>+L13</f>
        <v>2708</v>
      </c>
      <c r="N13" s="259">
        <f>+M13+3074</f>
        <v>5782</v>
      </c>
      <c r="O13" s="259">
        <v>2712</v>
      </c>
      <c r="P13" s="260">
        <f t="shared" si="1"/>
        <v>39784</v>
      </c>
      <c r="Q13" s="85">
        <f>+'Bev.intézményenként'!F13+'Bev.intézményenként'!G13</f>
        <v>39784</v>
      </c>
      <c r="R13" s="85">
        <f>+Q13-P13</f>
        <v>0</v>
      </c>
    </row>
    <row r="14" spans="1:18" ht="12.75">
      <c r="A14" t="s">
        <v>28</v>
      </c>
      <c r="B14" s="257" t="s">
        <v>27</v>
      </c>
      <c r="C14" s="258" t="s">
        <v>320</v>
      </c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60">
        <f t="shared" si="1"/>
        <v>0</v>
      </c>
      <c r="R14" s="85">
        <f>+Q14-P14</f>
        <v>0</v>
      </c>
    </row>
    <row r="15" spans="1:18" ht="22.5">
      <c r="A15" t="s">
        <v>29</v>
      </c>
      <c r="B15" s="257" t="s">
        <v>28</v>
      </c>
      <c r="C15" s="263" t="s">
        <v>321</v>
      </c>
      <c r="D15" s="259"/>
      <c r="E15" s="259">
        <v>616</v>
      </c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60">
        <f t="shared" si="1"/>
        <v>616</v>
      </c>
      <c r="Q15">
        <f>+'Bev.intézményenként'!E13</f>
        <v>616</v>
      </c>
      <c r="R15" s="85">
        <f>+Q15-P15</f>
        <v>0</v>
      </c>
    </row>
    <row r="16" spans="1:18" ht="13.5" thickBot="1">
      <c r="A16" t="s">
        <v>30</v>
      </c>
      <c r="B16" s="257" t="s">
        <v>29</v>
      </c>
      <c r="C16" s="258" t="s">
        <v>222</v>
      </c>
      <c r="D16" s="259">
        <f>+D30-D8-D9-D10-D11-D12-D13-D14-D15</f>
        <v>8996</v>
      </c>
      <c r="E16" s="259">
        <f aca="true" t="shared" si="2" ref="E16:O16">+E30-E8-E9-E10-E11-E12-E13-E14-E15</f>
        <v>9135</v>
      </c>
      <c r="F16" s="259">
        <f t="shared" si="2"/>
        <v>4716</v>
      </c>
      <c r="G16" s="259">
        <f t="shared" si="2"/>
        <v>7072</v>
      </c>
      <c r="H16" s="259">
        <f t="shared" si="2"/>
        <v>7722</v>
      </c>
      <c r="I16" s="259">
        <f t="shared" si="2"/>
        <v>8222</v>
      </c>
      <c r="J16" s="259">
        <f t="shared" si="2"/>
        <v>7072</v>
      </c>
      <c r="K16" s="259">
        <f t="shared" si="2"/>
        <v>9614</v>
      </c>
      <c r="L16" s="259">
        <f t="shared" si="2"/>
        <v>7614</v>
      </c>
      <c r="M16" s="259">
        <f t="shared" si="2"/>
        <v>7614</v>
      </c>
      <c r="N16" s="259">
        <f t="shared" si="2"/>
        <v>8946</v>
      </c>
      <c r="O16" s="259">
        <f t="shared" si="2"/>
        <v>7618</v>
      </c>
      <c r="P16" s="264">
        <f>SUM(D16:O16)</f>
        <v>94341</v>
      </c>
      <c r="Q16" s="85">
        <f>+'Bev.intézményenként'!J13</f>
        <v>94341</v>
      </c>
      <c r="R16" s="85">
        <f>+Q16-P16</f>
        <v>0</v>
      </c>
    </row>
    <row r="17" spans="1:18" ht="13.5" thickBot="1">
      <c r="A17" t="s">
        <v>31</v>
      </c>
      <c r="B17" s="250" t="s">
        <v>30</v>
      </c>
      <c r="C17" s="265" t="s">
        <v>322</v>
      </c>
      <c r="D17" s="266">
        <f>SUM(D8:D16)</f>
        <v>12446</v>
      </c>
      <c r="E17" s="266">
        <f aca="true" t="shared" si="3" ref="E17:P17">SUM(E8:E16)</f>
        <v>13255</v>
      </c>
      <c r="F17" s="266">
        <f t="shared" si="3"/>
        <v>11322</v>
      </c>
      <c r="G17" s="266">
        <f t="shared" si="3"/>
        <v>11522</v>
      </c>
      <c r="H17" s="266">
        <f t="shared" si="3"/>
        <v>11172</v>
      </c>
      <c r="I17" s="266">
        <f t="shared" si="3"/>
        <v>11672</v>
      </c>
      <c r="J17" s="266">
        <f t="shared" si="3"/>
        <v>10522</v>
      </c>
      <c r="K17" s="266">
        <f t="shared" si="3"/>
        <v>13064</v>
      </c>
      <c r="L17" s="266">
        <f t="shared" si="3"/>
        <v>11064</v>
      </c>
      <c r="M17" s="266">
        <f t="shared" si="3"/>
        <v>11064</v>
      </c>
      <c r="N17" s="266">
        <f t="shared" si="3"/>
        <v>15470</v>
      </c>
      <c r="O17" s="266">
        <f t="shared" si="3"/>
        <v>11071</v>
      </c>
      <c r="P17" s="266">
        <f t="shared" si="3"/>
        <v>143644</v>
      </c>
      <c r="R17" s="85">
        <f>+Q17-P17</f>
        <v>-143644</v>
      </c>
    </row>
    <row r="18" spans="1:16" ht="13.5" thickBot="1">
      <c r="A18" t="s">
        <v>32</v>
      </c>
      <c r="B18" s="250" t="s">
        <v>31</v>
      </c>
      <c r="C18" s="712" t="s">
        <v>125</v>
      </c>
      <c r="D18" s="713"/>
      <c r="E18" s="713"/>
      <c r="F18" s="713"/>
      <c r="G18" s="713"/>
      <c r="H18" s="713"/>
      <c r="I18" s="713"/>
      <c r="J18" s="713"/>
      <c r="K18" s="713"/>
      <c r="L18" s="713"/>
      <c r="M18" s="713"/>
      <c r="N18" s="713"/>
      <c r="O18" s="713"/>
      <c r="P18" s="715"/>
    </row>
    <row r="19" spans="1:19" ht="12.75">
      <c r="A19" t="s">
        <v>33</v>
      </c>
      <c r="B19" s="268" t="s">
        <v>32</v>
      </c>
      <c r="C19" s="269" t="s">
        <v>215</v>
      </c>
      <c r="D19" s="262">
        <f>5542+334</f>
        <v>5876</v>
      </c>
      <c r="E19" s="262">
        <f>+D19+1</f>
        <v>5877</v>
      </c>
      <c r="F19" s="262">
        <v>5542</v>
      </c>
      <c r="G19" s="262">
        <f aca="true" t="shared" si="4" ref="G19:M19">+F19</f>
        <v>5542</v>
      </c>
      <c r="H19" s="262">
        <f t="shared" si="4"/>
        <v>5542</v>
      </c>
      <c r="I19" s="262">
        <f>+H19+906</f>
        <v>6448</v>
      </c>
      <c r="J19" s="262">
        <v>5542</v>
      </c>
      <c r="K19" s="262">
        <f>+J19+427</f>
        <v>5969</v>
      </c>
      <c r="L19" s="262">
        <f t="shared" si="4"/>
        <v>5969</v>
      </c>
      <c r="M19" s="262">
        <f t="shared" si="4"/>
        <v>5969</v>
      </c>
      <c r="N19" s="262">
        <f>+M19+541+508+1074</f>
        <v>8092</v>
      </c>
      <c r="O19" s="262">
        <v>5969</v>
      </c>
      <c r="P19" s="270">
        <f>SUM(D19:O19)</f>
        <v>72337</v>
      </c>
      <c r="Q19" s="85">
        <f>+'Kiad.intézményenként'!D12</f>
        <v>72337</v>
      </c>
      <c r="R19" s="85">
        <f>+Q19-P19</f>
        <v>0</v>
      </c>
      <c r="S19">
        <f>+R19/5</f>
        <v>0</v>
      </c>
    </row>
    <row r="20" spans="1:19" ht="24.75" customHeight="1">
      <c r="A20" t="s">
        <v>34</v>
      </c>
      <c r="B20" s="257" t="s">
        <v>33</v>
      </c>
      <c r="C20" s="263" t="s">
        <v>323</v>
      </c>
      <c r="D20" s="259">
        <f>1482+90</f>
        <v>1572</v>
      </c>
      <c r="E20" s="259">
        <f>+D20</f>
        <v>1572</v>
      </c>
      <c r="F20" s="259">
        <v>1482</v>
      </c>
      <c r="G20" s="259">
        <f aca="true" t="shared" si="5" ref="G20:M20">+F20</f>
        <v>1482</v>
      </c>
      <c r="H20" s="259">
        <f t="shared" si="5"/>
        <v>1482</v>
      </c>
      <c r="I20" s="259">
        <f>+H20+244</f>
        <v>1726</v>
      </c>
      <c r="J20" s="259">
        <v>1482</v>
      </c>
      <c r="K20" s="259">
        <f>+J20+115</f>
        <v>1597</v>
      </c>
      <c r="L20" s="259">
        <f t="shared" si="5"/>
        <v>1597</v>
      </c>
      <c r="M20" s="259">
        <f t="shared" si="5"/>
        <v>1597</v>
      </c>
      <c r="N20" s="259">
        <f>+M20+146+137+110</f>
        <v>1990</v>
      </c>
      <c r="O20" s="259">
        <v>1608</v>
      </c>
      <c r="P20" s="270">
        <f aca="true" t="shared" si="6" ref="P20:P28">SUM(D20:O20)</f>
        <v>19187</v>
      </c>
      <c r="Q20" s="85">
        <f>+'Kiad.intézményenként'!E12</f>
        <v>19187</v>
      </c>
      <c r="R20" s="85">
        <f>+Q20-P20</f>
        <v>0</v>
      </c>
      <c r="S20">
        <f>+R20/5</f>
        <v>0</v>
      </c>
    </row>
    <row r="21" spans="1:18" ht="12.75">
      <c r="A21" t="s">
        <v>35</v>
      </c>
      <c r="B21" s="257" t="s">
        <v>34</v>
      </c>
      <c r="C21" s="258" t="s">
        <v>251</v>
      </c>
      <c r="D21" s="259">
        <f>3498+1500</f>
        <v>4998</v>
      </c>
      <c r="E21" s="259">
        <f>5752+54</f>
        <v>5806</v>
      </c>
      <c r="F21" s="259">
        <f>3498+800</f>
        <v>4298</v>
      </c>
      <c r="G21" s="259">
        <f>3498+1000</f>
        <v>4498</v>
      </c>
      <c r="H21" s="259">
        <v>3498</v>
      </c>
      <c r="I21" s="259">
        <f>+H21</f>
        <v>3498</v>
      </c>
      <c r="J21" s="259">
        <f>+I21</f>
        <v>3498</v>
      </c>
      <c r="K21" s="259">
        <f>+J21</f>
        <v>3498</v>
      </c>
      <c r="L21" s="259">
        <f>+K21</f>
        <v>3498</v>
      </c>
      <c r="M21" s="259">
        <f>+L21</f>
        <v>3498</v>
      </c>
      <c r="N21" s="259">
        <f>+M21+1890</f>
        <v>5388</v>
      </c>
      <c r="O21" s="259">
        <v>3494</v>
      </c>
      <c r="P21" s="270">
        <f t="shared" si="6"/>
        <v>49470</v>
      </c>
      <c r="Q21" s="85">
        <f>+'Kiad.intézményenként'!F12</f>
        <v>49470</v>
      </c>
      <c r="R21" s="85">
        <f>+Q21-P21</f>
        <v>0</v>
      </c>
    </row>
    <row r="22" spans="1:16" ht="12.75">
      <c r="A22" t="s">
        <v>36</v>
      </c>
      <c r="B22" s="257" t="s">
        <v>35</v>
      </c>
      <c r="C22" s="258" t="s">
        <v>324</v>
      </c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70">
        <f t="shared" si="6"/>
        <v>0</v>
      </c>
    </row>
    <row r="23" spans="1:16" ht="12.75">
      <c r="A23" t="s">
        <v>37</v>
      </c>
      <c r="B23" s="257" t="s">
        <v>36</v>
      </c>
      <c r="C23" s="258" t="s">
        <v>325</v>
      </c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70">
        <f t="shared" si="6"/>
        <v>0</v>
      </c>
    </row>
    <row r="24" spans="1:16" ht="12.75">
      <c r="A24" t="s">
        <v>40</v>
      </c>
      <c r="B24" s="257" t="s">
        <v>37</v>
      </c>
      <c r="C24" s="258" t="s">
        <v>326</v>
      </c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70">
        <f t="shared" si="6"/>
        <v>0</v>
      </c>
    </row>
    <row r="25" spans="1:16" ht="21" customHeight="1">
      <c r="A25" t="s">
        <v>42</v>
      </c>
      <c r="B25" s="257" t="s">
        <v>40</v>
      </c>
      <c r="C25" s="263" t="s">
        <v>327</v>
      </c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70">
        <f t="shared" si="6"/>
        <v>0</v>
      </c>
    </row>
    <row r="26" spans="1:16" ht="12.75">
      <c r="A26" t="s">
        <v>43</v>
      </c>
      <c r="B26" s="257" t="s">
        <v>42</v>
      </c>
      <c r="C26" s="258" t="s">
        <v>328</v>
      </c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70">
        <f t="shared" si="6"/>
        <v>0</v>
      </c>
    </row>
    <row r="27" spans="1:16" ht="12.75">
      <c r="A27" t="s">
        <v>44</v>
      </c>
      <c r="B27" s="257" t="s">
        <v>43</v>
      </c>
      <c r="C27" s="258" t="s">
        <v>329</v>
      </c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70">
        <f t="shared" si="6"/>
        <v>0</v>
      </c>
    </row>
    <row r="28" spans="1:16" ht="12.75">
      <c r="A28" t="s">
        <v>45</v>
      </c>
      <c r="B28" s="257" t="s">
        <v>44</v>
      </c>
      <c r="C28" s="258" t="s">
        <v>330</v>
      </c>
      <c r="D28" s="259"/>
      <c r="E28" s="259"/>
      <c r="F28" s="259"/>
      <c r="G28" s="259"/>
      <c r="H28" s="259">
        <v>650</v>
      </c>
      <c r="I28" s="259"/>
      <c r="J28" s="259"/>
      <c r="K28" s="259">
        <v>2000</v>
      </c>
      <c r="L28" s="259"/>
      <c r="M28" s="259"/>
      <c r="N28" s="259"/>
      <c r="O28" s="259"/>
      <c r="P28" s="270">
        <f t="shared" si="6"/>
        <v>2650</v>
      </c>
    </row>
    <row r="29" spans="1:16" ht="13.5" thickBot="1">
      <c r="A29" t="s">
        <v>46</v>
      </c>
      <c r="B29" s="257" t="s">
        <v>45</v>
      </c>
      <c r="C29" s="258" t="s">
        <v>331</v>
      </c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70">
        <f>SUM(D29:O29)</f>
        <v>0</v>
      </c>
    </row>
    <row r="30" spans="1:16" ht="13.5" thickBot="1">
      <c r="A30" t="s">
        <v>47</v>
      </c>
      <c r="B30" s="271" t="s">
        <v>46</v>
      </c>
      <c r="C30" s="265" t="s">
        <v>332</v>
      </c>
      <c r="D30" s="266">
        <f>SUM(D19:D29)</f>
        <v>12446</v>
      </c>
      <c r="E30" s="266">
        <f aca="true" t="shared" si="7" ref="E30:O30">SUM(E19:E29)</f>
        <v>13255</v>
      </c>
      <c r="F30" s="266">
        <f t="shared" si="7"/>
        <v>11322</v>
      </c>
      <c r="G30" s="266">
        <f t="shared" si="7"/>
        <v>11522</v>
      </c>
      <c r="H30" s="266">
        <f t="shared" si="7"/>
        <v>11172</v>
      </c>
      <c r="I30" s="266">
        <f t="shared" si="7"/>
        <v>11672</v>
      </c>
      <c r="J30" s="266">
        <f t="shared" si="7"/>
        <v>10522</v>
      </c>
      <c r="K30" s="266">
        <f t="shared" si="7"/>
        <v>13064</v>
      </c>
      <c r="L30" s="266">
        <f t="shared" si="7"/>
        <v>11064</v>
      </c>
      <c r="M30" s="266">
        <f t="shared" si="7"/>
        <v>11064</v>
      </c>
      <c r="N30" s="266">
        <f t="shared" si="7"/>
        <v>15470</v>
      </c>
      <c r="O30" s="266">
        <f t="shared" si="7"/>
        <v>11071</v>
      </c>
      <c r="P30" s="272">
        <f>SUM(P19:P29)</f>
        <v>143644</v>
      </c>
    </row>
    <row r="31" spans="1:16" ht="13.5" thickBot="1">
      <c r="A31" t="s">
        <v>48</v>
      </c>
      <c r="B31" s="271" t="s">
        <v>47</v>
      </c>
      <c r="C31" s="273" t="s">
        <v>333</v>
      </c>
      <c r="D31" s="274">
        <f>+D30-D17</f>
        <v>0</v>
      </c>
      <c r="E31" s="274">
        <f aca="true" t="shared" si="8" ref="E31:P31">+E30-E17</f>
        <v>0</v>
      </c>
      <c r="F31" s="274">
        <f t="shared" si="8"/>
        <v>0</v>
      </c>
      <c r="G31" s="274">
        <f t="shared" si="8"/>
        <v>0</v>
      </c>
      <c r="H31" s="274">
        <f t="shared" si="8"/>
        <v>0</v>
      </c>
      <c r="I31" s="274">
        <f t="shared" si="8"/>
        <v>0</v>
      </c>
      <c r="J31" s="274">
        <f t="shared" si="8"/>
        <v>0</v>
      </c>
      <c r="K31" s="274">
        <f t="shared" si="8"/>
        <v>0</v>
      </c>
      <c r="L31" s="274">
        <f t="shared" si="8"/>
        <v>0</v>
      </c>
      <c r="M31" s="274">
        <f t="shared" si="8"/>
        <v>0</v>
      </c>
      <c r="N31" s="274">
        <f t="shared" si="8"/>
        <v>0</v>
      </c>
      <c r="O31" s="274">
        <f t="shared" si="8"/>
        <v>0</v>
      </c>
      <c r="P31" s="274">
        <f t="shared" si="8"/>
        <v>0</v>
      </c>
    </row>
    <row r="32" spans="2:16" ht="15.75">
      <c r="B32" s="27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4"/>
    </row>
    <row r="33" spans="2:16" ht="15.75">
      <c r="B33" s="244"/>
      <c r="C33" s="276"/>
      <c r="D33" s="278"/>
      <c r="E33" s="277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335">
        <f>+P30-P17</f>
        <v>0</v>
      </c>
    </row>
  </sheetData>
  <sheetProtection/>
  <mergeCells count="5">
    <mergeCell ref="C7:P7"/>
    <mergeCell ref="C18:P18"/>
    <mergeCell ref="O1:P1"/>
    <mergeCell ref="B2:P2"/>
    <mergeCell ref="B3:P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5" r:id="rId1"/>
  <headerFooter alignWithMargins="0">
    <oddHeader>&amp;L18. melléklet a 2014. évi 15/2014.(XI.27.) Önkormányzati költségvetési rendelethez&amp;R&amp;D</oddHeader>
    <oddFooter>&amp;R&amp;F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C1">
      <selection activeCell="M36" sqref="M36"/>
    </sheetView>
  </sheetViews>
  <sheetFormatPr defaultColWidth="9.140625" defaultRowHeight="12.75"/>
  <cols>
    <col min="1" max="1" width="3.7109375" style="0" customWidth="1"/>
    <col min="2" max="2" width="4.8515625" style="0" bestFit="1" customWidth="1"/>
    <col min="3" max="3" width="44.57421875" style="0" customWidth="1"/>
  </cols>
  <sheetData>
    <row r="1" spans="15:16" ht="12.75">
      <c r="O1" s="716"/>
      <c r="P1" s="716"/>
    </row>
    <row r="2" spans="2:16" ht="15.75">
      <c r="B2" s="717" t="s">
        <v>298</v>
      </c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</row>
    <row r="3" spans="2:16" ht="15.75">
      <c r="B3" s="717" t="s">
        <v>422</v>
      </c>
      <c r="C3" s="717"/>
      <c r="D3" s="717"/>
      <c r="E3" s="717"/>
      <c r="F3" s="717"/>
      <c r="G3" s="717"/>
      <c r="H3" s="717"/>
      <c r="I3" s="717"/>
      <c r="J3" s="717"/>
      <c r="K3" s="717"/>
      <c r="L3" s="717"/>
      <c r="M3" s="717"/>
      <c r="N3" s="717"/>
      <c r="O3" s="717"/>
      <c r="P3" s="717"/>
    </row>
    <row r="4" spans="2:16" ht="15.75"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</row>
    <row r="5" spans="2:16" ht="15.75">
      <c r="B5" s="719" t="s">
        <v>338</v>
      </c>
      <c r="C5" s="720"/>
      <c r="D5" s="720"/>
      <c r="E5" s="720"/>
      <c r="F5" s="720"/>
      <c r="G5" s="720"/>
      <c r="H5" s="720"/>
      <c r="I5" s="720"/>
      <c r="J5" s="720"/>
      <c r="K5" s="720"/>
      <c r="L5" s="720"/>
      <c r="M5" s="720"/>
      <c r="N5" s="720"/>
      <c r="O5" s="720"/>
      <c r="P5" s="720"/>
    </row>
    <row r="6" spans="2:16" ht="15.75">
      <c r="B6" s="336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246" t="s">
        <v>299</v>
      </c>
    </row>
    <row r="7" spans="1:16" s="161" customFormat="1" ht="16.5" thickBot="1">
      <c r="A7" s="161" t="s">
        <v>11</v>
      </c>
      <c r="B7" s="349" t="s">
        <v>360</v>
      </c>
      <c r="C7" s="350" t="s">
        <v>13</v>
      </c>
      <c r="D7" s="350" t="s">
        <v>14</v>
      </c>
      <c r="E7" s="350" t="s">
        <v>15</v>
      </c>
      <c r="F7" s="350" t="s">
        <v>16</v>
      </c>
      <c r="G7" s="350" t="s">
        <v>17</v>
      </c>
      <c r="H7" s="350" t="s">
        <v>18</v>
      </c>
      <c r="I7" s="350" t="s">
        <v>63</v>
      </c>
      <c r="J7" s="350" t="s">
        <v>367</v>
      </c>
      <c r="K7" s="350" t="s">
        <v>361</v>
      </c>
      <c r="L7" s="350" t="s">
        <v>362</v>
      </c>
      <c r="M7" s="350" t="s">
        <v>364</v>
      </c>
      <c r="N7" s="350" t="s">
        <v>368</v>
      </c>
      <c r="O7" s="350" t="s">
        <v>369</v>
      </c>
      <c r="P7" s="350" t="s">
        <v>370</v>
      </c>
    </row>
    <row r="8" spans="1:16" ht="24.75" thickBot="1">
      <c r="A8" t="s">
        <v>20</v>
      </c>
      <c r="B8" s="247" t="s">
        <v>300</v>
      </c>
      <c r="C8" s="248" t="s">
        <v>67</v>
      </c>
      <c r="D8" s="248" t="s">
        <v>301</v>
      </c>
      <c r="E8" s="248" t="s">
        <v>302</v>
      </c>
      <c r="F8" s="248" t="s">
        <v>303</v>
      </c>
      <c r="G8" s="248" t="s">
        <v>304</v>
      </c>
      <c r="H8" s="248" t="s">
        <v>305</v>
      </c>
      <c r="I8" s="248" t="s">
        <v>306</v>
      </c>
      <c r="J8" s="248" t="s">
        <v>307</v>
      </c>
      <c r="K8" s="248" t="s">
        <v>308</v>
      </c>
      <c r="L8" s="248" t="s">
        <v>309</v>
      </c>
      <c r="M8" s="248" t="s">
        <v>310</v>
      </c>
      <c r="N8" s="248" t="s">
        <v>311</v>
      </c>
      <c r="O8" s="248" t="s">
        <v>312</v>
      </c>
      <c r="P8" s="249" t="s">
        <v>313</v>
      </c>
    </row>
    <row r="9" spans="1:16" ht="13.5" thickBot="1">
      <c r="A9" t="s">
        <v>21</v>
      </c>
      <c r="B9" s="250" t="s">
        <v>20</v>
      </c>
      <c r="C9" s="712" t="s">
        <v>97</v>
      </c>
      <c r="D9" s="713"/>
      <c r="E9" s="713"/>
      <c r="F9" s="713"/>
      <c r="G9" s="713"/>
      <c r="H9" s="713"/>
      <c r="I9" s="713"/>
      <c r="J9" s="713"/>
      <c r="K9" s="713"/>
      <c r="L9" s="713"/>
      <c r="M9" s="713"/>
      <c r="N9" s="713"/>
      <c r="O9" s="713"/>
      <c r="P9" s="714"/>
    </row>
    <row r="10" spans="1:16" ht="12.75">
      <c r="A10" t="s">
        <v>22</v>
      </c>
      <c r="B10" s="253" t="s">
        <v>21</v>
      </c>
      <c r="C10" s="254" t="s">
        <v>314</v>
      </c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6">
        <f>SUM(D10:O10)</f>
        <v>0</v>
      </c>
    </row>
    <row r="11" spans="1:18" ht="12.75">
      <c r="A11" t="s">
        <v>23</v>
      </c>
      <c r="B11" s="257" t="s">
        <v>22</v>
      </c>
      <c r="C11" s="258" t="s">
        <v>315</v>
      </c>
      <c r="D11" s="259">
        <v>175</v>
      </c>
      <c r="E11" s="259">
        <f>+D11</f>
        <v>175</v>
      </c>
      <c r="F11" s="259">
        <f aca="true" t="shared" si="0" ref="F11:M11">+E11</f>
        <v>175</v>
      </c>
      <c r="G11" s="259">
        <f t="shared" si="0"/>
        <v>175</v>
      </c>
      <c r="H11" s="259">
        <f t="shared" si="0"/>
        <v>175</v>
      </c>
      <c r="I11" s="259">
        <f t="shared" si="0"/>
        <v>175</v>
      </c>
      <c r="J11" s="259">
        <f t="shared" si="0"/>
        <v>175</v>
      </c>
      <c r="K11" s="259">
        <f t="shared" si="0"/>
        <v>175</v>
      </c>
      <c r="L11" s="259">
        <f t="shared" si="0"/>
        <v>175</v>
      </c>
      <c r="M11" s="259">
        <f t="shared" si="0"/>
        <v>175</v>
      </c>
      <c r="N11" s="259">
        <f>+M11+2500</f>
        <v>2675</v>
      </c>
      <c r="O11" s="259">
        <v>175</v>
      </c>
      <c r="P11" s="260">
        <f aca="true" t="shared" si="1" ref="P11:P17">SUM(D11:O11)</f>
        <v>4600</v>
      </c>
      <c r="Q11" s="540">
        <f>+'Bev.intézményenként'!D28</f>
        <v>4600</v>
      </c>
      <c r="R11" s="85">
        <f>+Q11-P11</f>
        <v>0</v>
      </c>
    </row>
    <row r="12" spans="1:18" ht="12.75">
      <c r="A12" t="s">
        <v>24</v>
      </c>
      <c r="B12" s="257" t="s">
        <v>23</v>
      </c>
      <c r="C12" s="261" t="s">
        <v>316</v>
      </c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0">
        <f t="shared" si="1"/>
        <v>0</v>
      </c>
      <c r="R12" s="85">
        <f aca="true" t="shared" si="2" ref="R12:R33">+Q12-P12</f>
        <v>0</v>
      </c>
    </row>
    <row r="13" spans="1:18" ht="12.75">
      <c r="A13" t="s">
        <v>25</v>
      </c>
      <c r="B13" s="257" t="s">
        <v>24</v>
      </c>
      <c r="C13" s="258" t="s">
        <v>317</v>
      </c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60">
        <f>SUM(D13:O13)</f>
        <v>0</v>
      </c>
      <c r="R13" s="85">
        <f t="shared" si="2"/>
        <v>0</v>
      </c>
    </row>
    <row r="14" spans="1:18" ht="12.75">
      <c r="A14" t="s">
        <v>26</v>
      </c>
      <c r="B14" s="257" t="s">
        <v>25</v>
      </c>
      <c r="C14" s="258" t="s">
        <v>318</v>
      </c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60">
        <f t="shared" si="1"/>
        <v>0</v>
      </c>
      <c r="R14" s="85">
        <f t="shared" si="2"/>
        <v>0</v>
      </c>
    </row>
    <row r="15" spans="1:18" ht="12.75">
      <c r="A15" t="s">
        <v>27</v>
      </c>
      <c r="B15" s="257" t="s">
        <v>26</v>
      </c>
      <c r="C15" s="258" t="s">
        <v>319</v>
      </c>
      <c r="D15" s="259"/>
      <c r="E15" s="259">
        <f>5343+936</f>
        <v>6279</v>
      </c>
      <c r="F15" s="259">
        <f>973+184</f>
        <v>1157</v>
      </c>
      <c r="G15" s="259"/>
      <c r="H15" s="259"/>
      <c r="I15" s="259"/>
      <c r="J15" s="259"/>
      <c r="K15" s="259"/>
      <c r="L15" s="259">
        <v>1034</v>
      </c>
      <c r="M15" s="259"/>
      <c r="N15" s="259">
        <f>321+671</f>
        <v>992</v>
      </c>
      <c r="O15" s="259"/>
      <c r="P15" s="260">
        <f t="shared" si="1"/>
        <v>9462</v>
      </c>
      <c r="Q15" s="85">
        <f>+'Bev.intézményenként'!F28+'Bev.intézményenként'!G28</f>
        <v>9462</v>
      </c>
      <c r="R15" s="85">
        <f t="shared" si="2"/>
        <v>0</v>
      </c>
    </row>
    <row r="16" spans="1:18" ht="12.75">
      <c r="A16" t="s">
        <v>28</v>
      </c>
      <c r="B16" s="257" t="s">
        <v>27</v>
      </c>
      <c r="C16" s="258" t="s">
        <v>320</v>
      </c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60">
        <f t="shared" si="1"/>
        <v>0</v>
      </c>
      <c r="R16" s="85">
        <f t="shared" si="2"/>
        <v>0</v>
      </c>
    </row>
    <row r="17" spans="1:18" ht="12.75">
      <c r="A17" t="s">
        <v>29</v>
      </c>
      <c r="B17" s="257" t="s">
        <v>28</v>
      </c>
      <c r="C17" s="263" t="s">
        <v>321</v>
      </c>
      <c r="D17" s="259"/>
      <c r="E17" s="259">
        <v>261</v>
      </c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60">
        <f t="shared" si="1"/>
        <v>261</v>
      </c>
      <c r="Q17">
        <f>+'Bev.intézményenként'!E28</f>
        <v>261</v>
      </c>
      <c r="R17" s="85">
        <f t="shared" si="2"/>
        <v>0</v>
      </c>
    </row>
    <row r="18" spans="1:18" ht="13.5" thickBot="1">
      <c r="A18" t="s">
        <v>30</v>
      </c>
      <c r="B18" s="257" t="s">
        <v>29</v>
      </c>
      <c r="C18" s="258" t="s">
        <v>222</v>
      </c>
      <c r="D18" s="259">
        <f>+D32-D10-D11-D12-D13-D14-D15-D16-D17</f>
        <v>25475</v>
      </c>
      <c r="E18" s="259">
        <f aca="true" t="shared" si="3" ref="E18:O18">+E32-E10-E11-E12-E13-E14-E15-E16-E17</f>
        <v>20539</v>
      </c>
      <c r="F18" s="259">
        <f>+F32-F10-F11-F12-F13-F14-F15-F16-F17</f>
        <v>22800</v>
      </c>
      <c r="G18" s="259">
        <f t="shared" si="3"/>
        <v>22177</v>
      </c>
      <c r="H18" s="259">
        <f t="shared" si="3"/>
        <v>21900</v>
      </c>
      <c r="I18" s="259">
        <f t="shared" si="3"/>
        <v>22324</v>
      </c>
      <c r="J18" s="259">
        <f t="shared" si="3"/>
        <v>23263</v>
      </c>
      <c r="K18" s="259">
        <f t="shared" si="3"/>
        <v>23843</v>
      </c>
      <c r="L18" s="259">
        <f t="shared" si="3"/>
        <v>21309</v>
      </c>
      <c r="M18" s="259">
        <f t="shared" si="3"/>
        <v>23860</v>
      </c>
      <c r="N18" s="259">
        <f t="shared" si="3"/>
        <v>27850</v>
      </c>
      <c r="O18" s="259">
        <f t="shared" si="3"/>
        <v>22304</v>
      </c>
      <c r="P18" s="264">
        <f>SUM(D18:O18)</f>
        <v>277644</v>
      </c>
      <c r="Q18" s="85">
        <f>+'Bev.intézményenként'!J28</f>
        <v>277644</v>
      </c>
      <c r="R18" s="85">
        <f t="shared" si="2"/>
        <v>0</v>
      </c>
    </row>
    <row r="19" spans="1:18" ht="13.5" thickBot="1">
      <c r="A19" t="s">
        <v>31</v>
      </c>
      <c r="B19" s="250" t="s">
        <v>30</v>
      </c>
      <c r="C19" s="265" t="s">
        <v>322</v>
      </c>
      <c r="D19" s="266">
        <f>SUM(D10:D18)</f>
        <v>25650</v>
      </c>
      <c r="E19" s="266">
        <f aca="true" t="shared" si="4" ref="E19:O19">SUM(E10:E18)</f>
        <v>27254</v>
      </c>
      <c r="F19" s="266">
        <f t="shared" si="4"/>
        <v>24132</v>
      </c>
      <c r="G19" s="266">
        <f t="shared" si="4"/>
        <v>22352</v>
      </c>
      <c r="H19" s="266">
        <f t="shared" si="4"/>
        <v>22075</v>
      </c>
      <c r="I19" s="266">
        <f t="shared" si="4"/>
        <v>22499</v>
      </c>
      <c r="J19" s="266">
        <f t="shared" si="4"/>
        <v>23438</v>
      </c>
      <c r="K19" s="266">
        <f t="shared" si="4"/>
        <v>24018</v>
      </c>
      <c r="L19" s="266">
        <f t="shared" si="4"/>
        <v>22518</v>
      </c>
      <c r="M19" s="266">
        <f t="shared" si="4"/>
        <v>24035</v>
      </c>
      <c r="N19" s="266">
        <f t="shared" si="4"/>
        <v>31517</v>
      </c>
      <c r="O19" s="266">
        <f t="shared" si="4"/>
        <v>22479</v>
      </c>
      <c r="P19" s="266">
        <f>SUM(P10:P18)</f>
        <v>291967</v>
      </c>
      <c r="Q19" s="571">
        <f>+'Bev.intézményenként'!L28</f>
        <v>291967</v>
      </c>
      <c r="R19" s="533">
        <f t="shared" si="2"/>
        <v>0</v>
      </c>
    </row>
    <row r="20" spans="1:18" ht="13.5" thickBot="1">
      <c r="A20" t="s">
        <v>32</v>
      </c>
      <c r="B20" s="250" t="s">
        <v>31</v>
      </c>
      <c r="C20" s="712"/>
      <c r="D20" s="713"/>
      <c r="E20" s="713"/>
      <c r="F20" s="713"/>
      <c r="G20" s="713"/>
      <c r="H20" s="713"/>
      <c r="I20" s="713"/>
      <c r="J20" s="713"/>
      <c r="K20" s="713"/>
      <c r="L20" s="713"/>
      <c r="M20" s="713"/>
      <c r="N20" s="713"/>
      <c r="O20" s="713"/>
      <c r="P20" s="715"/>
      <c r="R20" s="85">
        <f t="shared" si="2"/>
        <v>0</v>
      </c>
    </row>
    <row r="21" spans="1:20" ht="12.75">
      <c r="A21" t="s">
        <v>33</v>
      </c>
      <c r="B21" s="268" t="s">
        <v>32</v>
      </c>
      <c r="C21" s="269" t="s">
        <v>215</v>
      </c>
      <c r="D21" s="262">
        <f>8423+75</f>
        <v>8498</v>
      </c>
      <c r="E21" s="262">
        <f>+D21+350+130+420+1</f>
        <v>9399</v>
      </c>
      <c r="F21" s="262">
        <f>7879+1051+130+420</f>
        <v>9480</v>
      </c>
      <c r="G21" s="262">
        <f>7136+130+420+600</f>
        <v>8286</v>
      </c>
      <c r="H21" s="262">
        <v>8423</v>
      </c>
      <c r="I21" s="262">
        <f>+H21+121</f>
        <v>8544</v>
      </c>
      <c r="J21" s="262">
        <v>9786</v>
      </c>
      <c r="K21" s="262">
        <f>+J21+453</f>
        <v>10239</v>
      </c>
      <c r="L21" s="262">
        <f>+G21+453</f>
        <v>8739</v>
      </c>
      <c r="M21" s="262">
        <f>+G21+4971-5279+453+695</f>
        <v>9126</v>
      </c>
      <c r="N21" s="262">
        <f>8876+225+253+671</f>
        <v>10025</v>
      </c>
      <c r="O21" s="262">
        <v>8879</v>
      </c>
      <c r="P21" s="270">
        <f>SUM(D21:O21)</f>
        <v>109424</v>
      </c>
      <c r="Q21" s="85">
        <f>+'Kiad.intézményenként'!D31</f>
        <v>109424</v>
      </c>
      <c r="R21" s="85">
        <f t="shared" si="2"/>
        <v>0</v>
      </c>
      <c r="S21">
        <f>+R21/5</f>
        <v>0</v>
      </c>
      <c r="T21" s="85">
        <f>+Q21-P21</f>
        <v>0</v>
      </c>
    </row>
    <row r="22" spans="1:20" ht="12.75">
      <c r="A22" t="s">
        <v>34</v>
      </c>
      <c r="B22" s="257" t="s">
        <v>33</v>
      </c>
      <c r="C22" s="263" t="s">
        <v>323</v>
      </c>
      <c r="D22" s="259">
        <f>2251+21</f>
        <v>2272</v>
      </c>
      <c r="E22" s="259">
        <f>+D22+100-1</f>
        <v>2371</v>
      </c>
      <c r="F22" s="259">
        <f>2140+32+100</f>
        <v>2272</v>
      </c>
      <c r="G22" s="259">
        <f>+F22+186</f>
        <v>2458</v>
      </c>
      <c r="H22" s="259">
        <v>2272</v>
      </c>
      <c r="I22" s="259">
        <f>+H22+33</f>
        <v>2305</v>
      </c>
      <c r="J22" s="259">
        <v>2272</v>
      </c>
      <c r="K22" s="259">
        <f>+J22+127</f>
        <v>2399</v>
      </c>
      <c r="L22" s="259">
        <f>+K22</f>
        <v>2399</v>
      </c>
      <c r="M22" s="259">
        <f>+L22+791+188</f>
        <v>3378</v>
      </c>
      <c r="N22" s="259">
        <f>2399+61+68</f>
        <v>2528</v>
      </c>
      <c r="O22" s="259">
        <v>2211</v>
      </c>
      <c r="P22" s="270">
        <f aca="true" t="shared" si="5" ref="P22:P30">SUM(D22:O22)</f>
        <v>29137</v>
      </c>
      <c r="Q22" s="85">
        <f>+'Kiad.intézményenként'!E31</f>
        <v>29137</v>
      </c>
      <c r="R22" s="85">
        <f t="shared" si="2"/>
        <v>0</v>
      </c>
      <c r="S22">
        <f>+R22/5</f>
        <v>0</v>
      </c>
      <c r="T22" s="85">
        <f>+Q22-P22</f>
        <v>0</v>
      </c>
    </row>
    <row r="23" spans="1:18" ht="12.75">
      <c r="A23" t="s">
        <v>35</v>
      </c>
      <c r="B23" s="257" t="s">
        <v>34</v>
      </c>
      <c r="C23" s="258" t="s">
        <v>251</v>
      </c>
      <c r="D23" s="259">
        <f>2945+2500</f>
        <v>5445</v>
      </c>
      <c r="E23" s="259">
        <f>+D23+604</f>
        <v>6049</v>
      </c>
      <c r="F23" s="259">
        <v>2945</v>
      </c>
      <c r="G23" s="259">
        <f>+F23+187+91-1050</f>
        <v>2173</v>
      </c>
      <c r="H23" s="259">
        <v>1945</v>
      </c>
      <c r="I23" s="259">
        <f>+H23</f>
        <v>1945</v>
      </c>
      <c r="J23" s="259">
        <f>+I23</f>
        <v>1945</v>
      </c>
      <c r="K23" s="259">
        <f>+J23</f>
        <v>1945</v>
      </c>
      <c r="L23" s="259">
        <f>+K23</f>
        <v>1945</v>
      </c>
      <c r="M23" s="259">
        <f>+L23+151</f>
        <v>2096</v>
      </c>
      <c r="N23" s="259">
        <f>1945+2500-282</f>
        <v>4163</v>
      </c>
      <c r="O23" s="259">
        <v>1949</v>
      </c>
      <c r="P23" s="270">
        <f t="shared" si="5"/>
        <v>34545</v>
      </c>
      <c r="Q23" s="85">
        <f>+'Kiad.intézményenként'!F31</f>
        <v>34545</v>
      </c>
      <c r="R23" s="85">
        <f t="shared" si="2"/>
        <v>0</v>
      </c>
    </row>
    <row r="24" spans="1:18" ht="12.75">
      <c r="A24" t="s">
        <v>36</v>
      </c>
      <c r="B24" s="257" t="s">
        <v>35</v>
      </c>
      <c r="C24" s="258" t="s">
        <v>324</v>
      </c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70">
        <f t="shared" si="5"/>
        <v>0</v>
      </c>
      <c r="R24" s="85">
        <f t="shared" si="2"/>
        <v>0</v>
      </c>
    </row>
    <row r="25" spans="1:18" ht="12.75">
      <c r="A25" t="s">
        <v>37</v>
      </c>
      <c r="B25" s="257" t="s">
        <v>36</v>
      </c>
      <c r="C25" s="258" t="s">
        <v>325</v>
      </c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70">
        <f t="shared" si="5"/>
        <v>0</v>
      </c>
      <c r="R25" s="85">
        <f t="shared" si="2"/>
        <v>0</v>
      </c>
    </row>
    <row r="26" spans="1:18" ht="12.75">
      <c r="A26" t="s">
        <v>40</v>
      </c>
      <c r="B26" s="257" t="s">
        <v>37</v>
      </c>
      <c r="C26" s="258" t="s">
        <v>326</v>
      </c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>
        <v>366</v>
      </c>
      <c r="O26" s="259"/>
      <c r="P26" s="270">
        <f t="shared" si="5"/>
        <v>366</v>
      </c>
      <c r="R26" s="85">
        <f t="shared" si="2"/>
        <v>-366</v>
      </c>
    </row>
    <row r="27" spans="1:18" ht="12.75">
      <c r="A27" t="s">
        <v>42</v>
      </c>
      <c r="B27" s="257" t="s">
        <v>40</v>
      </c>
      <c r="C27" s="263" t="s">
        <v>327</v>
      </c>
      <c r="D27" s="259">
        <v>9435</v>
      </c>
      <c r="E27" s="259">
        <f>+D27</f>
        <v>9435</v>
      </c>
      <c r="F27" s="259">
        <f aca="true" t="shared" si="6" ref="F27:N27">+E27</f>
        <v>9435</v>
      </c>
      <c r="G27" s="259">
        <f t="shared" si="6"/>
        <v>9435</v>
      </c>
      <c r="H27" s="259">
        <f t="shared" si="6"/>
        <v>9435</v>
      </c>
      <c r="I27" s="259">
        <f>+H27+270</f>
        <v>9705</v>
      </c>
      <c r="J27" s="259">
        <v>9435</v>
      </c>
      <c r="K27" s="259">
        <f t="shared" si="6"/>
        <v>9435</v>
      </c>
      <c r="L27" s="259">
        <f t="shared" si="6"/>
        <v>9435</v>
      </c>
      <c r="M27" s="259">
        <f t="shared" si="6"/>
        <v>9435</v>
      </c>
      <c r="N27" s="259">
        <f t="shared" si="6"/>
        <v>9435</v>
      </c>
      <c r="O27" s="259">
        <f>+N27-4+9</f>
        <v>9440</v>
      </c>
      <c r="P27" s="270">
        <f>SUM(D27:O27)</f>
        <v>113495</v>
      </c>
      <c r="Q27" s="85">
        <f>+'Kiad.intézményenként'!I31</f>
        <v>113495</v>
      </c>
      <c r="R27" s="85">
        <f t="shared" si="2"/>
        <v>0</v>
      </c>
    </row>
    <row r="28" spans="1:18" ht="12.75">
      <c r="A28" t="s">
        <v>43</v>
      </c>
      <c r="B28" s="257" t="s">
        <v>42</v>
      </c>
      <c r="C28" s="258" t="s">
        <v>328</v>
      </c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70">
        <f t="shared" si="5"/>
        <v>0</v>
      </c>
      <c r="R28" s="85">
        <f t="shared" si="2"/>
        <v>0</v>
      </c>
    </row>
    <row r="29" spans="1:18" ht="12.75">
      <c r="A29" t="s">
        <v>44</v>
      </c>
      <c r="B29" s="257" t="s">
        <v>43</v>
      </c>
      <c r="C29" s="258" t="s">
        <v>329</v>
      </c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70">
        <f t="shared" si="5"/>
        <v>0</v>
      </c>
      <c r="R29" s="85">
        <f t="shared" si="2"/>
        <v>0</v>
      </c>
    </row>
    <row r="30" spans="1:18" ht="12.75">
      <c r="A30" t="s">
        <v>45</v>
      </c>
      <c r="B30" s="257" t="s">
        <v>44</v>
      </c>
      <c r="C30" s="258" t="s">
        <v>330</v>
      </c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>
        <v>5000</v>
      </c>
      <c r="O30" s="259"/>
      <c r="P30" s="270">
        <f t="shared" si="5"/>
        <v>5000</v>
      </c>
      <c r="R30" s="85">
        <f t="shared" si="2"/>
        <v>-5000</v>
      </c>
    </row>
    <row r="31" spans="1:18" ht="13.5" thickBot="1">
      <c r="A31" t="s">
        <v>46</v>
      </c>
      <c r="B31" s="257" t="s">
        <v>45</v>
      </c>
      <c r="C31" s="258" t="s">
        <v>331</v>
      </c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70">
        <f>SUM(D31:O31)</f>
        <v>0</v>
      </c>
      <c r="R31" s="85">
        <f t="shared" si="2"/>
        <v>0</v>
      </c>
    </row>
    <row r="32" spans="1:18" ht="13.5" thickBot="1">
      <c r="A32" t="s">
        <v>47</v>
      </c>
      <c r="B32" s="271" t="s">
        <v>46</v>
      </c>
      <c r="C32" s="265" t="s">
        <v>332</v>
      </c>
      <c r="D32" s="266">
        <f>SUM(D21:D31)</f>
        <v>25650</v>
      </c>
      <c r="E32" s="266">
        <f aca="true" t="shared" si="7" ref="E32:O32">SUM(E21:E31)</f>
        <v>27254</v>
      </c>
      <c r="F32" s="266">
        <f t="shared" si="7"/>
        <v>24132</v>
      </c>
      <c r="G32" s="266">
        <f t="shared" si="7"/>
        <v>22352</v>
      </c>
      <c r="H32" s="266">
        <f t="shared" si="7"/>
        <v>22075</v>
      </c>
      <c r="I32" s="266">
        <f t="shared" si="7"/>
        <v>22499</v>
      </c>
      <c r="J32" s="266">
        <f t="shared" si="7"/>
        <v>23438</v>
      </c>
      <c r="K32" s="266">
        <f t="shared" si="7"/>
        <v>24018</v>
      </c>
      <c r="L32" s="266">
        <f t="shared" si="7"/>
        <v>22518</v>
      </c>
      <c r="M32" s="266">
        <f t="shared" si="7"/>
        <v>24035</v>
      </c>
      <c r="N32" s="266">
        <f t="shared" si="7"/>
        <v>31517</v>
      </c>
      <c r="O32" s="266">
        <f t="shared" si="7"/>
        <v>22479</v>
      </c>
      <c r="P32" s="266">
        <f>SUM(P21:P31)</f>
        <v>291967</v>
      </c>
      <c r="Q32" s="541">
        <f>+'Kiad.intézményenként'!M31</f>
        <v>291967</v>
      </c>
      <c r="R32" s="85">
        <f t="shared" si="2"/>
        <v>0</v>
      </c>
    </row>
    <row r="33" spans="1:18" ht="13.5" thickBot="1">
      <c r="A33" t="s">
        <v>48</v>
      </c>
      <c r="B33" s="271" t="s">
        <v>47</v>
      </c>
      <c r="C33" s="273" t="s">
        <v>333</v>
      </c>
      <c r="D33" s="274">
        <f>+D19-D32</f>
        <v>0</v>
      </c>
      <c r="E33" s="274">
        <f aca="true" t="shared" si="8" ref="E33:P33">+E19-E32</f>
        <v>0</v>
      </c>
      <c r="F33" s="274">
        <f t="shared" si="8"/>
        <v>0</v>
      </c>
      <c r="G33" s="274">
        <f t="shared" si="8"/>
        <v>0</v>
      </c>
      <c r="H33" s="274">
        <f t="shared" si="8"/>
        <v>0</v>
      </c>
      <c r="I33" s="274">
        <f t="shared" si="8"/>
        <v>0</v>
      </c>
      <c r="J33" s="274">
        <f t="shared" si="8"/>
        <v>0</v>
      </c>
      <c r="K33" s="274">
        <f t="shared" si="8"/>
        <v>0</v>
      </c>
      <c r="L33" s="274">
        <f t="shared" si="8"/>
        <v>0</v>
      </c>
      <c r="M33" s="274">
        <f t="shared" si="8"/>
        <v>0</v>
      </c>
      <c r="N33" s="274">
        <f t="shared" si="8"/>
        <v>0</v>
      </c>
      <c r="O33" s="274">
        <f t="shared" si="8"/>
        <v>0</v>
      </c>
      <c r="P33" s="274">
        <f t="shared" si="8"/>
        <v>0</v>
      </c>
      <c r="R33" s="85">
        <f t="shared" si="2"/>
        <v>0</v>
      </c>
    </row>
    <row r="34" spans="2:16" ht="15.75">
      <c r="B34" s="27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335">
        <f>+P32-P19</f>
        <v>0</v>
      </c>
    </row>
    <row r="35" spans="2:16" ht="15.75">
      <c r="B35" s="244"/>
      <c r="C35" s="276"/>
      <c r="D35" s="277"/>
      <c r="E35" s="277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4"/>
    </row>
  </sheetData>
  <sheetProtection/>
  <mergeCells count="6">
    <mergeCell ref="C9:P9"/>
    <mergeCell ref="C20:P20"/>
    <mergeCell ref="O1:P1"/>
    <mergeCell ref="B2:P2"/>
    <mergeCell ref="B3:P3"/>
    <mergeCell ref="B5:P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  <headerFooter alignWithMargins="0">
    <oddHeader>&amp;L17. melléklet a 2014. évi 15/2014.(XI.27.) Önkormányzati költségvetési rendelethez&amp;R&amp;D</oddHead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SheetLayoutView="100" zoomScalePageLayoutView="0" workbookViewId="0" topLeftCell="A1">
      <selection activeCell="H22" sqref="H22"/>
    </sheetView>
  </sheetViews>
  <sheetFormatPr defaultColWidth="9.140625" defaultRowHeight="12.75"/>
  <cols>
    <col min="1" max="1" width="5.28125" style="87" customWidth="1"/>
    <col min="2" max="2" width="5.00390625" style="37" customWidth="1"/>
    <col min="3" max="3" width="50.421875" style="37" customWidth="1"/>
    <col min="4" max="4" width="10.8515625" style="37" hidden="1" customWidth="1"/>
    <col min="5" max="5" width="10.8515625" style="37" bestFit="1" customWidth="1"/>
    <col min="6" max="6" width="14.57421875" style="37" customWidth="1"/>
    <col min="7" max="8" width="10.140625" style="37" bestFit="1" customWidth="1"/>
    <col min="9" max="16384" width="9.140625" style="37" customWidth="1"/>
  </cols>
  <sheetData>
    <row r="1" spans="1:6" ht="15.75">
      <c r="A1" s="487" t="s">
        <v>266</v>
      </c>
      <c r="B1" s="41"/>
      <c r="C1" s="41"/>
      <c r="D1" s="353" t="s">
        <v>419</v>
      </c>
      <c r="E1" s="39" t="s">
        <v>377</v>
      </c>
      <c r="F1" s="39" t="s">
        <v>377</v>
      </c>
    </row>
    <row r="2" spans="2:6" ht="15.75">
      <c r="B2" s="38"/>
      <c r="C2" s="38" t="s">
        <v>125</v>
      </c>
      <c r="D2" s="353" t="s">
        <v>68</v>
      </c>
      <c r="E2" s="39" t="s">
        <v>68</v>
      </c>
      <c r="F2" s="39" t="s">
        <v>473</v>
      </c>
    </row>
    <row r="3" spans="1:6" s="1" customFormat="1" ht="15.75">
      <c r="A3" s="10" t="s">
        <v>11</v>
      </c>
      <c r="B3" s="38" t="s">
        <v>12</v>
      </c>
      <c r="C3" s="41" t="s">
        <v>13</v>
      </c>
      <c r="E3" s="7" t="s">
        <v>14</v>
      </c>
      <c r="F3" s="7" t="s">
        <v>379</v>
      </c>
    </row>
    <row r="4" spans="2:4" ht="15.75">
      <c r="B4" s="38"/>
      <c r="C4" s="36"/>
      <c r="D4" s="36"/>
    </row>
    <row r="5" spans="1:6" ht="15.75">
      <c r="A5" s="87" t="s">
        <v>20</v>
      </c>
      <c r="B5" s="38"/>
      <c r="C5" s="38" t="s">
        <v>269</v>
      </c>
      <c r="D5" s="88">
        <f>SUM(D7:D12)</f>
        <v>535990</v>
      </c>
      <c r="E5" s="88">
        <f>SUM(E7:E12)</f>
        <v>514345</v>
      </c>
      <c r="F5" s="88">
        <f>SUM(F7:F12)</f>
        <v>846827</v>
      </c>
    </row>
    <row r="6" spans="2:4" ht="15.75">
      <c r="B6" s="38"/>
      <c r="C6" s="36"/>
      <c r="D6" s="36"/>
    </row>
    <row r="7" spans="1:6" ht="24.75" customHeight="1">
      <c r="A7" s="87" t="s">
        <v>21</v>
      </c>
      <c r="B7" s="38" t="s">
        <v>126</v>
      </c>
      <c r="C7" s="36" t="s">
        <v>41</v>
      </c>
      <c r="D7" s="36">
        <v>70809</v>
      </c>
      <c r="E7" s="10">
        <f>+'Kiad.intézményenként'!G21</f>
        <v>18936</v>
      </c>
      <c r="F7" s="10">
        <f>+'Kiad.intézményenként'!G22</f>
        <v>279516</v>
      </c>
    </row>
    <row r="8" spans="1:6" ht="24.75" customHeight="1">
      <c r="A8" s="87" t="s">
        <v>22</v>
      </c>
      <c r="B8" s="38" t="s">
        <v>133</v>
      </c>
      <c r="C8" s="36" t="s">
        <v>338</v>
      </c>
      <c r="D8" s="36">
        <v>145321</v>
      </c>
      <c r="E8" s="10">
        <f>+'Kiad.intézményenként'!G30</f>
        <v>167707</v>
      </c>
      <c r="F8" s="10">
        <f>+'Kiad.intézményenként'!G31</f>
        <v>173106</v>
      </c>
    </row>
    <row r="9" spans="1:6" ht="24.75" customHeight="1">
      <c r="A9" s="87" t="s">
        <v>23</v>
      </c>
      <c r="B9" s="38" t="s">
        <v>131</v>
      </c>
      <c r="C9" s="89" t="s">
        <v>134</v>
      </c>
      <c r="D9" s="89">
        <v>119002</v>
      </c>
      <c r="E9" s="10">
        <f>+'Kiad.intézményenként'!G11</f>
        <v>126268</v>
      </c>
      <c r="F9" s="14">
        <f>+'Kiad.intézményenként'!G12</f>
        <v>140994</v>
      </c>
    </row>
    <row r="10" spans="1:6" ht="24.75" customHeight="1">
      <c r="A10" s="87" t="s">
        <v>24</v>
      </c>
      <c r="B10" s="38" t="s">
        <v>132</v>
      </c>
      <c r="C10" s="36" t="str">
        <f>'[1]2mell_2'!A110</f>
        <v>Városellátó Szervezet</v>
      </c>
      <c r="D10" s="36">
        <v>182110</v>
      </c>
      <c r="E10" s="10">
        <f>+'Kiad.intézményenként'!G6</f>
        <v>179916</v>
      </c>
      <c r="F10" s="10">
        <f>+'Kiad.intézményenként'!G7</f>
        <v>226283</v>
      </c>
    </row>
    <row r="11" spans="1:6" ht="24.75" customHeight="1">
      <c r="A11" s="87" t="s">
        <v>25</v>
      </c>
      <c r="B11" s="38" t="s">
        <v>135</v>
      </c>
      <c r="C11" s="89" t="str">
        <f>+'[2]kiadás'!B24</f>
        <v>Városi Művelődési Központ és Könyvtár</v>
      </c>
      <c r="D11" s="89">
        <v>18748</v>
      </c>
      <c r="E11" s="10">
        <f>+'Kiad.intézményenként'!G16</f>
        <v>21518</v>
      </c>
      <c r="F11" s="10">
        <f>+'Kiad.intézményenként'!G17</f>
        <v>26928</v>
      </c>
    </row>
    <row r="12" ht="24.75" customHeight="1"/>
    <row r="13" spans="1:6" ht="24.75" customHeight="1">
      <c r="A13" s="87" t="s">
        <v>26</v>
      </c>
      <c r="B13" s="38" t="s">
        <v>136</v>
      </c>
      <c r="C13" s="38" t="s">
        <v>140</v>
      </c>
      <c r="D13" s="88">
        <f>SUM(D14:D15)</f>
        <v>184300</v>
      </c>
      <c r="E13" s="88">
        <f>SUM(E14:E15)</f>
        <v>118339</v>
      </c>
      <c r="F13" s="88">
        <f>SUM(F14:F15)</f>
        <v>128655</v>
      </c>
    </row>
    <row r="14" spans="1:6" ht="24.75" customHeight="1">
      <c r="A14" s="87" t="s">
        <v>27</v>
      </c>
      <c r="B14" s="38"/>
      <c r="C14" s="36" t="s">
        <v>141</v>
      </c>
      <c r="D14" s="36">
        <v>37474</v>
      </c>
      <c r="E14" s="44">
        <f>+'Társ.és szoc.pol.támog.'!F31</f>
        <v>23786.5</v>
      </c>
      <c r="F14" s="44">
        <f>+'Társ.és szoc.pol.támog.'!F31</f>
        <v>23786.5</v>
      </c>
    </row>
    <row r="15" spans="1:6" ht="24.75" customHeight="1">
      <c r="A15" s="87" t="s">
        <v>28</v>
      </c>
      <c r="B15" s="38"/>
      <c r="C15" s="36" t="s">
        <v>142</v>
      </c>
      <c r="D15" s="36">
        <v>146826</v>
      </c>
      <c r="E15" s="44">
        <f>+'Társ.és szoc.pol.támog.'!G31</f>
        <v>94552.5</v>
      </c>
      <c r="F15" s="44">
        <f>+'Társ.és szoc.pol.támog.'!G31+'Társ.és szoc.pol.támog.'!K25+'Társ.és szoc.pol.támog.'!L27+'Társ.és szoc.pol.támog.'!L28</f>
        <v>104868.5</v>
      </c>
    </row>
    <row r="16" spans="2:4" ht="24.75" customHeight="1">
      <c r="B16" s="38"/>
      <c r="C16" s="36"/>
      <c r="D16" s="36"/>
    </row>
    <row r="17" spans="1:6" ht="24.75" customHeight="1">
      <c r="A17" s="87" t="s">
        <v>29</v>
      </c>
      <c r="B17" s="38" t="s">
        <v>137</v>
      </c>
      <c r="C17" s="38" t="s">
        <v>143</v>
      </c>
      <c r="D17" s="38">
        <v>18550</v>
      </c>
      <c r="E17" s="14">
        <f>+Átadott!C42</f>
        <v>26169</v>
      </c>
      <c r="F17" s="14">
        <f>+Átadott!D42</f>
        <v>62085</v>
      </c>
    </row>
    <row r="18" spans="2:4" ht="24.75" customHeight="1">
      <c r="B18" s="38"/>
      <c r="C18" s="38"/>
      <c r="D18" s="38"/>
    </row>
    <row r="19" spans="1:6" ht="24.75" customHeight="1">
      <c r="A19" s="87" t="s">
        <v>30</v>
      </c>
      <c r="B19" s="38" t="s">
        <v>138</v>
      </c>
      <c r="C19" s="38" t="s">
        <v>144</v>
      </c>
      <c r="D19" s="38">
        <v>3000</v>
      </c>
      <c r="E19" s="14">
        <f>+Átadott!C45</f>
        <v>3000</v>
      </c>
      <c r="F19" s="14">
        <f>+Átadott!D44</f>
        <v>4000</v>
      </c>
    </row>
    <row r="20" spans="2:4" ht="24.75" customHeight="1">
      <c r="B20" s="38"/>
      <c r="C20" s="36"/>
      <c r="D20" s="36"/>
    </row>
    <row r="21" spans="1:6" ht="24.75" customHeight="1">
      <c r="A21" s="87" t="s">
        <v>31</v>
      </c>
      <c r="B21" s="38" t="s">
        <v>139</v>
      </c>
      <c r="C21" s="38" t="s">
        <v>145</v>
      </c>
      <c r="D21" s="88">
        <f>SUM(D22:D23)</f>
        <v>0</v>
      </c>
      <c r="E21" s="88">
        <f>SUM(E22:E23)</f>
        <v>35878</v>
      </c>
      <c r="F21" s="88">
        <f>SUM(F22:F23)</f>
        <v>98654</v>
      </c>
    </row>
    <row r="22" spans="1:6" ht="24.75" customHeight="1">
      <c r="A22" s="87" t="s">
        <v>32</v>
      </c>
      <c r="B22" s="38"/>
      <c r="C22" s="36" t="s">
        <v>146</v>
      </c>
      <c r="D22" s="36">
        <v>0</v>
      </c>
      <c r="E22" s="42">
        <f>+'Felhalm.kiad.'!C22</f>
        <v>22241</v>
      </c>
      <c r="F22" s="42">
        <f>+'Felhalm.kiad.'!D22</f>
        <v>80434</v>
      </c>
    </row>
    <row r="23" spans="1:6" ht="24.75" customHeight="1">
      <c r="A23" s="87" t="s">
        <v>33</v>
      </c>
      <c r="B23" s="38"/>
      <c r="C23" s="36" t="s">
        <v>147</v>
      </c>
      <c r="D23" s="36">
        <v>0</v>
      </c>
      <c r="E23" s="37">
        <f>+'Felhalm.kiad.'!C28</f>
        <v>13637</v>
      </c>
      <c r="F23" s="37">
        <f>+'Felhalm.kiad.'!D28</f>
        <v>18220</v>
      </c>
    </row>
    <row r="24" spans="2:4" ht="15.75">
      <c r="B24" s="38"/>
      <c r="C24" s="36"/>
      <c r="D24" s="36"/>
    </row>
    <row r="25" spans="1:6" ht="15.75">
      <c r="A25" s="87" t="s">
        <v>34</v>
      </c>
      <c r="B25" s="38" t="s">
        <v>416</v>
      </c>
      <c r="C25" s="38" t="s">
        <v>417</v>
      </c>
      <c r="D25" s="38">
        <f>SUM(D26:D27)</f>
        <v>17322</v>
      </c>
      <c r="E25" s="38">
        <f>SUM(E26:E27)</f>
        <v>0</v>
      </c>
      <c r="F25" s="38">
        <f>SUM(F26:F27)</f>
        <v>232405</v>
      </c>
    </row>
    <row r="26" spans="2:6" ht="15.75">
      <c r="B26" s="38"/>
      <c r="C26" s="36" t="s">
        <v>418</v>
      </c>
      <c r="D26" s="36">
        <v>1050</v>
      </c>
      <c r="F26" s="37">
        <v>70000</v>
      </c>
    </row>
    <row r="27" spans="2:6" ht="15.75">
      <c r="B27" s="38"/>
      <c r="C27" s="36" t="s">
        <v>556</v>
      </c>
      <c r="D27" s="36">
        <v>16272</v>
      </c>
      <c r="F27" s="37">
        <v>162405</v>
      </c>
    </row>
    <row r="28" spans="2:4" ht="15.75">
      <c r="B28" s="38"/>
      <c r="C28" s="36"/>
      <c r="D28" s="36"/>
    </row>
    <row r="29" spans="2:4" ht="15.75">
      <c r="B29" s="38"/>
      <c r="C29" s="36"/>
      <c r="D29" s="36"/>
    </row>
    <row r="30" spans="1:6" s="1" customFormat="1" ht="24.75" customHeight="1">
      <c r="A30" s="87" t="s">
        <v>34</v>
      </c>
      <c r="C30" s="38" t="s">
        <v>148</v>
      </c>
      <c r="D30" s="11">
        <f>+D21+D19+D17+D13+D5+D25</f>
        <v>759162</v>
      </c>
      <c r="E30" s="11">
        <f>+E21+E19+E17+E13+E5+E25</f>
        <v>697731</v>
      </c>
      <c r="F30" s="11">
        <f>+F21+F19+F17+F13+F5+F25</f>
        <v>1372626</v>
      </c>
    </row>
    <row r="31" ht="24.75" customHeight="1"/>
    <row r="32" spans="1:6" ht="24.75" customHeight="1">
      <c r="A32" s="87" t="s">
        <v>35</v>
      </c>
      <c r="B32" s="38"/>
      <c r="C32" s="38" t="s">
        <v>38</v>
      </c>
      <c r="D32" s="44"/>
      <c r="E32" s="44">
        <f>+E30</f>
        <v>697731</v>
      </c>
      <c r="F32" s="44">
        <f>+F30</f>
        <v>1372626</v>
      </c>
    </row>
    <row r="33" spans="1:6" ht="24.75" customHeight="1">
      <c r="A33" s="87" t="s">
        <v>36</v>
      </c>
      <c r="B33" s="38"/>
      <c r="C33" s="36" t="s">
        <v>149</v>
      </c>
      <c r="D33" s="36"/>
      <c r="E33" s="42">
        <f>+Bevétel!E114</f>
        <v>697731</v>
      </c>
      <c r="F33" s="42">
        <f>+Bevétel!F114</f>
        <v>1372626</v>
      </c>
    </row>
    <row r="35" spans="5:6" ht="15">
      <c r="E35" s="236">
        <f>+E33-E32</f>
        <v>0</v>
      </c>
      <c r="F35" s="236">
        <f>+F33-F32</f>
        <v>0</v>
      </c>
    </row>
    <row r="37" spans="5:6" ht="15">
      <c r="E37" s="236" t="s">
        <v>440</v>
      </c>
      <c r="F37" s="23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&amp;L2. melléklet a 2014. évi 15/2014.(XI.27.) Önkormányzati költségvetési rendelethez&amp;R&amp;D</oddHeader>
    <oddFooter>&amp;R&amp;F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P16" sqref="P16"/>
    </sheetView>
  </sheetViews>
  <sheetFormatPr defaultColWidth="9.140625" defaultRowHeight="12.75"/>
  <cols>
    <col min="1" max="1" width="5.57421875" style="0" customWidth="1"/>
    <col min="2" max="2" width="4.8515625" style="0" bestFit="1" customWidth="1"/>
    <col min="3" max="3" width="35.57421875" style="0" customWidth="1"/>
  </cols>
  <sheetData>
    <row r="1" spans="15:16" ht="12.75">
      <c r="O1" s="716"/>
      <c r="P1" s="716"/>
    </row>
    <row r="2" spans="2:16" ht="15.75">
      <c r="B2" s="717" t="s">
        <v>357</v>
      </c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</row>
    <row r="3" spans="2:16" ht="15.75">
      <c r="B3" s="717" t="s">
        <v>422</v>
      </c>
      <c r="C3" s="717"/>
      <c r="D3" s="717"/>
      <c r="E3" s="717"/>
      <c r="F3" s="717"/>
      <c r="G3" s="717"/>
      <c r="H3" s="717"/>
      <c r="I3" s="717"/>
      <c r="J3" s="717"/>
      <c r="K3" s="717"/>
      <c r="L3" s="717"/>
      <c r="M3" s="717"/>
      <c r="N3" s="717"/>
      <c r="O3" s="717"/>
      <c r="P3" s="717"/>
    </row>
    <row r="4" spans="2:16" ht="15.75"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6" t="s">
        <v>299</v>
      </c>
    </row>
    <row r="5" spans="1:16" ht="16.5" thickBot="1">
      <c r="A5" t="s">
        <v>11</v>
      </c>
      <c r="B5" s="347" t="s">
        <v>12</v>
      </c>
      <c r="C5" s="348" t="s">
        <v>13</v>
      </c>
      <c r="D5" s="348" t="s">
        <v>14</v>
      </c>
      <c r="E5" s="348" t="s">
        <v>15</v>
      </c>
      <c r="F5" s="348" t="s">
        <v>16</v>
      </c>
      <c r="G5" s="348" t="s">
        <v>17</v>
      </c>
      <c r="H5" s="348" t="s">
        <v>18</v>
      </c>
      <c r="I5" s="348" t="s">
        <v>63</v>
      </c>
      <c r="J5" s="348" t="s">
        <v>367</v>
      </c>
      <c r="K5" s="348" t="s">
        <v>361</v>
      </c>
      <c r="L5" s="348" t="s">
        <v>362</v>
      </c>
      <c r="M5" s="348" t="s">
        <v>364</v>
      </c>
      <c r="N5" s="348" t="s">
        <v>368</v>
      </c>
      <c r="O5" s="348" t="s">
        <v>369</v>
      </c>
      <c r="P5" s="348" t="s">
        <v>370</v>
      </c>
    </row>
    <row r="6" spans="1:16" ht="24.75" thickBot="1">
      <c r="A6" t="s">
        <v>20</v>
      </c>
      <c r="B6" s="247" t="s">
        <v>300</v>
      </c>
      <c r="C6" s="248" t="s">
        <v>67</v>
      </c>
      <c r="D6" s="248" t="s">
        <v>301</v>
      </c>
      <c r="E6" s="248" t="s">
        <v>302</v>
      </c>
      <c r="F6" s="248" t="s">
        <v>303</v>
      </c>
      <c r="G6" s="248" t="s">
        <v>304</v>
      </c>
      <c r="H6" s="248" t="s">
        <v>305</v>
      </c>
      <c r="I6" s="248" t="s">
        <v>306</v>
      </c>
      <c r="J6" s="248" t="s">
        <v>307</v>
      </c>
      <c r="K6" s="248" t="s">
        <v>308</v>
      </c>
      <c r="L6" s="248" t="s">
        <v>309</v>
      </c>
      <c r="M6" s="248" t="s">
        <v>310</v>
      </c>
      <c r="N6" s="248" t="s">
        <v>311</v>
      </c>
      <c r="O6" s="248" t="s">
        <v>312</v>
      </c>
      <c r="P6" s="249" t="s">
        <v>313</v>
      </c>
    </row>
    <row r="7" spans="1:16" ht="13.5" thickBot="1">
      <c r="A7" t="s">
        <v>21</v>
      </c>
      <c r="B7" s="250" t="s">
        <v>20</v>
      </c>
      <c r="C7" s="712" t="s">
        <v>97</v>
      </c>
      <c r="D7" s="713"/>
      <c r="E7" s="713"/>
      <c r="F7" s="713"/>
      <c r="G7" s="713"/>
      <c r="H7" s="713"/>
      <c r="I7" s="713"/>
      <c r="J7" s="713"/>
      <c r="K7" s="713"/>
      <c r="L7" s="713"/>
      <c r="M7" s="713"/>
      <c r="N7" s="713"/>
      <c r="O7" s="713"/>
      <c r="P7" s="714"/>
    </row>
    <row r="8" spans="1:16" ht="12.75">
      <c r="A8" t="s">
        <v>22</v>
      </c>
      <c r="B8" s="253" t="s">
        <v>21</v>
      </c>
      <c r="C8" s="254" t="s">
        <v>314</v>
      </c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6">
        <f>SUM(D8:O8)</f>
        <v>0</v>
      </c>
    </row>
    <row r="9" spans="1:17" ht="12.75">
      <c r="A9" t="s">
        <v>23</v>
      </c>
      <c r="B9" s="257" t="s">
        <v>22</v>
      </c>
      <c r="C9" s="258" t="s">
        <v>315</v>
      </c>
      <c r="D9" s="259">
        <v>7147</v>
      </c>
      <c r="E9" s="259">
        <f>+D9</f>
        <v>7147</v>
      </c>
      <c r="F9" s="259">
        <f aca="true" t="shared" si="0" ref="F9:K9">+E9</f>
        <v>7147</v>
      </c>
      <c r="G9" s="259">
        <f t="shared" si="0"/>
        <v>7147</v>
      </c>
      <c r="H9" s="259">
        <f t="shared" si="0"/>
        <v>7147</v>
      </c>
      <c r="I9" s="259">
        <f t="shared" si="0"/>
        <v>7147</v>
      </c>
      <c r="J9" s="259">
        <f t="shared" si="0"/>
        <v>7147</v>
      </c>
      <c r="K9" s="259">
        <f t="shared" si="0"/>
        <v>7147</v>
      </c>
      <c r="L9" s="259">
        <v>14322</v>
      </c>
      <c r="M9" s="259">
        <v>7147</v>
      </c>
      <c r="N9" s="259">
        <v>7147</v>
      </c>
      <c r="O9" s="259">
        <f>+N9+4</f>
        <v>7151</v>
      </c>
      <c r="P9" s="260">
        <f>SUM(D9:O9)</f>
        <v>92943</v>
      </c>
      <c r="Q9">
        <f>+'Bev.intézményenként'!D8</f>
        <v>92943</v>
      </c>
    </row>
    <row r="10" spans="1:16" ht="12.75">
      <c r="A10" t="s">
        <v>24</v>
      </c>
      <c r="B10" s="257" t="s">
        <v>23</v>
      </c>
      <c r="C10" s="261" t="s">
        <v>316</v>
      </c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0">
        <f aca="true" t="shared" si="1" ref="P10:P16">SUM(D10:O10)</f>
        <v>0</v>
      </c>
    </row>
    <row r="11" spans="1:16" ht="12.75">
      <c r="A11" t="s">
        <v>25</v>
      </c>
      <c r="B11" s="257" t="s">
        <v>24</v>
      </c>
      <c r="C11" s="258" t="s">
        <v>317</v>
      </c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60">
        <f t="shared" si="1"/>
        <v>0</v>
      </c>
    </row>
    <row r="12" spans="1:16" ht="12.75">
      <c r="A12" t="s">
        <v>26</v>
      </c>
      <c r="B12" s="257" t="s">
        <v>25</v>
      </c>
      <c r="C12" s="258" t="s">
        <v>318</v>
      </c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60">
        <f t="shared" si="1"/>
        <v>0</v>
      </c>
    </row>
    <row r="13" spans="1:17" ht="12.75">
      <c r="A13" t="s">
        <v>27</v>
      </c>
      <c r="B13" s="257" t="s">
        <v>26</v>
      </c>
      <c r="C13" s="258" t="s">
        <v>319</v>
      </c>
      <c r="D13" s="259"/>
      <c r="E13" s="259"/>
      <c r="F13" s="259">
        <v>27490</v>
      </c>
      <c r="G13" s="259"/>
      <c r="H13" s="259"/>
      <c r="I13" s="259"/>
      <c r="J13" s="259"/>
      <c r="K13" s="259"/>
      <c r="L13" s="259"/>
      <c r="M13" s="259"/>
      <c r="N13" s="259">
        <v>653</v>
      </c>
      <c r="O13" s="259"/>
      <c r="P13" s="260">
        <f t="shared" si="1"/>
        <v>28143</v>
      </c>
      <c r="Q13">
        <f>+'Bev.intézményenként'!G8</f>
        <v>27490</v>
      </c>
    </row>
    <row r="14" spans="1:16" ht="12.75">
      <c r="A14" t="s">
        <v>28</v>
      </c>
      <c r="B14" s="257" t="s">
        <v>27</v>
      </c>
      <c r="C14" s="258" t="s">
        <v>320</v>
      </c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60">
        <f t="shared" si="1"/>
        <v>0</v>
      </c>
    </row>
    <row r="15" spans="1:17" ht="22.5">
      <c r="A15" t="s">
        <v>29</v>
      </c>
      <c r="B15" s="257" t="s">
        <v>28</v>
      </c>
      <c r="C15" s="263" t="s">
        <v>321</v>
      </c>
      <c r="D15" s="259"/>
      <c r="E15" s="259">
        <v>1355</v>
      </c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60">
        <f t="shared" si="1"/>
        <v>1355</v>
      </c>
      <c r="Q15">
        <f>+'Bev.intézményenként'!E8</f>
        <v>1355</v>
      </c>
    </row>
    <row r="16" spans="1:17" ht="13.5" thickBot="1">
      <c r="A16" t="s">
        <v>30</v>
      </c>
      <c r="B16" s="257" t="s">
        <v>29</v>
      </c>
      <c r="C16" s="258" t="s">
        <v>222</v>
      </c>
      <c r="D16" s="259">
        <f>+D30-D8-D9-D10-D11-D12-D13-D14</f>
        <v>17641</v>
      </c>
      <c r="E16" s="259">
        <f>+E30-E8-E9-E10-E11-E12-E13-E14-E15</f>
        <v>19787</v>
      </c>
      <c r="F16" s="259">
        <f aca="true" t="shared" si="2" ref="F16:O16">+F30-F8-F9-F10-F11-F12-F13-F14</f>
        <v>-6265</v>
      </c>
      <c r="G16" s="259">
        <f t="shared" si="2"/>
        <v>7846</v>
      </c>
      <c r="H16" s="259">
        <f t="shared" si="2"/>
        <v>8746</v>
      </c>
      <c r="I16" s="259">
        <f t="shared" si="2"/>
        <v>8788</v>
      </c>
      <c r="J16" s="259">
        <f t="shared" si="2"/>
        <v>7846</v>
      </c>
      <c r="K16" s="259">
        <f t="shared" si="2"/>
        <v>15335</v>
      </c>
      <c r="L16" s="259">
        <f t="shared" si="2"/>
        <v>985</v>
      </c>
      <c r="M16" s="259">
        <f t="shared" si="2"/>
        <v>8160</v>
      </c>
      <c r="N16" s="259">
        <f t="shared" si="2"/>
        <v>8668</v>
      </c>
      <c r="O16" s="259">
        <f t="shared" si="2"/>
        <v>8157</v>
      </c>
      <c r="P16" s="260">
        <f t="shared" si="1"/>
        <v>105694</v>
      </c>
      <c r="Q16" s="85">
        <f>+'Bev.intézményenként'!J8</f>
        <v>105694</v>
      </c>
    </row>
    <row r="17" spans="1:18" ht="13.5" thickBot="1">
      <c r="A17" t="s">
        <v>31</v>
      </c>
      <c r="B17" s="250" t="s">
        <v>30</v>
      </c>
      <c r="C17" s="265" t="s">
        <v>322</v>
      </c>
      <c r="D17" s="266">
        <f>SUM(D8:D16)</f>
        <v>24788</v>
      </c>
      <c r="E17" s="266">
        <f aca="true" t="shared" si="3" ref="E17:P17">SUM(E8:E16)</f>
        <v>28289</v>
      </c>
      <c r="F17" s="266">
        <f t="shared" si="3"/>
        <v>28372</v>
      </c>
      <c r="G17" s="266">
        <f t="shared" si="3"/>
        <v>14993</v>
      </c>
      <c r="H17" s="266">
        <f t="shared" si="3"/>
        <v>15893</v>
      </c>
      <c r="I17" s="266">
        <f t="shared" si="3"/>
        <v>15935</v>
      </c>
      <c r="J17" s="266">
        <f t="shared" si="3"/>
        <v>14993</v>
      </c>
      <c r="K17" s="266">
        <f t="shared" si="3"/>
        <v>22482</v>
      </c>
      <c r="L17" s="266">
        <f t="shared" si="3"/>
        <v>15307</v>
      </c>
      <c r="M17" s="266">
        <f t="shared" si="3"/>
        <v>15307</v>
      </c>
      <c r="N17" s="266">
        <f t="shared" si="3"/>
        <v>16468</v>
      </c>
      <c r="O17" s="266">
        <f t="shared" si="3"/>
        <v>15308</v>
      </c>
      <c r="P17" s="266">
        <f t="shared" si="3"/>
        <v>228135</v>
      </c>
      <c r="Q17" s="571">
        <f>+'Bev.intézményenként'!L8</f>
        <v>228135</v>
      </c>
      <c r="R17" s="158"/>
    </row>
    <row r="18" spans="1:16" ht="13.5" thickBot="1">
      <c r="A18" t="s">
        <v>32</v>
      </c>
      <c r="B18" s="250" t="s">
        <v>31</v>
      </c>
      <c r="C18" s="712" t="s">
        <v>125</v>
      </c>
      <c r="D18" s="713"/>
      <c r="E18" s="713"/>
      <c r="F18" s="713"/>
      <c r="G18" s="713"/>
      <c r="H18" s="713"/>
      <c r="I18" s="713"/>
      <c r="J18" s="713"/>
      <c r="K18" s="713"/>
      <c r="L18" s="713"/>
      <c r="M18" s="713"/>
      <c r="N18" s="713"/>
      <c r="O18" s="713"/>
      <c r="P18" s="715"/>
    </row>
    <row r="19" spans="1:20" ht="12.75">
      <c r="A19" t="s">
        <v>33</v>
      </c>
      <c r="B19" s="268" t="s">
        <v>32</v>
      </c>
      <c r="C19" s="269" t="s">
        <v>215</v>
      </c>
      <c r="D19" s="262">
        <f>3508+114</f>
        <v>3622</v>
      </c>
      <c r="E19" s="262">
        <f>+D19+1</f>
        <v>3623</v>
      </c>
      <c r="F19" s="262">
        <v>3508</v>
      </c>
      <c r="G19" s="262">
        <f aca="true" t="shared" si="4" ref="G19:M19">+F19</f>
        <v>3508</v>
      </c>
      <c r="H19" s="262">
        <f t="shared" si="4"/>
        <v>3508</v>
      </c>
      <c r="I19" s="262">
        <f>+H19+247</f>
        <v>3755</v>
      </c>
      <c r="J19" s="262">
        <v>3508</v>
      </c>
      <c r="K19" s="262">
        <f>+J19+247</f>
        <v>3755</v>
      </c>
      <c r="L19" s="262">
        <f t="shared" si="4"/>
        <v>3755</v>
      </c>
      <c r="M19" s="262">
        <f t="shared" si="4"/>
        <v>3755</v>
      </c>
      <c r="N19" s="262">
        <f>+M19+400+600</f>
        <v>4755</v>
      </c>
      <c r="O19" s="262">
        <v>3758</v>
      </c>
      <c r="P19" s="270">
        <f>SUM(D19:O19)</f>
        <v>44810</v>
      </c>
      <c r="Q19">
        <f>+'Kiad.intézményenként'!D7</f>
        <v>44810</v>
      </c>
      <c r="R19" s="85">
        <f>+Q19-P19</f>
        <v>0</v>
      </c>
      <c r="S19">
        <f>+R19/5</f>
        <v>0</v>
      </c>
      <c r="T19" s="85">
        <f>+Q19-P19</f>
        <v>0</v>
      </c>
    </row>
    <row r="20" spans="1:20" ht="24.75" customHeight="1">
      <c r="A20" t="s">
        <v>34</v>
      </c>
      <c r="B20" s="257" t="s">
        <v>33</v>
      </c>
      <c r="C20" s="263" t="s">
        <v>323</v>
      </c>
      <c r="D20" s="259">
        <f>948+31</f>
        <v>979</v>
      </c>
      <c r="E20" s="259">
        <f>+D20</f>
        <v>979</v>
      </c>
      <c r="F20" s="259">
        <v>948</v>
      </c>
      <c r="G20" s="259">
        <f aca="true" t="shared" si="5" ref="G20:M20">+F20</f>
        <v>948</v>
      </c>
      <c r="H20" s="259">
        <f t="shared" si="5"/>
        <v>948</v>
      </c>
      <c r="I20" s="259">
        <f>+H20+66</f>
        <v>1014</v>
      </c>
      <c r="J20" s="259">
        <v>948</v>
      </c>
      <c r="K20" s="259">
        <f>+J20+67</f>
        <v>1015</v>
      </c>
      <c r="L20" s="259">
        <f t="shared" si="5"/>
        <v>1015</v>
      </c>
      <c r="M20" s="259">
        <f t="shared" si="5"/>
        <v>1015</v>
      </c>
      <c r="N20" s="259">
        <f>+M20+108+53</f>
        <v>1176</v>
      </c>
      <c r="O20" s="259">
        <v>1014</v>
      </c>
      <c r="P20" s="270">
        <f>SUM(D20:O20)</f>
        <v>11999</v>
      </c>
      <c r="Q20" s="540">
        <f>+'Kiad.intézményenként'!E7</f>
        <v>11999</v>
      </c>
      <c r="R20" s="85">
        <f>+Q20-P20</f>
        <v>0</v>
      </c>
      <c r="S20">
        <f>+R20/5</f>
        <v>0</v>
      </c>
      <c r="T20" s="85">
        <f>+Q20-P20</f>
        <v>0</v>
      </c>
    </row>
    <row r="21" spans="1:18" ht="12.75">
      <c r="A21" t="s">
        <v>35</v>
      </c>
      <c r="B21" s="257" t="s">
        <v>34</v>
      </c>
      <c r="C21" s="258" t="s">
        <v>251</v>
      </c>
      <c r="D21" s="259">
        <f>10537+9650</f>
        <v>20187</v>
      </c>
      <c r="E21" s="259">
        <f>+D21+3500</f>
        <v>23687</v>
      </c>
      <c r="F21" s="259">
        <f>+E21+229</f>
        <v>23916</v>
      </c>
      <c r="G21" s="259">
        <v>10537</v>
      </c>
      <c r="H21" s="259">
        <f>+G21+900</f>
        <v>11437</v>
      </c>
      <c r="I21" s="259">
        <f>10537+110</f>
        <v>10647</v>
      </c>
      <c r="J21" s="259">
        <v>10537</v>
      </c>
      <c r="K21" s="259">
        <f>+J21+7175</f>
        <v>17712</v>
      </c>
      <c r="L21" s="259">
        <v>10537</v>
      </c>
      <c r="M21" s="259">
        <f>+L21</f>
        <v>10537</v>
      </c>
      <c r="N21" s="259">
        <f>+M21-1333</f>
        <v>9204</v>
      </c>
      <c r="O21" s="259">
        <v>10536</v>
      </c>
      <c r="P21" s="270">
        <f aca="true" t="shared" si="6" ref="P21:P28">SUM(D21:O21)</f>
        <v>169474</v>
      </c>
      <c r="Q21" s="85">
        <f>+'Kiad.intézményenként'!F7</f>
        <v>169474</v>
      </c>
      <c r="R21" s="85">
        <f>+Q21-P21</f>
        <v>0</v>
      </c>
    </row>
    <row r="22" spans="1:16" ht="12.75">
      <c r="A22" t="s">
        <v>36</v>
      </c>
      <c r="B22" s="257" t="s">
        <v>35</v>
      </c>
      <c r="C22" s="258" t="s">
        <v>324</v>
      </c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70">
        <f t="shared" si="6"/>
        <v>0</v>
      </c>
    </row>
    <row r="23" spans="1:16" ht="12.75">
      <c r="A23" t="s">
        <v>37</v>
      </c>
      <c r="B23" s="257" t="s">
        <v>36</v>
      </c>
      <c r="C23" s="258" t="s">
        <v>325</v>
      </c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70">
        <f t="shared" si="6"/>
        <v>0</v>
      </c>
    </row>
    <row r="24" spans="1:16" ht="12.75">
      <c r="A24" t="s">
        <v>40</v>
      </c>
      <c r="B24" s="257" t="s">
        <v>37</v>
      </c>
      <c r="C24" s="258" t="s">
        <v>326</v>
      </c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70">
        <f t="shared" si="6"/>
        <v>0</v>
      </c>
    </row>
    <row r="25" spans="1:16" ht="21" customHeight="1">
      <c r="A25" t="s">
        <v>42</v>
      </c>
      <c r="B25" s="257" t="s">
        <v>40</v>
      </c>
      <c r="C25" s="263" t="s">
        <v>327</v>
      </c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70">
        <f t="shared" si="6"/>
        <v>0</v>
      </c>
    </row>
    <row r="26" spans="1:16" ht="12.75">
      <c r="A26" t="s">
        <v>43</v>
      </c>
      <c r="B26" s="257" t="s">
        <v>42</v>
      </c>
      <c r="C26" s="258" t="s">
        <v>328</v>
      </c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70">
        <f t="shared" si="6"/>
        <v>0</v>
      </c>
    </row>
    <row r="27" spans="1:16" ht="12.75">
      <c r="A27" t="s">
        <v>44</v>
      </c>
      <c r="B27" s="257" t="s">
        <v>43</v>
      </c>
      <c r="C27" s="258" t="s">
        <v>329</v>
      </c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70">
        <f t="shared" si="6"/>
        <v>0</v>
      </c>
    </row>
    <row r="28" spans="1:17" ht="12.75">
      <c r="A28" t="s">
        <v>45</v>
      </c>
      <c r="B28" s="257" t="s">
        <v>44</v>
      </c>
      <c r="C28" s="258" t="s">
        <v>330</v>
      </c>
      <c r="D28" s="259"/>
      <c r="E28" s="259"/>
      <c r="F28" s="259"/>
      <c r="G28" s="259"/>
      <c r="H28" s="259"/>
      <c r="I28" s="259">
        <v>519</v>
      </c>
      <c r="J28" s="259"/>
      <c r="K28" s="259"/>
      <c r="L28" s="259"/>
      <c r="M28" s="259"/>
      <c r="N28" s="259">
        <f>1333</f>
        <v>1333</v>
      </c>
      <c r="O28" s="259"/>
      <c r="P28" s="270">
        <f t="shared" si="6"/>
        <v>1852</v>
      </c>
      <c r="Q28">
        <f>+'Kiad.intézményenként'!L7</f>
        <v>1852</v>
      </c>
    </row>
    <row r="29" spans="1:16" ht="13.5" thickBot="1">
      <c r="A29" t="s">
        <v>46</v>
      </c>
      <c r="B29" s="257" t="s">
        <v>45</v>
      </c>
      <c r="C29" s="258" t="s">
        <v>331</v>
      </c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70">
        <f>SUM(D29:O29)</f>
        <v>0</v>
      </c>
    </row>
    <row r="30" spans="1:16" ht="13.5" thickBot="1">
      <c r="A30" t="s">
        <v>47</v>
      </c>
      <c r="B30" s="271" t="s">
        <v>46</v>
      </c>
      <c r="C30" s="265" t="s">
        <v>332</v>
      </c>
      <c r="D30" s="266">
        <f>SUM(D19:D29)</f>
        <v>24788</v>
      </c>
      <c r="E30" s="266">
        <f aca="true" t="shared" si="7" ref="E30:O30">SUM(E19:E29)</f>
        <v>28289</v>
      </c>
      <c r="F30" s="266">
        <f t="shared" si="7"/>
        <v>28372</v>
      </c>
      <c r="G30" s="266">
        <f t="shared" si="7"/>
        <v>14993</v>
      </c>
      <c r="H30" s="266">
        <f t="shared" si="7"/>
        <v>15893</v>
      </c>
      <c r="I30" s="266">
        <f t="shared" si="7"/>
        <v>15935</v>
      </c>
      <c r="J30" s="266">
        <f t="shared" si="7"/>
        <v>14993</v>
      </c>
      <c r="K30" s="266">
        <f t="shared" si="7"/>
        <v>22482</v>
      </c>
      <c r="L30" s="266">
        <f t="shared" si="7"/>
        <v>15307</v>
      </c>
      <c r="M30" s="266">
        <f t="shared" si="7"/>
        <v>15307</v>
      </c>
      <c r="N30" s="266">
        <f t="shared" si="7"/>
        <v>16468</v>
      </c>
      <c r="O30" s="266">
        <f t="shared" si="7"/>
        <v>15308</v>
      </c>
      <c r="P30" s="272">
        <f>SUM(P19:P29)</f>
        <v>228135</v>
      </c>
    </row>
    <row r="31" spans="1:16" ht="13.5" thickBot="1">
      <c r="A31" t="s">
        <v>48</v>
      </c>
      <c r="B31" s="271" t="s">
        <v>47</v>
      </c>
      <c r="C31" s="273" t="s">
        <v>333</v>
      </c>
      <c r="D31" s="274">
        <f>+D30-D17</f>
        <v>0</v>
      </c>
      <c r="E31" s="274">
        <f aca="true" t="shared" si="8" ref="E31:P31">+E30-E17</f>
        <v>0</v>
      </c>
      <c r="F31" s="274">
        <f t="shared" si="8"/>
        <v>0</v>
      </c>
      <c r="G31" s="274">
        <f t="shared" si="8"/>
        <v>0</v>
      </c>
      <c r="H31" s="274">
        <f t="shared" si="8"/>
        <v>0</v>
      </c>
      <c r="I31" s="274">
        <f t="shared" si="8"/>
        <v>0</v>
      </c>
      <c r="J31" s="274">
        <f t="shared" si="8"/>
        <v>0</v>
      </c>
      <c r="K31" s="274">
        <f t="shared" si="8"/>
        <v>0</v>
      </c>
      <c r="L31" s="274">
        <f t="shared" si="8"/>
        <v>0</v>
      </c>
      <c r="M31" s="274">
        <f t="shared" si="8"/>
        <v>0</v>
      </c>
      <c r="N31" s="274">
        <f t="shared" si="8"/>
        <v>0</v>
      </c>
      <c r="O31" s="274">
        <f t="shared" si="8"/>
        <v>0</v>
      </c>
      <c r="P31" s="274">
        <f t="shared" si="8"/>
        <v>0</v>
      </c>
    </row>
    <row r="32" spans="2:16" ht="15.75">
      <c r="B32" s="27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4"/>
    </row>
    <row r="33" spans="2:16" ht="15.75">
      <c r="B33" s="244"/>
      <c r="C33" s="276"/>
      <c r="D33" s="278">
        <f>-D31</f>
        <v>0</v>
      </c>
      <c r="E33" s="277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335">
        <f>+P30-P17</f>
        <v>0</v>
      </c>
    </row>
  </sheetData>
  <sheetProtection/>
  <mergeCells count="5">
    <mergeCell ref="C7:P7"/>
    <mergeCell ref="C18:P18"/>
    <mergeCell ref="O1:P1"/>
    <mergeCell ref="B2:P2"/>
    <mergeCell ref="B3:P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8" r:id="rId1"/>
  <headerFooter alignWithMargins="0">
    <oddHeader>&amp;L19. melléklet a 2014. évi 15/2014.(XI.27.) Önkormányzati költségvetési rendelethez&amp;R&amp;D</oddHeader>
    <oddFooter>&amp;R&amp;F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4.8515625" style="0" customWidth="1"/>
    <col min="2" max="2" width="4.8515625" style="0" bestFit="1" customWidth="1"/>
    <col min="3" max="3" width="35.57421875" style="0" customWidth="1"/>
  </cols>
  <sheetData>
    <row r="1" spans="15:16" ht="12.75">
      <c r="O1" s="716"/>
      <c r="P1" s="716"/>
    </row>
    <row r="2" spans="2:16" ht="15.75">
      <c r="B2" s="717" t="s">
        <v>358</v>
      </c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</row>
    <row r="3" spans="2:16" ht="15.75">
      <c r="B3" s="717" t="s">
        <v>422</v>
      </c>
      <c r="C3" s="717"/>
      <c r="D3" s="717"/>
      <c r="E3" s="717"/>
      <c r="F3" s="717"/>
      <c r="G3" s="717"/>
      <c r="H3" s="717"/>
      <c r="I3" s="717"/>
      <c r="J3" s="717"/>
      <c r="K3" s="717"/>
      <c r="L3" s="717"/>
      <c r="M3" s="717"/>
      <c r="N3" s="717"/>
      <c r="O3" s="717"/>
      <c r="P3" s="717"/>
    </row>
    <row r="4" spans="2:16" ht="15.75"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6" t="s">
        <v>299</v>
      </c>
    </row>
    <row r="5" spans="1:16" ht="16.5" thickBot="1">
      <c r="A5" t="s">
        <v>11</v>
      </c>
      <c r="B5" s="347" t="s">
        <v>12</v>
      </c>
      <c r="C5" s="348" t="s">
        <v>13</v>
      </c>
      <c r="D5" s="348" t="s">
        <v>14</v>
      </c>
      <c r="E5" s="348" t="s">
        <v>15</v>
      </c>
      <c r="F5" s="348" t="s">
        <v>16</v>
      </c>
      <c r="G5" s="348" t="s">
        <v>17</v>
      </c>
      <c r="H5" s="348" t="s">
        <v>18</v>
      </c>
      <c r="I5" s="348" t="s">
        <v>63</v>
      </c>
      <c r="J5" s="348" t="s">
        <v>371</v>
      </c>
      <c r="K5" s="348" t="s">
        <v>361</v>
      </c>
      <c r="L5" s="348" t="s">
        <v>362</v>
      </c>
      <c r="M5" s="348" t="s">
        <v>364</v>
      </c>
      <c r="N5" s="348" t="s">
        <v>368</v>
      </c>
      <c r="O5" s="348" t="s">
        <v>369</v>
      </c>
      <c r="P5" s="348" t="s">
        <v>370</v>
      </c>
    </row>
    <row r="6" spans="1:16" ht="24.75" thickBot="1">
      <c r="A6" t="s">
        <v>20</v>
      </c>
      <c r="B6" s="247" t="s">
        <v>300</v>
      </c>
      <c r="C6" s="248" t="s">
        <v>67</v>
      </c>
      <c r="D6" s="248" t="s">
        <v>301</v>
      </c>
      <c r="E6" s="248" t="s">
        <v>302</v>
      </c>
      <c r="F6" s="248" t="s">
        <v>303</v>
      </c>
      <c r="G6" s="248" t="s">
        <v>304</v>
      </c>
      <c r="H6" s="248" t="s">
        <v>305</v>
      </c>
      <c r="I6" s="248" t="s">
        <v>306</v>
      </c>
      <c r="J6" s="248" t="s">
        <v>307</v>
      </c>
      <c r="K6" s="248" t="s">
        <v>308</v>
      </c>
      <c r="L6" s="248" t="s">
        <v>309</v>
      </c>
      <c r="M6" s="248" t="s">
        <v>310</v>
      </c>
      <c r="N6" s="248" t="s">
        <v>311</v>
      </c>
      <c r="O6" s="248" t="s">
        <v>312</v>
      </c>
      <c r="P6" s="249" t="s">
        <v>313</v>
      </c>
    </row>
    <row r="7" spans="1:16" ht="13.5" thickBot="1">
      <c r="A7" t="s">
        <v>21</v>
      </c>
      <c r="B7" s="250" t="s">
        <v>20</v>
      </c>
      <c r="C7" s="712" t="s">
        <v>97</v>
      </c>
      <c r="D7" s="713"/>
      <c r="E7" s="713"/>
      <c r="F7" s="713"/>
      <c r="G7" s="713"/>
      <c r="H7" s="713"/>
      <c r="I7" s="713"/>
      <c r="J7" s="713"/>
      <c r="K7" s="713"/>
      <c r="L7" s="713"/>
      <c r="M7" s="713"/>
      <c r="N7" s="713"/>
      <c r="O7" s="713"/>
      <c r="P7" s="714"/>
    </row>
    <row r="8" spans="1:16" ht="12.75">
      <c r="A8" t="s">
        <v>22</v>
      </c>
      <c r="B8" s="253" t="s">
        <v>21</v>
      </c>
      <c r="C8" s="254" t="s">
        <v>314</v>
      </c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6">
        <f>SUM(D8:O8)</f>
        <v>0</v>
      </c>
    </row>
    <row r="9" spans="1:18" ht="12.75">
      <c r="A9" t="s">
        <v>23</v>
      </c>
      <c r="B9" s="257" t="s">
        <v>22</v>
      </c>
      <c r="C9" s="258" t="s">
        <v>315</v>
      </c>
      <c r="D9" s="259">
        <v>183</v>
      </c>
      <c r="E9" s="259">
        <f>+D9</f>
        <v>183</v>
      </c>
      <c r="F9" s="259">
        <f aca="true" t="shared" si="0" ref="F9:M9">+E9</f>
        <v>183</v>
      </c>
      <c r="G9" s="259">
        <f t="shared" si="0"/>
        <v>183</v>
      </c>
      <c r="H9" s="259">
        <f t="shared" si="0"/>
        <v>183</v>
      </c>
      <c r="I9" s="259">
        <f t="shared" si="0"/>
        <v>183</v>
      </c>
      <c r="J9" s="259">
        <f t="shared" si="0"/>
        <v>183</v>
      </c>
      <c r="K9" s="259">
        <f t="shared" si="0"/>
        <v>183</v>
      </c>
      <c r="L9" s="259">
        <f t="shared" si="0"/>
        <v>183</v>
      </c>
      <c r="M9" s="259">
        <f t="shared" si="0"/>
        <v>183</v>
      </c>
      <c r="N9" s="259">
        <f>+M9+1435</f>
        <v>1618</v>
      </c>
      <c r="O9" s="259">
        <v>187</v>
      </c>
      <c r="P9" s="260">
        <f aca="true" t="shared" si="1" ref="P9:P15">SUM(D9:O9)</f>
        <v>3635</v>
      </c>
      <c r="Q9">
        <f>+'Bev.intézményenként'!D18</f>
        <v>3635</v>
      </c>
      <c r="R9" s="85">
        <f>+Q9-P9</f>
        <v>0</v>
      </c>
    </row>
    <row r="10" spans="1:18" ht="12.75">
      <c r="A10" t="s">
        <v>24</v>
      </c>
      <c r="B10" s="257" t="s">
        <v>23</v>
      </c>
      <c r="C10" s="261" t="s">
        <v>316</v>
      </c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0">
        <f t="shared" si="1"/>
        <v>0</v>
      </c>
      <c r="R10" s="85">
        <f aca="true" t="shared" si="2" ref="R10:R17">+Q10-P10</f>
        <v>0</v>
      </c>
    </row>
    <row r="11" spans="1:18" ht="12.75">
      <c r="A11" t="s">
        <v>25</v>
      </c>
      <c r="B11" s="257" t="s">
        <v>24</v>
      </c>
      <c r="C11" s="258" t="s">
        <v>317</v>
      </c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60">
        <f t="shared" si="1"/>
        <v>0</v>
      </c>
      <c r="R11" s="85">
        <f t="shared" si="2"/>
        <v>0</v>
      </c>
    </row>
    <row r="12" spans="1:18" ht="12.75">
      <c r="A12" t="s">
        <v>26</v>
      </c>
      <c r="B12" s="257" t="s">
        <v>25</v>
      </c>
      <c r="C12" s="258" t="s">
        <v>318</v>
      </c>
      <c r="D12" s="259"/>
      <c r="E12" s="259"/>
      <c r="F12" s="259"/>
      <c r="G12" s="259">
        <v>1100</v>
      </c>
      <c r="H12" s="259"/>
      <c r="I12" s="259"/>
      <c r="J12" s="259"/>
      <c r="K12" s="259"/>
      <c r="L12" s="259"/>
      <c r="M12" s="259"/>
      <c r="N12" s="259">
        <v>1162</v>
      </c>
      <c r="O12" s="259"/>
      <c r="P12" s="260">
        <f t="shared" si="1"/>
        <v>2262</v>
      </c>
      <c r="Q12" s="85">
        <f>+'Bev.intézményenként'!H18</f>
        <v>2262</v>
      </c>
      <c r="R12" s="85">
        <f t="shared" si="2"/>
        <v>0</v>
      </c>
    </row>
    <row r="13" spans="1:18" ht="12.75">
      <c r="A13" t="s">
        <v>27</v>
      </c>
      <c r="B13" s="257" t="s">
        <v>26</v>
      </c>
      <c r="C13" s="258" t="s">
        <v>319</v>
      </c>
      <c r="D13" s="259"/>
      <c r="E13" s="259">
        <v>445</v>
      </c>
      <c r="F13" s="259">
        <v>1000</v>
      </c>
      <c r="G13" s="259"/>
      <c r="H13" s="259">
        <v>1000</v>
      </c>
      <c r="I13" s="259"/>
      <c r="J13" s="259"/>
      <c r="K13" s="259"/>
      <c r="L13" s="259"/>
      <c r="M13" s="259"/>
      <c r="N13" s="259">
        <f>1530+282</f>
        <v>1812</v>
      </c>
      <c r="O13" s="259"/>
      <c r="P13" s="260">
        <f t="shared" si="1"/>
        <v>4257</v>
      </c>
      <c r="Q13" s="85">
        <f>+'Bev.intézményenként'!F18+'Bev.intézményenként'!G18</f>
        <v>4257</v>
      </c>
      <c r="R13" s="85">
        <f t="shared" si="2"/>
        <v>0</v>
      </c>
    </row>
    <row r="14" spans="1:18" ht="12.75">
      <c r="A14" t="s">
        <v>28</v>
      </c>
      <c r="B14" s="257" t="s">
        <v>27</v>
      </c>
      <c r="C14" s="258" t="s">
        <v>320</v>
      </c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60">
        <f t="shared" si="1"/>
        <v>0</v>
      </c>
      <c r="R14" s="85">
        <f t="shared" si="2"/>
        <v>0</v>
      </c>
    </row>
    <row r="15" spans="1:18" ht="22.5">
      <c r="A15" t="s">
        <v>29</v>
      </c>
      <c r="B15" s="257" t="s">
        <v>28</v>
      </c>
      <c r="C15" s="263" t="s">
        <v>321</v>
      </c>
      <c r="D15" s="259"/>
      <c r="E15" s="259">
        <v>268</v>
      </c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60">
        <f t="shared" si="1"/>
        <v>268</v>
      </c>
      <c r="Q15">
        <f>+'Bev.intézményenként'!E18</f>
        <v>268</v>
      </c>
      <c r="R15" s="85">
        <f t="shared" si="2"/>
        <v>0</v>
      </c>
    </row>
    <row r="16" spans="1:18" ht="13.5" thickBot="1">
      <c r="A16" t="s">
        <v>30</v>
      </c>
      <c r="B16" s="257" t="s">
        <v>29</v>
      </c>
      <c r="C16" s="258" t="s">
        <v>222</v>
      </c>
      <c r="D16" s="259">
        <f>+D30-D8-D9-D10-D11-D12-D13-D14-D15</f>
        <v>2131</v>
      </c>
      <c r="E16" s="259">
        <f aca="true" t="shared" si="3" ref="E16:O16">+E30-E8-E9-E10-E11-E12-E13-E14-E15</f>
        <v>1208</v>
      </c>
      <c r="F16" s="259">
        <f t="shared" si="3"/>
        <v>1192</v>
      </c>
      <c r="G16" s="259">
        <f t="shared" si="3"/>
        <v>2495</v>
      </c>
      <c r="H16" s="259">
        <f t="shared" si="3"/>
        <v>3310</v>
      </c>
      <c r="I16" s="259">
        <f t="shared" si="3"/>
        <v>2005</v>
      </c>
      <c r="J16" s="259">
        <f t="shared" si="3"/>
        <v>1590</v>
      </c>
      <c r="K16" s="259">
        <f t="shared" si="3"/>
        <v>1551</v>
      </c>
      <c r="L16" s="259">
        <f t="shared" si="3"/>
        <v>2251</v>
      </c>
      <c r="M16" s="259">
        <f t="shared" si="3"/>
        <v>1551</v>
      </c>
      <c r="N16" s="259">
        <f t="shared" si="3"/>
        <v>743</v>
      </c>
      <c r="O16" s="259">
        <f t="shared" si="3"/>
        <v>1557</v>
      </c>
      <c r="P16" s="264">
        <f>SUM(D16:O16)</f>
        <v>21584</v>
      </c>
      <c r="Q16" s="85">
        <f>+'Bev.intézményenként'!J18</f>
        <v>21584</v>
      </c>
      <c r="R16" s="85">
        <f t="shared" si="2"/>
        <v>0</v>
      </c>
    </row>
    <row r="17" spans="1:18" ht="13.5" thickBot="1">
      <c r="A17" t="s">
        <v>31</v>
      </c>
      <c r="B17" s="250" t="s">
        <v>30</v>
      </c>
      <c r="C17" s="265" t="s">
        <v>322</v>
      </c>
      <c r="D17" s="266">
        <f>SUM(D8:D16)</f>
        <v>2314</v>
      </c>
      <c r="E17" s="266">
        <f aca="true" t="shared" si="4" ref="E17:P17">SUM(E8:E16)</f>
        <v>2104</v>
      </c>
      <c r="F17" s="266">
        <f t="shared" si="4"/>
        <v>2375</v>
      </c>
      <c r="G17" s="266">
        <f t="shared" si="4"/>
        <v>3778</v>
      </c>
      <c r="H17" s="266">
        <f t="shared" si="4"/>
        <v>4493</v>
      </c>
      <c r="I17" s="266">
        <f t="shared" si="4"/>
        <v>2188</v>
      </c>
      <c r="J17" s="266">
        <f t="shared" si="4"/>
        <v>1773</v>
      </c>
      <c r="K17" s="266">
        <f t="shared" si="4"/>
        <v>1734</v>
      </c>
      <c r="L17" s="266">
        <f t="shared" si="4"/>
        <v>2434</v>
      </c>
      <c r="M17" s="266">
        <f t="shared" si="4"/>
        <v>1734</v>
      </c>
      <c r="N17" s="266">
        <f t="shared" si="4"/>
        <v>5335</v>
      </c>
      <c r="O17" s="266">
        <f t="shared" si="4"/>
        <v>1744</v>
      </c>
      <c r="P17" s="266">
        <f t="shared" si="4"/>
        <v>32006</v>
      </c>
      <c r="Q17" s="571">
        <f>SUM(Q9:Q16)</f>
        <v>32006</v>
      </c>
      <c r="R17" s="533">
        <f t="shared" si="2"/>
        <v>0</v>
      </c>
    </row>
    <row r="18" spans="1:16" ht="13.5" thickBot="1">
      <c r="A18" t="s">
        <v>32</v>
      </c>
      <c r="B18" s="250" t="s">
        <v>31</v>
      </c>
      <c r="C18" s="712" t="s">
        <v>125</v>
      </c>
      <c r="D18" s="713"/>
      <c r="E18" s="713"/>
      <c r="F18" s="713"/>
      <c r="G18" s="713"/>
      <c r="H18" s="713"/>
      <c r="I18" s="713"/>
      <c r="J18" s="713"/>
      <c r="K18" s="713"/>
      <c r="L18" s="713"/>
      <c r="M18" s="713"/>
      <c r="N18" s="713"/>
      <c r="O18" s="713"/>
      <c r="P18" s="715"/>
    </row>
    <row r="19" spans="1:19" ht="12.75">
      <c r="A19" t="s">
        <v>33</v>
      </c>
      <c r="B19" s="268" t="s">
        <v>32</v>
      </c>
      <c r="C19" s="269" t="s">
        <v>215</v>
      </c>
      <c r="D19" s="262">
        <f>784+15</f>
        <v>799</v>
      </c>
      <c r="E19" s="262">
        <f>+D19+1</f>
        <v>800</v>
      </c>
      <c r="F19" s="262">
        <f>784+213</f>
        <v>997</v>
      </c>
      <c r="G19" s="262">
        <f aca="true" t="shared" si="5" ref="G19:M19">+F19</f>
        <v>997</v>
      </c>
      <c r="H19" s="262">
        <f t="shared" si="5"/>
        <v>997</v>
      </c>
      <c r="I19" s="262">
        <v>784</v>
      </c>
      <c r="J19" s="262">
        <f>+I19+31</f>
        <v>815</v>
      </c>
      <c r="K19" s="262">
        <v>784</v>
      </c>
      <c r="L19" s="262">
        <f t="shared" si="5"/>
        <v>784</v>
      </c>
      <c r="M19" s="262">
        <f t="shared" si="5"/>
        <v>784</v>
      </c>
      <c r="N19" s="262">
        <f>+M19+51</f>
        <v>835</v>
      </c>
      <c r="O19" s="262">
        <v>786</v>
      </c>
      <c r="P19" s="270">
        <f>SUM(D19:O19)</f>
        <v>10162</v>
      </c>
      <c r="Q19">
        <f>+'Kiad.intézményenként'!D17</f>
        <v>10162</v>
      </c>
      <c r="R19" s="116">
        <f>+Q19-P19</f>
        <v>0</v>
      </c>
      <c r="S19">
        <f>+R19/3</f>
        <v>0</v>
      </c>
    </row>
    <row r="20" spans="1:19" ht="24.75" customHeight="1">
      <c r="A20" t="s">
        <v>34</v>
      </c>
      <c r="B20" s="257" t="s">
        <v>33</v>
      </c>
      <c r="C20" s="263" t="s">
        <v>323</v>
      </c>
      <c r="D20" s="259">
        <f>211+5</f>
        <v>216</v>
      </c>
      <c r="E20" s="259">
        <f>+D20-1</f>
        <v>215</v>
      </c>
      <c r="F20" s="259">
        <f>211+46</f>
        <v>257</v>
      </c>
      <c r="G20" s="259">
        <f aca="true" t="shared" si="6" ref="G20:M20">+F20</f>
        <v>257</v>
      </c>
      <c r="H20" s="259">
        <f t="shared" si="6"/>
        <v>257</v>
      </c>
      <c r="I20" s="259">
        <v>211</v>
      </c>
      <c r="J20" s="259">
        <f>+I20+8</f>
        <v>219</v>
      </c>
      <c r="K20" s="259">
        <v>211</v>
      </c>
      <c r="L20" s="259">
        <f t="shared" si="6"/>
        <v>211</v>
      </c>
      <c r="M20" s="259">
        <f t="shared" si="6"/>
        <v>211</v>
      </c>
      <c r="N20" s="259">
        <f>+M20+14</f>
        <v>225</v>
      </c>
      <c r="O20" s="259">
        <v>217</v>
      </c>
      <c r="P20" s="270">
        <f aca="true" t="shared" si="7" ref="P20:P28">SUM(D20:O20)</f>
        <v>2707</v>
      </c>
      <c r="Q20">
        <f>+'Kiad.intézményenként'!E17</f>
        <v>2707</v>
      </c>
      <c r="R20" s="116">
        <f>+Q20-P20</f>
        <v>0</v>
      </c>
      <c r="S20">
        <f>+R20/3</f>
        <v>0</v>
      </c>
    </row>
    <row r="21" spans="1:18" ht="12.75">
      <c r="A21" t="s">
        <v>35</v>
      </c>
      <c r="B21" s="257" t="s">
        <v>34</v>
      </c>
      <c r="C21" s="258" t="s">
        <v>251</v>
      </c>
      <c r="D21" s="259">
        <f>739+560</f>
        <v>1299</v>
      </c>
      <c r="E21" s="259">
        <f>739+350</f>
        <v>1089</v>
      </c>
      <c r="F21" s="259">
        <f>+E21+32</f>
        <v>1121</v>
      </c>
      <c r="G21" s="259">
        <f>739+685</f>
        <v>1424</v>
      </c>
      <c r="H21" s="259">
        <f>739+1500</f>
        <v>2239</v>
      </c>
      <c r="I21" s="259">
        <v>739</v>
      </c>
      <c r="J21" s="259">
        <f>+I21</f>
        <v>739</v>
      </c>
      <c r="K21" s="259">
        <f>+J21</f>
        <v>739</v>
      </c>
      <c r="L21" s="259">
        <f>+K21+700-800</f>
        <v>639</v>
      </c>
      <c r="M21" s="259">
        <f>+K21</f>
        <v>739</v>
      </c>
      <c r="N21" s="259">
        <f>+M21+282+1530</f>
        <v>2551</v>
      </c>
      <c r="O21" s="259">
        <v>741</v>
      </c>
      <c r="P21" s="270">
        <f t="shared" si="7"/>
        <v>14059</v>
      </c>
      <c r="Q21" s="85">
        <f>+'Kiad.intézményenként'!F17</f>
        <v>14059</v>
      </c>
      <c r="R21" s="116">
        <f aca="true" t="shared" si="8" ref="R21:R29">+Q21-P21</f>
        <v>0</v>
      </c>
    </row>
    <row r="22" spans="1:18" ht="12.75">
      <c r="A22" t="s">
        <v>36</v>
      </c>
      <c r="B22" s="257" t="s">
        <v>35</v>
      </c>
      <c r="C22" s="258" t="s">
        <v>324</v>
      </c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70">
        <f t="shared" si="7"/>
        <v>0</v>
      </c>
      <c r="R22" s="116">
        <f t="shared" si="8"/>
        <v>0</v>
      </c>
    </row>
    <row r="23" spans="1:18" ht="12.75">
      <c r="A23" t="s">
        <v>37</v>
      </c>
      <c r="B23" s="257" t="s">
        <v>36</v>
      </c>
      <c r="C23" s="258" t="s">
        <v>325</v>
      </c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70">
        <f t="shared" si="7"/>
        <v>0</v>
      </c>
      <c r="R23" s="116">
        <f t="shared" si="8"/>
        <v>0</v>
      </c>
    </row>
    <row r="24" spans="1:18" ht="12.75">
      <c r="A24" t="s">
        <v>40</v>
      </c>
      <c r="B24" s="257" t="s">
        <v>37</v>
      </c>
      <c r="C24" s="258" t="s">
        <v>326</v>
      </c>
      <c r="D24" s="259"/>
      <c r="E24" s="259"/>
      <c r="F24" s="259"/>
      <c r="G24" s="259"/>
      <c r="H24" s="259"/>
      <c r="I24" s="259">
        <v>454</v>
      </c>
      <c r="J24" s="259"/>
      <c r="K24" s="259"/>
      <c r="L24" s="259"/>
      <c r="M24" s="259"/>
      <c r="N24" s="259">
        <v>562</v>
      </c>
      <c r="O24" s="259"/>
      <c r="P24" s="270">
        <f t="shared" si="7"/>
        <v>1016</v>
      </c>
      <c r="Q24">
        <f>+'Kiad.intézményenként'!H17</f>
        <v>1016</v>
      </c>
      <c r="R24" s="116">
        <f t="shared" si="8"/>
        <v>0</v>
      </c>
    </row>
    <row r="25" spans="1:18" ht="21" customHeight="1">
      <c r="A25" t="s">
        <v>42</v>
      </c>
      <c r="B25" s="257" t="s">
        <v>40</v>
      </c>
      <c r="C25" s="263" t="s">
        <v>327</v>
      </c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70">
        <f t="shared" si="7"/>
        <v>0</v>
      </c>
      <c r="R25" s="116">
        <f t="shared" si="8"/>
        <v>0</v>
      </c>
    </row>
    <row r="26" spans="1:18" ht="12.75">
      <c r="A26" t="s">
        <v>43</v>
      </c>
      <c r="B26" s="257" t="s">
        <v>42</v>
      </c>
      <c r="C26" s="258" t="s">
        <v>328</v>
      </c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70">
        <f t="shared" si="7"/>
        <v>0</v>
      </c>
      <c r="R26" s="116">
        <f t="shared" si="8"/>
        <v>0</v>
      </c>
    </row>
    <row r="27" spans="1:18" ht="12.75">
      <c r="A27" t="s">
        <v>44</v>
      </c>
      <c r="B27" s="257" t="s">
        <v>43</v>
      </c>
      <c r="C27" s="258" t="s">
        <v>329</v>
      </c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70">
        <f t="shared" si="7"/>
        <v>0</v>
      </c>
      <c r="R27" s="116">
        <f t="shared" si="8"/>
        <v>0</v>
      </c>
    </row>
    <row r="28" spans="1:18" ht="12.75">
      <c r="A28" t="s">
        <v>45</v>
      </c>
      <c r="B28" s="257" t="s">
        <v>44</v>
      </c>
      <c r="C28" s="258" t="s">
        <v>330</v>
      </c>
      <c r="D28" s="259"/>
      <c r="E28" s="259"/>
      <c r="F28" s="259"/>
      <c r="G28" s="259">
        <v>1100</v>
      </c>
      <c r="H28" s="259">
        <v>1000</v>
      </c>
      <c r="I28" s="259"/>
      <c r="J28" s="259"/>
      <c r="K28" s="259"/>
      <c r="L28" s="259">
        <v>800</v>
      </c>
      <c r="M28" s="259"/>
      <c r="N28" s="259">
        <f>1162</f>
        <v>1162</v>
      </c>
      <c r="O28" s="259"/>
      <c r="P28" s="270">
        <f t="shared" si="7"/>
        <v>4062</v>
      </c>
      <c r="Q28">
        <f>+'Kiad.intézményenként'!L17</f>
        <v>4062</v>
      </c>
      <c r="R28" s="116">
        <f t="shared" si="8"/>
        <v>0</v>
      </c>
    </row>
    <row r="29" spans="1:18" ht="13.5" thickBot="1">
      <c r="A29" t="s">
        <v>46</v>
      </c>
      <c r="B29" s="257" t="s">
        <v>45</v>
      </c>
      <c r="C29" s="258" t="s">
        <v>331</v>
      </c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70">
        <f>SUM(D29:O29)</f>
        <v>0</v>
      </c>
      <c r="R29" s="116">
        <f t="shared" si="8"/>
        <v>0</v>
      </c>
    </row>
    <row r="30" spans="1:17" ht="13.5" thickBot="1">
      <c r="A30" t="s">
        <v>47</v>
      </c>
      <c r="B30" s="271" t="s">
        <v>46</v>
      </c>
      <c r="C30" s="265" t="s">
        <v>332</v>
      </c>
      <c r="D30" s="266">
        <f>SUM(D19:D29)</f>
        <v>2314</v>
      </c>
      <c r="E30" s="266">
        <f aca="true" t="shared" si="9" ref="E30:O30">SUM(E19:E29)</f>
        <v>2104</v>
      </c>
      <c r="F30" s="266">
        <f t="shared" si="9"/>
        <v>2375</v>
      </c>
      <c r="G30" s="266">
        <f t="shared" si="9"/>
        <v>3778</v>
      </c>
      <c r="H30" s="266">
        <f t="shared" si="9"/>
        <v>4493</v>
      </c>
      <c r="I30" s="266">
        <f t="shared" si="9"/>
        <v>2188</v>
      </c>
      <c r="J30" s="266">
        <f t="shared" si="9"/>
        <v>1773</v>
      </c>
      <c r="K30" s="266">
        <f t="shared" si="9"/>
        <v>1734</v>
      </c>
      <c r="L30" s="266">
        <f t="shared" si="9"/>
        <v>2434</v>
      </c>
      <c r="M30" s="266">
        <f t="shared" si="9"/>
        <v>1734</v>
      </c>
      <c r="N30" s="266">
        <f t="shared" si="9"/>
        <v>5335</v>
      </c>
      <c r="O30" s="266">
        <f t="shared" si="9"/>
        <v>1744</v>
      </c>
      <c r="P30" s="272">
        <f>SUM(P19:P29)</f>
        <v>32006</v>
      </c>
      <c r="Q30" s="477">
        <f>SUM(Q19:Q29)</f>
        <v>32006</v>
      </c>
    </row>
    <row r="31" spans="1:16" ht="13.5" thickBot="1">
      <c r="A31" t="s">
        <v>48</v>
      </c>
      <c r="B31" s="271" t="s">
        <v>47</v>
      </c>
      <c r="C31" s="273" t="s">
        <v>333</v>
      </c>
      <c r="D31" s="274">
        <f>+D30-D17</f>
        <v>0</v>
      </c>
      <c r="E31" s="274">
        <f aca="true" t="shared" si="10" ref="E31:P31">+E30-E17</f>
        <v>0</v>
      </c>
      <c r="F31" s="274">
        <f t="shared" si="10"/>
        <v>0</v>
      </c>
      <c r="G31" s="274">
        <f t="shared" si="10"/>
        <v>0</v>
      </c>
      <c r="H31" s="274">
        <f t="shared" si="10"/>
        <v>0</v>
      </c>
      <c r="I31" s="274">
        <f t="shared" si="10"/>
        <v>0</v>
      </c>
      <c r="J31" s="274">
        <f t="shared" si="10"/>
        <v>0</v>
      </c>
      <c r="K31" s="274">
        <f t="shared" si="10"/>
        <v>0</v>
      </c>
      <c r="L31" s="274">
        <f t="shared" si="10"/>
        <v>0</v>
      </c>
      <c r="M31" s="274">
        <f t="shared" si="10"/>
        <v>0</v>
      </c>
      <c r="N31" s="274">
        <f t="shared" si="10"/>
        <v>0</v>
      </c>
      <c r="O31" s="274">
        <f t="shared" si="10"/>
        <v>0</v>
      </c>
      <c r="P31" s="274">
        <f t="shared" si="10"/>
        <v>0</v>
      </c>
    </row>
    <row r="32" spans="2:17" ht="15.75">
      <c r="B32" s="27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335">
        <f>+P30-P17</f>
        <v>0</v>
      </c>
      <c r="Q32" s="85">
        <f>+Q30-Q17</f>
        <v>0</v>
      </c>
    </row>
    <row r="33" spans="2:16" ht="15.75">
      <c r="B33" s="244"/>
      <c r="C33" s="276"/>
      <c r="D33" s="278"/>
      <c r="E33" s="277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4"/>
    </row>
  </sheetData>
  <sheetProtection/>
  <mergeCells count="5">
    <mergeCell ref="C7:P7"/>
    <mergeCell ref="C18:P18"/>
    <mergeCell ref="O1:P1"/>
    <mergeCell ref="B2:P2"/>
    <mergeCell ref="B3:P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8" r:id="rId1"/>
  <headerFooter alignWithMargins="0">
    <oddHeader>&amp;L20. melléklet a 2014. évi 15/2014.(XI.27.) Önkormányzati költségvetési rendelethez&amp;R&amp;D</oddHeader>
    <oddFooter>&amp;R&amp;F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Q7" sqref="Q7"/>
    </sheetView>
  </sheetViews>
  <sheetFormatPr defaultColWidth="9.140625" defaultRowHeight="12.75"/>
  <cols>
    <col min="1" max="1" width="5.421875" style="112" customWidth="1"/>
    <col min="2" max="2" width="4.00390625" style="112" customWidth="1"/>
    <col min="3" max="3" width="33.28125" style="112" customWidth="1"/>
    <col min="4" max="4" width="17.57421875" style="112" customWidth="1"/>
    <col min="5" max="5" width="9.57421875" style="112" bestFit="1" customWidth="1"/>
    <col min="6" max="7" width="14.7109375" style="112" customWidth="1"/>
    <col min="8" max="8" width="9.421875" style="112" customWidth="1"/>
    <col min="9" max="10" width="9.421875" style="112" hidden="1" customWidth="1"/>
    <col min="11" max="11" width="11.140625" style="112" bestFit="1" customWidth="1"/>
    <col min="12" max="12" width="9.421875" style="112" bestFit="1" customWidth="1"/>
    <col min="13" max="13" width="6.7109375" style="112" customWidth="1"/>
    <col min="14" max="14" width="9.28125" style="112" bestFit="1" customWidth="1"/>
    <col min="15" max="16384" width="9.140625" style="112" customWidth="1"/>
  </cols>
  <sheetData>
    <row r="1" spans="1:14" ht="14.25">
      <c r="A1" s="724" t="s">
        <v>162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4"/>
      <c r="N1" s="724"/>
    </row>
    <row r="2" spans="1:14" ht="15" customHeight="1" thickBot="1">
      <c r="A2" s="112" t="s">
        <v>11</v>
      </c>
      <c r="B2" s="113" t="s">
        <v>12</v>
      </c>
      <c r="C2" s="113" t="s">
        <v>13</v>
      </c>
      <c r="D2" s="113" t="s">
        <v>14</v>
      </c>
      <c r="E2" s="113" t="s">
        <v>15</v>
      </c>
      <c r="F2" s="113" t="s">
        <v>16</v>
      </c>
      <c r="G2" s="113"/>
      <c r="H2" s="113" t="s">
        <v>17</v>
      </c>
      <c r="I2" s="113" t="s">
        <v>18</v>
      </c>
      <c r="J2" s="113" t="s">
        <v>366</v>
      </c>
      <c r="K2" s="113" t="s">
        <v>19</v>
      </c>
      <c r="L2" s="113" t="s">
        <v>361</v>
      </c>
      <c r="M2" s="112" t="s">
        <v>362</v>
      </c>
      <c r="N2" s="112" t="s">
        <v>364</v>
      </c>
    </row>
    <row r="3" spans="1:14" ht="18" customHeight="1">
      <c r="A3" s="112" t="s">
        <v>20</v>
      </c>
      <c r="B3" s="220" t="s">
        <v>163</v>
      </c>
      <c r="C3" s="221"/>
      <c r="D3" s="221"/>
      <c r="E3" s="221"/>
      <c r="F3" s="207"/>
      <c r="G3" s="436"/>
      <c r="H3" s="721">
        <v>2013</v>
      </c>
      <c r="I3" s="722"/>
      <c r="J3" s="723"/>
      <c r="K3" s="215">
        <v>2014</v>
      </c>
      <c r="L3" s="215">
        <v>2015</v>
      </c>
      <c r="M3" s="215">
        <v>2016</v>
      </c>
      <c r="N3" s="215">
        <v>2017</v>
      </c>
    </row>
    <row r="4" spans="1:14" ht="15" thickBot="1">
      <c r="A4" s="112" t="s">
        <v>21</v>
      </c>
      <c r="B4" s="230"/>
      <c r="C4" s="229"/>
      <c r="D4" s="229"/>
      <c r="E4" s="211"/>
      <c r="F4" s="241">
        <v>241.06</v>
      </c>
      <c r="G4" s="437"/>
      <c r="H4" s="438"/>
      <c r="I4" s="211" t="s">
        <v>268</v>
      </c>
      <c r="J4" s="439" t="s">
        <v>267</v>
      </c>
      <c r="K4" s="217"/>
      <c r="L4" s="217"/>
      <c r="M4" s="219"/>
      <c r="N4" s="219"/>
    </row>
    <row r="5" spans="2:14" ht="15">
      <c r="B5" s="222"/>
      <c r="C5" s="223"/>
      <c r="D5" s="223"/>
      <c r="E5" s="209"/>
      <c r="F5" s="210"/>
      <c r="G5" s="209"/>
      <c r="H5" s="208"/>
      <c r="I5" s="208"/>
      <c r="J5" s="210"/>
      <c r="K5" s="216"/>
      <c r="L5" s="216"/>
      <c r="M5" s="218"/>
      <c r="N5" s="218"/>
    </row>
    <row r="6" spans="1:14" ht="60">
      <c r="A6" s="112" t="s">
        <v>22</v>
      </c>
      <c r="B6" s="222"/>
      <c r="C6" s="224" t="s">
        <v>164</v>
      </c>
      <c r="D6" s="224" t="s">
        <v>165</v>
      </c>
      <c r="E6" s="225" t="s">
        <v>166</v>
      </c>
      <c r="F6" s="226" t="s">
        <v>167</v>
      </c>
      <c r="G6" s="440" t="s">
        <v>456</v>
      </c>
      <c r="H6" s="208">
        <f>+I6+J6</f>
        <v>24408</v>
      </c>
      <c r="I6" s="208">
        <v>16272</v>
      </c>
      <c r="J6" s="210">
        <v>8136</v>
      </c>
      <c r="K6" s="216">
        <f>+Kiadás!F27</f>
        <v>162405</v>
      </c>
      <c r="L6" s="216">
        <v>0</v>
      </c>
      <c r="M6" s="218">
        <v>0</v>
      </c>
      <c r="N6" s="218">
        <v>0</v>
      </c>
    </row>
    <row r="7" spans="1:14" ht="64.5" customHeight="1">
      <c r="A7" s="112" t="s">
        <v>23</v>
      </c>
      <c r="B7" s="222"/>
      <c r="C7" s="224" t="s">
        <v>168</v>
      </c>
      <c r="D7" s="224" t="s">
        <v>169</v>
      </c>
      <c r="E7" s="209">
        <v>80000</v>
      </c>
      <c r="F7" s="226" t="s">
        <v>231</v>
      </c>
      <c r="G7" s="440" t="s">
        <v>456</v>
      </c>
      <c r="H7" s="208">
        <f>+I7+J7</f>
        <v>1050</v>
      </c>
      <c r="I7" s="208"/>
      <c r="J7" s="210">
        <v>1050</v>
      </c>
      <c r="K7" s="216">
        <v>70000</v>
      </c>
      <c r="L7" s="216">
        <v>0</v>
      </c>
      <c r="M7" s="218">
        <v>0</v>
      </c>
      <c r="N7" s="218">
        <v>0</v>
      </c>
    </row>
    <row r="8" spans="2:14" ht="7.5" customHeight="1" thickBot="1">
      <c r="B8" s="222"/>
      <c r="C8" s="223"/>
      <c r="D8" s="223"/>
      <c r="E8" s="209"/>
      <c r="F8" s="210"/>
      <c r="G8" s="209"/>
      <c r="H8" s="208"/>
      <c r="I8" s="208"/>
      <c r="J8" s="210"/>
      <c r="K8" s="216"/>
      <c r="L8" s="216"/>
      <c r="M8" s="218"/>
      <c r="N8" s="218"/>
    </row>
    <row r="9" spans="1:14" ht="15" thickBot="1">
      <c r="A9" s="112" t="s">
        <v>24</v>
      </c>
      <c r="B9" s="231" t="s">
        <v>170</v>
      </c>
      <c r="C9" s="232"/>
      <c r="D9" s="232"/>
      <c r="E9" s="213"/>
      <c r="F9" s="214"/>
      <c r="G9" s="213"/>
      <c r="H9" s="212">
        <f aca="true" t="shared" si="0" ref="H9:N9">SUM(H6:H8)</f>
        <v>25458</v>
      </c>
      <c r="I9" s="212">
        <f t="shared" si="0"/>
        <v>16272</v>
      </c>
      <c r="J9" s="212">
        <f t="shared" si="0"/>
        <v>9186</v>
      </c>
      <c r="K9" s="212">
        <f t="shared" si="0"/>
        <v>232405</v>
      </c>
      <c r="L9" s="212">
        <f t="shared" si="0"/>
        <v>0</v>
      </c>
      <c r="M9" s="212">
        <f t="shared" si="0"/>
        <v>0</v>
      </c>
      <c r="N9" s="212">
        <f t="shared" si="0"/>
        <v>0</v>
      </c>
    </row>
    <row r="10" spans="2:14" ht="14.25">
      <c r="B10" s="227"/>
      <c r="C10" s="455"/>
      <c r="D10" s="455"/>
      <c r="E10" s="456"/>
      <c r="F10" s="457"/>
      <c r="G10" s="456"/>
      <c r="H10" s="458"/>
      <c r="I10" s="458"/>
      <c r="J10" s="456"/>
      <c r="K10" s="458"/>
      <c r="L10" s="458"/>
      <c r="M10" s="458"/>
      <c r="N10" s="459"/>
    </row>
    <row r="11" spans="1:14" ht="14.25">
      <c r="A11" s="112" t="s">
        <v>25</v>
      </c>
      <c r="B11" s="228" t="s">
        <v>469</v>
      </c>
      <c r="C11" s="455"/>
      <c r="D11" s="455"/>
      <c r="E11" s="456"/>
      <c r="F11" s="457"/>
      <c r="G11" s="456"/>
      <c r="H11" s="458"/>
      <c r="I11" s="458"/>
      <c r="J11" s="456"/>
      <c r="K11" s="458"/>
      <c r="L11" s="458"/>
      <c r="M11" s="458"/>
      <c r="N11" s="460"/>
    </row>
    <row r="12" spans="1:14" ht="57">
      <c r="A12" s="112" t="s">
        <v>26</v>
      </c>
      <c r="B12" s="227"/>
      <c r="C12" s="411" t="s">
        <v>468</v>
      </c>
      <c r="D12" s="455"/>
      <c r="E12" s="456"/>
      <c r="F12" s="457"/>
      <c r="G12" s="456"/>
      <c r="H12" s="458"/>
      <c r="I12" s="458"/>
      <c r="J12" s="456"/>
      <c r="K12" s="458"/>
      <c r="L12" s="458">
        <v>48548</v>
      </c>
      <c r="M12" s="458"/>
      <c r="N12" s="460"/>
    </row>
    <row r="13" spans="2:14" ht="15" thickBot="1">
      <c r="B13" s="227"/>
      <c r="C13" s="411"/>
      <c r="D13" s="455"/>
      <c r="E13" s="456"/>
      <c r="F13" s="457"/>
      <c r="G13" s="456"/>
      <c r="H13" s="458"/>
      <c r="I13" s="458"/>
      <c r="J13" s="456"/>
      <c r="K13" s="458"/>
      <c r="L13" s="458"/>
      <c r="M13" s="458"/>
      <c r="N13" s="460"/>
    </row>
    <row r="14" spans="1:14" ht="15" thickBot="1">
      <c r="A14" s="112" t="s">
        <v>27</v>
      </c>
      <c r="B14" s="231" t="s">
        <v>470</v>
      </c>
      <c r="C14" s="461"/>
      <c r="D14" s="232"/>
      <c r="E14" s="213"/>
      <c r="F14" s="214"/>
      <c r="G14" s="213"/>
      <c r="H14" s="212"/>
      <c r="I14" s="212"/>
      <c r="J14" s="213"/>
      <c r="K14" s="212"/>
      <c r="L14" s="212">
        <f>SUM(L12:L13)</f>
        <v>48548</v>
      </c>
      <c r="M14" s="212"/>
      <c r="N14" s="359"/>
    </row>
    <row r="15" spans="2:14" ht="15">
      <c r="B15" s="462"/>
      <c r="C15" s="463"/>
      <c r="D15" s="463"/>
      <c r="E15" s="464"/>
      <c r="F15" s="465"/>
      <c r="G15" s="209"/>
      <c r="H15" s="208"/>
      <c r="I15" s="208"/>
      <c r="J15" s="210"/>
      <c r="K15" s="216"/>
      <c r="L15" s="216"/>
      <c r="M15" s="218"/>
      <c r="N15" s="218"/>
    </row>
    <row r="16" spans="1:14" ht="15">
      <c r="A16" s="112" t="s">
        <v>28</v>
      </c>
      <c r="B16" s="228" t="s">
        <v>171</v>
      </c>
      <c r="C16" s="223"/>
      <c r="D16" s="223"/>
      <c r="E16" s="209"/>
      <c r="F16" s="210"/>
      <c r="G16" s="209"/>
      <c r="H16" s="208"/>
      <c r="I16" s="208"/>
      <c r="J16" s="210"/>
      <c r="K16" s="216"/>
      <c r="L16" s="216"/>
      <c r="M16" s="218"/>
      <c r="N16" s="218"/>
    </row>
    <row r="17" spans="2:14" ht="7.5" customHeight="1">
      <c r="B17" s="227"/>
      <c r="C17" s="223"/>
      <c r="D17" s="223"/>
      <c r="E17" s="209"/>
      <c r="F17" s="210"/>
      <c r="G17" s="209"/>
      <c r="H17" s="208"/>
      <c r="I17" s="208"/>
      <c r="J17" s="210"/>
      <c r="K17" s="216"/>
      <c r="L17" s="216"/>
      <c r="M17" s="218"/>
      <c r="N17" s="218"/>
    </row>
    <row r="18" spans="1:14" ht="15">
      <c r="A18" s="112" t="s">
        <v>29</v>
      </c>
      <c r="B18" s="222"/>
      <c r="C18" s="224" t="str">
        <f>+C6</f>
        <v>"BATTONYA 2027" kötvény</v>
      </c>
      <c r="D18" s="223"/>
      <c r="E18" s="209"/>
      <c r="F18" s="210"/>
      <c r="G18" s="209"/>
      <c r="H18" s="208">
        <f>+I18+J18</f>
        <v>7644</v>
      </c>
      <c r="I18" s="208">
        <v>5096</v>
      </c>
      <c r="J18" s="210">
        <v>2548</v>
      </c>
      <c r="K18" s="216" t="e">
        <f>+#REF!</f>
        <v>#REF!</v>
      </c>
      <c r="L18" s="216">
        <v>0</v>
      </c>
      <c r="M18" s="216">
        <v>0</v>
      </c>
      <c r="N18" s="216">
        <v>0</v>
      </c>
    </row>
    <row r="19" spans="2:14" ht="9" customHeight="1">
      <c r="B19" s="222"/>
      <c r="C19" s="224"/>
      <c r="D19" s="223"/>
      <c r="E19" s="209"/>
      <c r="F19" s="210"/>
      <c r="G19" s="209"/>
      <c r="H19" s="208"/>
      <c r="I19" s="208"/>
      <c r="J19" s="210"/>
      <c r="K19" s="216"/>
      <c r="L19" s="216"/>
      <c r="M19" s="216"/>
      <c r="N19" s="216"/>
    </row>
    <row r="20" spans="1:14" ht="60">
      <c r="A20" s="112" t="s">
        <v>30</v>
      </c>
      <c r="B20" s="222"/>
      <c r="C20" s="224" t="s">
        <v>168</v>
      </c>
      <c r="D20" s="224" t="s">
        <v>169</v>
      </c>
      <c r="E20" s="209"/>
      <c r="F20" s="210"/>
      <c r="G20" s="209"/>
      <c r="H20" s="208">
        <f>+I20+J20</f>
        <v>6450</v>
      </c>
      <c r="I20" s="208">
        <v>4300</v>
      </c>
      <c r="J20" s="210">
        <v>2150</v>
      </c>
      <c r="K20" s="216" t="e">
        <f>+#REF!</f>
        <v>#REF!</v>
      </c>
      <c r="L20" s="216">
        <v>0</v>
      </c>
      <c r="M20" s="218">
        <v>0</v>
      </c>
      <c r="N20" s="218">
        <v>0</v>
      </c>
    </row>
    <row r="21" spans="2:14" ht="7.5" customHeight="1" thickBot="1">
      <c r="B21" s="466"/>
      <c r="C21" s="467"/>
      <c r="D21" s="467"/>
      <c r="E21" s="468"/>
      <c r="F21" s="469"/>
      <c r="G21" s="209"/>
      <c r="H21" s="208"/>
      <c r="I21" s="208"/>
      <c r="J21" s="210"/>
      <c r="K21" s="216"/>
      <c r="L21" s="216"/>
      <c r="M21" s="218"/>
      <c r="N21" s="219"/>
    </row>
    <row r="22" spans="1:14" ht="15" thickBot="1">
      <c r="A22" s="112" t="s">
        <v>31</v>
      </c>
      <c r="B22" s="231" t="s">
        <v>172</v>
      </c>
      <c r="C22" s="232"/>
      <c r="D22" s="232"/>
      <c r="E22" s="213"/>
      <c r="F22" s="214"/>
      <c r="G22" s="213"/>
      <c r="H22" s="212">
        <f aca="true" t="shared" si="1" ref="H22:N22">SUM(H18:H21)</f>
        <v>14094</v>
      </c>
      <c r="I22" s="212">
        <f t="shared" si="1"/>
        <v>9396</v>
      </c>
      <c r="J22" s="212">
        <f t="shared" si="1"/>
        <v>4698</v>
      </c>
      <c r="K22" s="212" t="e">
        <f t="shared" si="1"/>
        <v>#REF!</v>
      </c>
      <c r="L22" s="212">
        <f>SUM(L18:L21)</f>
        <v>0</v>
      </c>
      <c r="M22" s="212">
        <f t="shared" si="1"/>
        <v>0</v>
      </c>
      <c r="N22" s="359">
        <f t="shared" si="1"/>
        <v>0</v>
      </c>
    </row>
    <row r="23" spans="2:14" ht="9" customHeight="1" thickBot="1">
      <c r="B23" s="222"/>
      <c r="C23" s="223"/>
      <c r="D23" s="223"/>
      <c r="E23" s="209"/>
      <c r="F23" s="210"/>
      <c r="G23" s="209"/>
      <c r="H23" s="208"/>
      <c r="I23" s="208"/>
      <c r="J23" s="210"/>
      <c r="K23" s="216"/>
      <c r="L23" s="216"/>
      <c r="M23" s="218"/>
      <c r="N23" s="218"/>
    </row>
    <row r="24" spans="1:14" ht="15" thickBot="1">
      <c r="A24" s="112" t="s">
        <v>32</v>
      </c>
      <c r="B24" s="231" t="s">
        <v>173</v>
      </c>
      <c r="C24" s="232"/>
      <c r="D24" s="232"/>
      <c r="E24" s="213"/>
      <c r="F24" s="214"/>
      <c r="G24" s="213"/>
      <c r="H24" s="212">
        <f aca="true" t="shared" si="2" ref="H24:N24">H22+H9</f>
        <v>39552</v>
      </c>
      <c r="I24" s="212">
        <f t="shared" si="2"/>
        <v>25668</v>
      </c>
      <c r="J24" s="212">
        <f t="shared" si="2"/>
        <v>13884</v>
      </c>
      <c r="K24" s="212" t="e">
        <f t="shared" si="2"/>
        <v>#REF!</v>
      </c>
      <c r="L24" s="212">
        <f>L22+L9+L14</f>
        <v>48548</v>
      </c>
      <c r="M24" s="212">
        <f t="shared" si="2"/>
        <v>0</v>
      </c>
      <c r="N24" s="359">
        <f t="shared" si="2"/>
        <v>0</v>
      </c>
    </row>
    <row r="25" spans="2:14" ht="15">
      <c r="B25" s="113"/>
      <c r="C25" s="113"/>
      <c r="D25" s="113"/>
      <c r="E25" s="115"/>
      <c r="F25" s="115"/>
      <c r="G25" s="115"/>
      <c r="H25" s="115"/>
      <c r="I25" s="115"/>
      <c r="J25" s="115"/>
      <c r="K25" s="115"/>
      <c r="L25" s="115"/>
      <c r="M25" s="114"/>
      <c r="N25" s="114"/>
    </row>
    <row r="26" spans="5:14" ht="14.25">
      <c r="E26" s="114"/>
      <c r="F26" s="114"/>
      <c r="G26" s="114"/>
      <c r="H26" s="114"/>
      <c r="I26" s="114"/>
      <c r="J26" s="114"/>
      <c r="K26" s="114"/>
      <c r="L26" s="114"/>
      <c r="M26" s="114"/>
      <c r="N26" s="114"/>
    </row>
  </sheetData>
  <sheetProtection/>
  <mergeCells count="2">
    <mergeCell ref="H3:J3"/>
    <mergeCell ref="A1:N1"/>
  </mergeCells>
  <printOptions/>
  <pageMargins left="0.1968503937007874" right="0.1968503937007874" top="0.7874015748031497" bottom="0.3937007874015748" header="0.5118110236220472" footer="0.5118110236220472"/>
  <pageSetup horizontalDpi="600" verticalDpi="600" orientation="landscape" paperSize="9" scale="98" r:id="rId1"/>
  <headerFooter alignWithMargins="0">
    <oddHeader>&amp;L21. melléklet a 2014. évi 15/2014.(XI.27.) Önkormányzati költségvetési rendelethez&amp;R&amp;D</oddHeader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view="pageBreakPreview" zoomScaleSheetLayoutView="100" zoomScalePageLayoutView="0" workbookViewId="0" topLeftCell="A1">
      <selection activeCell="C45" sqref="C45"/>
    </sheetView>
  </sheetViews>
  <sheetFormatPr defaultColWidth="9.140625" defaultRowHeight="15" customHeight="1"/>
  <cols>
    <col min="1" max="1" width="4.57421875" style="16" bestFit="1" customWidth="1"/>
    <col min="2" max="2" width="25.421875" style="16" customWidth="1"/>
    <col min="3" max="3" width="13.28125" style="16" customWidth="1"/>
    <col min="4" max="4" width="9.28125" style="16" customWidth="1"/>
    <col min="5" max="5" width="9.421875" style="16" customWidth="1"/>
    <col min="6" max="6" width="11.00390625" style="16" customWidth="1"/>
    <col min="7" max="7" width="10.140625" style="16" bestFit="1" customWidth="1"/>
    <col min="8" max="8" width="10.7109375" style="16" customWidth="1"/>
    <col min="9" max="9" width="8.28125" style="16" hidden="1" customWidth="1"/>
    <col min="10" max="10" width="13.8515625" style="16" customWidth="1"/>
    <col min="11" max="11" width="9.421875" style="16" bestFit="1" customWidth="1"/>
    <col min="12" max="12" width="11.7109375" style="16" customWidth="1"/>
    <col min="13" max="13" width="12.421875" style="16" customWidth="1"/>
    <col min="14" max="15" width="9.140625" style="16" customWidth="1"/>
    <col min="16" max="16" width="10.140625" style="16" bestFit="1" customWidth="1"/>
    <col min="17" max="16384" width="9.140625" style="16" customWidth="1"/>
  </cols>
  <sheetData>
    <row r="1" spans="2:13" ht="15" customHeight="1">
      <c r="B1" s="17" t="s">
        <v>0</v>
      </c>
      <c r="C1" s="18"/>
      <c r="D1" s="19" t="s">
        <v>1</v>
      </c>
      <c r="E1" s="19" t="s">
        <v>2</v>
      </c>
      <c r="F1" s="677" t="s">
        <v>3</v>
      </c>
      <c r="G1" s="677"/>
      <c r="H1" s="677"/>
      <c r="I1" s="21" t="e">
        <f>+#REF!</f>
        <v>#REF!</v>
      </c>
      <c r="J1" s="19" t="s">
        <v>4</v>
      </c>
      <c r="K1" s="19"/>
      <c r="L1" s="19" t="s">
        <v>5</v>
      </c>
      <c r="M1" s="19" t="s">
        <v>6</v>
      </c>
    </row>
    <row r="2" spans="2:13" ht="15" customHeight="1">
      <c r="B2" s="22"/>
      <c r="C2" s="23"/>
      <c r="D2" s="24"/>
      <c r="E2" s="24"/>
      <c r="F2" s="20" t="s">
        <v>7</v>
      </c>
      <c r="G2" s="20" t="s">
        <v>8</v>
      </c>
      <c r="H2" s="20" t="s">
        <v>9</v>
      </c>
      <c r="I2" s="21"/>
      <c r="J2" s="24"/>
      <c r="K2" s="24"/>
      <c r="L2" s="24"/>
      <c r="M2" s="24"/>
    </row>
    <row r="3" spans="1:13" s="25" customFormat="1" ht="15.75" customHeight="1">
      <c r="A3" s="25" t="s">
        <v>11</v>
      </c>
      <c r="B3" s="17" t="s">
        <v>12</v>
      </c>
      <c r="C3" s="18" t="s">
        <v>13</v>
      </c>
      <c r="D3" s="19" t="s">
        <v>14</v>
      </c>
      <c r="E3" s="19" t="s">
        <v>15</v>
      </c>
      <c r="F3" s="19" t="s">
        <v>16</v>
      </c>
      <c r="G3" s="19" t="s">
        <v>17</v>
      </c>
      <c r="H3" s="19" t="s">
        <v>18</v>
      </c>
      <c r="I3" s="26"/>
      <c r="J3" s="19" t="s">
        <v>63</v>
      </c>
      <c r="K3" s="19" t="s">
        <v>19</v>
      </c>
      <c r="L3" s="19" t="s">
        <v>361</v>
      </c>
      <c r="M3" s="19" t="s">
        <v>362</v>
      </c>
    </row>
    <row r="4" spans="3:13" ht="9" customHeight="1"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3:13" ht="32.25" customHeight="1" hidden="1">
      <c r="C5" s="27" t="s">
        <v>54</v>
      </c>
      <c r="D5" s="28">
        <v>87890</v>
      </c>
      <c r="J5" s="28">
        <f>+M5-D5-E5-F5-G5-H5-K5</f>
        <v>94220</v>
      </c>
      <c r="K5" s="28"/>
      <c r="L5" s="28">
        <f>SUM(D5:J5)</f>
        <v>182110</v>
      </c>
      <c r="M5" s="28">
        <f>+'Kiad.intézményenként'!M4</f>
        <v>182110</v>
      </c>
    </row>
    <row r="6" spans="3:13" ht="0.75" customHeight="1" hidden="1">
      <c r="C6" s="27" t="s">
        <v>372</v>
      </c>
      <c r="D6" s="28">
        <f>+D5</f>
        <v>87890</v>
      </c>
      <c r="E6" s="28">
        <v>1114</v>
      </c>
      <c r="F6" s="28">
        <f>+F5</f>
        <v>0</v>
      </c>
      <c r="G6" s="28">
        <v>1346</v>
      </c>
      <c r="H6" s="28">
        <f>+H5</f>
        <v>0</v>
      </c>
      <c r="J6" s="28">
        <f>+M6-D6-E6-F6-G6-H6-K6</f>
        <v>137989</v>
      </c>
      <c r="K6" s="28"/>
      <c r="L6" s="28">
        <f>SUM(D6:J6)</f>
        <v>228339</v>
      </c>
      <c r="M6" s="28">
        <f>+'Kiad.intézményenként'!M5</f>
        <v>228339</v>
      </c>
    </row>
    <row r="7" spans="1:13" ht="30">
      <c r="A7" s="16" t="s">
        <v>20</v>
      </c>
      <c r="B7" s="27" t="str">
        <f>+'[1]2mell 1ápr'!A28</f>
        <v>Városellátó  Szervezet</v>
      </c>
      <c r="C7" s="27" t="s">
        <v>376</v>
      </c>
      <c r="D7" s="32">
        <v>85768</v>
      </c>
      <c r="E7" s="32"/>
      <c r="F7" s="32">
        <v>0</v>
      </c>
      <c r="G7" s="32"/>
      <c r="H7" s="32"/>
      <c r="I7" s="29"/>
      <c r="J7" s="32">
        <f>+M7-K7-H7-G7-F7-E7-D7</f>
        <v>94148</v>
      </c>
      <c r="K7" s="32"/>
      <c r="L7" s="32">
        <f>SUM(D7:J7)</f>
        <v>179916</v>
      </c>
      <c r="M7" s="32">
        <f>+'Kiad.intézményenként'!M6</f>
        <v>179916</v>
      </c>
    </row>
    <row r="8" spans="1:13" ht="24" customHeight="1">
      <c r="A8" s="16" t="s">
        <v>21</v>
      </c>
      <c r="C8" s="16" t="s">
        <v>475</v>
      </c>
      <c r="D8" s="29">
        <f>+D7+7175</f>
        <v>92943</v>
      </c>
      <c r="E8" s="29">
        <v>1355</v>
      </c>
      <c r="F8" s="29">
        <f>Bevétel!F88+Bevétel!F89</f>
        <v>653</v>
      </c>
      <c r="G8" s="29">
        <f>+Bevétel!F70</f>
        <v>27490</v>
      </c>
      <c r="H8" s="29"/>
      <c r="I8" s="29"/>
      <c r="J8" s="32">
        <f>+M8-K8-H8-G8-F8-E8-D8</f>
        <v>105694</v>
      </c>
      <c r="K8" s="29"/>
      <c r="L8" s="32">
        <f>SUM(D8:J8)</f>
        <v>228135</v>
      </c>
      <c r="M8" s="32">
        <f>+'Kiad.intézményenként'!M7</f>
        <v>228135</v>
      </c>
    </row>
    <row r="9" spans="2:13" ht="14.25" customHeight="1">
      <c r="B9" s="27"/>
      <c r="D9" s="32"/>
      <c r="E9" s="29"/>
      <c r="F9" s="32"/>
      <c r="G9" s="29"/>
      <c r="H9" s="29"/>
      <c r="I9" s="29"/>
      <c r="J9" s="32"/>
      <c r="K9" s="32"/>
      <c r="L9" s="32"/>
      <c r="M9" s="32"/>
    </row>
    <row r="10" spans="3:13" ht="0.75" customHeight="1" hidden="1">
      <c r="C10" s="27" t="s">
        <v>54</v>
      </c>
      <c r="D10" s="32">
        <v>19283</v>
      </c>
      <c r="E10" s="29"/>
      <c r="F10" s="32">
        <f>+Bevétel!E54+Bevétel!E62+Bevétel!E63</f>
        <v>46745</v>
      </c>
      <c r="G10" s="29"/>
      <c r="H10" s="29"/>
      <c r="I10" s="29"/>
      <c r="J10" s="32">
        <f>+M10-D10-E10-F10-G10-H10-K10</f>
        <v>52974</v>
      </c>
      <c r="K10" s="32"/>
      <c r="L10" s="32">
        <f>SUM(D10:J10)</f>
        <v>119002</v>
      </c>
      <c r="M10" s="32">
        <f>+'Kiad.intézményenként'!M9</f>
        <v>119002</v>
      </c>
    </row>
    <row r="11" spans="3:13" ht="15" hidden="1">
      <c r="C11" s="27" t="s">
        <v>372</v>
      </c>
      <c r="D11" s="32">
        <f aca="true" t="shared" si="0" ref="D11:I11">+D10</f>
        <v>19283</v>
      </c>
      <c r="E11" s="32">
        <v>4065</v>
      </c>
      <c r="F11" s="32">
        <f>+F10-5671</f>
        <v>41074</v>
      </c>
      <c r="G11" s="32">
        <v>1349</v>
      </c>
      <c r="H11" s="32">
        <f t="shared" si="0"/>
        <v>0</v>
      </c>
      <c r="I11" s="32">
        <f t="shared" si="0"/>
        <v>0</v>
      </c>
      <c r="J11" s="32">
        <f>+M11-D11-E11-F11-G11-H11-K11</f>
        <v>69211</v>
      </c>
      <c r="K11" s="32"/>
      <c r="L11" s="32">
        <f>SUM(D11:J11)</f>
        <v>134982</v>
      </c>
      <c r="M11" s="32">
        <f>+'Kiad.intézményenként'!M10</f>
        <v>134982</v>
      </c>
    </row>
    <row r="12" spans="1:13" ht="45">
      <c r="A12" s="16" t="s">
        <v>22</v>
      </c>
      <c r="B12" s="27" t="str">
        <f>+'[1]2mell 1ápr'!A32</f>
        <v>Egészségügyi és Szociális Ellátó Szervezet</v>
      </c>
      <c r="C12" s="27" t="s">
        <v>376</v>
      </c>
      <c r="D12" s="32">
        <v>8903</v>
      </c>
      <c r="E12" s="32">
        <v>0</v>
      </c>
      <c r="F12" s="32">
        <v>32500</v>
      </c>
      <c r="G12" s="32">
        <v>0</v>
      </c>
      <c r="H12" s="32">
        <v>0</v>
      </c>
      <c r="I12" s="32"/>
      <c r="J12" s="32">
        <f>+M12-K12-H12-G12-F12-E12-D12</f>
        <v>84865</v>
      </c>
      <c r="K12" s="32"/>
      <c r="L12" s="32">
        <f>SUM(D12:J12)</f>
        <v>126268</v>
      </c>
      <c r="M12" s="32">
        <f>+'Kiad.intézményenként'!M11</f>
        <v>126268</v>
      </c>
    </row>
    <row r="13" spans="1:13" ht="27.75" customHeight="1">
      <c r="A13" s="16" t="s">
        <v>23</v>
      </c>
      <c r="C13" s="16" t="s">
        <v>475</v>
      </c>
      <c r="D13" s="29">
        <f>+D12</f>
        <v>8903</v>
      </c>
      <c r="E13" s="29">
        <v>616</v>
      </c>
      <c r="F13" s="29">
        <f>+F12+Bevétel!F79+Bevétel!F80+Bevétel!F81+Bevétel!F90+Bevétel!F91+Bevétel!F92+Bevétel!F93</f>
        <v>37428</v>
      </c>
      <c r="G13" s="29">
        <f>+Bevétel!F69</f>
        <v>2356</v>
      </c>
      <c r="H13" s="29"/>
      <c r="I13" s="29"/>
      <c r="J13" s="32">
        <f>+M13-K13-H13-G13-F13-E13-D13</f>
        <v>94341</v>
      </c>
      <c r="K13" s="29"/>
      <c r="L13" s="32">
        <f>SUM(D13:J13)</f>
        <v>143644</v>
      </c>
      <c r="M13" s="32">
        <f>+'Kiad.intézményenként'!M12</f>
        <v>143644</v>
      </c>
    </row>
    <row r="14" spans="4:13" ht="13.5" customHeight="1">
      <c r="D14" s="32"/>
      <c r="E14" s="29"/>
      <c r="F14" s="29"/>
      <c r="G14" s="29"/>
      <c r="H14" s="29"/>
      <c r="I14" s="29"/>
      <c r="J14" s="32"/>
      <c r="K14" s="32"/>
      <c r="L14" s="32"/>
      <c r="M14" s="32"/>
    </row>
    <row r="15" spans="3:13" ht="28.5" customHeight="1" hidden="1">
      <c r="C15" s="27" t="s">
        <v>54</v>
      </c>
      <c r="D15" s="32">
        <v>1290</v>
      </c>
      <c r="E15" s="29"/>
      <c r="F15" s="29"/>
      <c r="G15" s="29"/>
      <c r="H15" s="29"/>
      <c r="I15" s="29"/>
      <c r="J15" s="32">
        <f>+M15-D15-E15-F15-G15-H15-K15</f>
        <v>17458</v>
      </c>
      <c r="K15" s="32"/>
      <c r="L15" s="32">
        <f>SUM(D15:J15)</f>
        <v>18748</v>
      </c>
      <c r="M15" s="32">
        <f>+'Kiad.intézményenként'!M14</f>
        <v>18748</v>
      </c>
    </row>
    <row r="16" spans="3:13" ht="30.75" customHeight="1" hidden="1">
      <c r="C16" s="27" t="s">
        <v>372</v>
      </c>
      <c r="D16" s="32">
        <f>+D15</f>
        <v>1290</v>
      </c>
      <c r="E16" s="32">
        <f>+E15</f>
        <v>0</v>
      </c>
      <c r="F16" s="32">
        <f>+F15+4878</f>
        <v>4878</v>
      </c>
      <c r="G16" s="32">
        <v>806</v>
      </c>
      <c r="H16" s="32">
        <f>+H15+3122</f>
        <v>3122</v>
      </c>
      <c r="I16" s="29"/>
      <c r="J16" s="32">
        <f>+M16-D16-E16-F16-G16-H16-K16</f>
        <v>20900</v>
      </c>
      <c r="K16" s="32"/>
      <c r="L16" s="32">
        <f>SUM(D16:J16)</f>
        <v>30996</v>
      </c>
      <c r="M16" s="32">
        <f>+'Kiad.intézményenként'!M15</f>
        <v>30996</v>
      </c>
    </row>
    <row r="17" spans="1:13" ht="28.5" customHeight="1">
      <c r="A17" s="16" t="s">
        <v>24</v>
      </c>
      <c r="B17" s="27" t="str">
        <f>+'[2]kiadás'!B24</f>
        <v>Városi Művelődési Központ és Könyvtár</v>
      </c>
      <c r="C17" s="27" t="s">
        <v>376</v>
      </c>
      <c r="D17" s="32">
        <v>2200</v>
      </c>
      <c r="E17" s="32"/>
      <c r="F17" s="32">
        <v>0</v>
      </c>
      <c r="G17" s="32"/>
      <c r="H17" s="32"/>
      <c r="I17" s="29"/>
      <c r="J17" s="32">
        <f>+M17-K17-H17-G17-F17-E17-D17</f>
        <v>19318</v>
      </c>
      <c r="K17" s="32"/>
      <c r="L17" s="32">
        <f>SUM(D17:J17)</f>
        <v>21518</v>
      </c>
      <c r="M17" s="32">
        <f>+'Kiad.intézményenként'!M16</f>
        <v>21518</v>
      </c>
    </row>
    <row r="18" spans="1:13" ht="21" customHeight="1">
      <c r="A18" s="16" t="s">
        <v>25</v>
      </c>
      <c r="C18" s="16" t="s">
        <v>475</v>
      </c>
      <c r="D18" s="31">
        <f>+D17+1435</f>
        <v>3635</v>
      </c>
      <c r="E18" s="31">
        <v>268</v>
      </c>
      <c r="F18" s="31">
        <f>+Bevétel!F77+Bevétel!F82+Bevétel!F83+Bevétel!F84+Bevétel!F94+Bevétel!F95</f>
        <v>3257</v>
      </c>
      <c r="G18" s="31">
        <f>+Bevétel!F101</f>
        <v>1000</v>
      </c>
      <c r="H18" s="31">
        <f>+Bevétel!F102+Bevétel!F103</f>
        <v>2262</v>
      </c>
      <c r="I18" s="31"/>
      <c r="J18" s="32">
        <f>+M18-K18-H18-G18-F18-E18-D18</f>
        <v>21584</v>
      </c>
      <c r="K18" s="31"/>
      <c r="L18" s="32">
        <f>SUM(D18:J18)</f>
        <v>32006</v>
      </c>
      <c r="M18" s="32">
        <f>+'Kiad.intézményenként'!M17</f>
        <v>32006</v>
      </c>
    </row>
    <row r="19" spans="4:13" ht="15" customHeight="1">
      <c r="D19" s="31"/>
      <c r="E19" s="31"/>
      <c r="F19" s="31"/>
      <c r="G19" s="31"/>
      <c r="H19" s="31"/>
      <c r="I19" s="31"/>
      <c r="J19" s="31"/>
      <c r="K19" s="29"/>
      <c r="L19" s="31"/>
      <c r="M19" s="31"/>
    </row>
    <row r="20" spans="3:13" ht="28.5" customHeight="1" hidden="1">
      <c r="C20" s="27" t="s">
        <v>54</v>
      </c>
      <c r="D20" s="31">
        <f>122+2014+2061+48-1</f>
        <v>4244</v>
      </c>
      <c r="E20" s="31"/>
      <c r="F20" s="31">
        <f>+Bevétel!E60+Bevétel!E61+Bevétel!E62+Bevétel!E63</f>
        <v>19345</v>
      </c>
      <c r="G20" s="31"/>
      <c r="H20" s="31"/>
      <c r="I20" s="31"/>
      <c r="J20" s="31"/>
      <c r="K20" s="29"/>
      <c r="L20" s="31">
        <f>SUM(D20:J20)</f>
        <v>23589</v>
      </c>
      <c r="M20" s="31" t="e">
        <f>+'Kiad.intézményenként'!M19</f>
        <v>#REF!</v>
      </c>
    </row>
    <row r="21" spans="3:13" ht="15" hidden="1">
      <c r="C21" s="27" t="s">
        <v>372</v>
      </c>
      <c r="D21" s="31">
        <f>+D20</f>
        <v>4244</v>
      </c>
      <c r="E21" s="31">
        <v>40813</v>
      </c>
      <c r="F21" s="31">
        <f>+F20-8000-5671+420+2000+384+93588+39-6500+66445+19+3248</f>
        <v>165317</v>
      </c>
      <c r="G21" s="31">
        <f>+G20</f>
        <v>0</v>
      </c>
      <c r="H21" s="31">
        <v>20200</v>
      </c>
      <c r="I21" s="31"/>
      <c r="J21" s="31"/>
      <c r="K21" s="29"/>
      <c r="L21" s="31">
        <f>SUM(D21:J21)</f>
        <v>230574</v>
      </c>
      <c r="M21" s="31">
        <f>+'Kiad.intézményenként'!M20</f>
        <v>378492</v>
      </c>
    </row>
    <row r="22" spans="1:13" ht="30">
      <c r="A22" s="16" t="s">
        <v>26</v>
      </c>
      <c r="B22" s="27" t="s">
        <v>41</v>
      </c>
      <c r="C22" s="27" t="s">
        <v>376</v>
      </c>
      <c r="D22" s="31">
        <v>500</v>
      </c>
      <c r="E22" s="31"/>
      <c r="F22" s="31">
        <f>+Bevétel!E55+Bevétel!E60+Bevétel!E61+Bevétel!E62+Bevétel!E63+Bevétel!E64</f>
        <v>117844</v>
      </c>
      <c r="G22" s="31"/>
      <c r="H22" s="31"/>
      <c r="I22" s="31"/>
      <c r="J22" s="31"/>
      <c r="K22" s="29">
        <f>+Bevétel!E6-Bevétel!E7+Bevétel!E20+Bevétel!E24+Bevétel!E105</f>
        <v>447916</v>
      </c>
      <c r="L22" s="31">
        <f>SUM(D22:K22)</f>
        <v>566260</v>
      </c>
      <c r="M22" s="31">
        <f>+'Kiad.intézményenként'!M21</f>
        <v>131953</v>
      </c>
    </row>
    <row r="23" spans="1:13" ht="24" customHeight="1">
      <c r="A23" s="16" t="s">
        <v>27</v>
      </c>
      <c r="C23" s="16" t="s">
        <v>475</v>
      </c>
      <c r="D23" s="31">
        <f>+D22+8731</f>
        <v>9231</v>
      </c>
      <c r="E23" s="31">
        <v>75457</v>
      </c>
      <c r="F23" s="31">
        <f>+Bevétel!F55+Bevétel!F60+Bevétel!F61+Bevétel!F62+Bevétel!F63+Bevétel!F64+Bevétel!F65+Bevétel!F75+Bevétel!F78+Bevétel!F85+Bevétel!F86</f>
        <v>229960</v>
      </c>
      <c r="G23" s="31"/>
      <c r="H23" s="31">
        <f>+Bevétel!F99+Bevétel!F100</f>
        <v>32306</v>
      </c>
      <c r="I23" s="31"/>
      <c r="J23" s="31"/>
      <c r="K23" s="29">
        <f>+Bevétel!F6-Bevétel!F7+Bevétel!F20+Bevétel!F24+Bevétel!F105</f>
        <v>817099</v>
      </c>
      <c r="L23" s="31">
        <f>SUM(D23:K23)</f>
        <v>1164053</v>
      </c>
      <c r="M23" s="31">
        <f>+'Kiad.intézményenként'!M22</f>
        <v>444469</v>
      </c>
    </row>
    <row r="24" spans="3:13" ht="15">
      <c r="C24" s="27"/>
      <c r="D24" s="31"/>
      <c r="E24" s="31"/>
      <c r="F24" s="31"/>
      <c r="G24" s="31"/>
      <c r="H24" s="31"/>
      <c r="I24" s="31"/>
      <c r="J24" s="31"/>
      <c r="K24" s="29"/>
      <c r="L24" s="31"/>
      <c r="M24" s="31"/>
    </row>
    <row r="25" spans="3:13" ht="31.5" customHeight="1" hidden="1">
      <c r="C25" s="27" t="s">
        <v>54</v>
      </c>
      <c r="D25" s="32">
        <f>216+1375-1</f>
        <v>1590</v>
      </c>
      <c r="E25" s="29"/>
      <c r="F25" s="29">
        <f>+Bevétel!D55</f>
        <v>146826</v>
      </c>
      <c r="G25" s="29"/>
      <c r="H25" s="29"/>
      <c r="I25" s="29"/>
      <c r="J25" s="32">
        <f>+M25-D25-E25-F25-G25-H25-K25</f>
        <v>175377</v>
      </c>
      <c r="K25" s="31"/>
      <c r="L25" s="32">
        <f>SUM(D25:J25)</f>
        <v>323793</v>
      </c>
      <c r="M25" s="32">
        <f>+'Kiad.intézményenként'!M27</f>
        <v>323793</v>
      </c>
    </row>
    <row r="26" spans="3:13" ht="31.5" customHeight="1" hidden="1">
      <c r="C26" s="27" t="s">
        <v>372</v>
      </c>
      <c r="D26" s="32">
        <f>+D25</f>
        <v>1590</v>
      </c>
      <c r="E26" s="32">
        <v>6610</v>
      </c>
      <c r="F26" s="32">
        <f>+F25-84005+9981-26912-16962+11548</f>
        <v>40476</v>
      </c>
      <c r="G26" s="32">
        <v>225</v>
      </c>
      <c r="H26" s="32">
        <f>+H25</f>
        <v>0</v>
      </c>
      <c r="I26" s="29"/>
      <c r="J26" s="32">
        <f>+M26-K26-H26-G26-F26-E26-D26</f>
        <v>311996</v>
      </c>
      <c r="K26" s="31"/>
      <c r="L26" s="32">
        <f>SUM(D26:J26)</f>
        <v>360897</v>
      </c>
      <c r="M26" s="32">
        <f>+'Kiad.intézményenként'!M28</f>
        <v>360897</v>
      </c>
    </row>
    <row r="27" spans="1:13" ht="32.25" customHeight="1">
      <c r="A27" s="16" t="s">
        <v>28</v>
      </c>
      <c r="B27" s="27" t="s">
        <v>338</v>
      </c>
      <c r="C27" s="27" t="s">
        <v>376</v>
      </c>
      <c r="D27" s="29">
        <v>2100</v>
      </c>
      <c r="E27" s="29"/>
      <c r="F27" s="29">
        <v>0</v>
      </c>
      <c r="G27" s="29"/>
      <c r="H27" s="29"/>
      <c r="I27" s="29"/>
      <c r="J27" s="32">
        <f>+M27-K27-H27-G27-F27-E27-D27</f>
        <v>278832</v>
      </c>
      <c r="K27" s="29"/>
      <c r="L27" s="32">
        <f>SUM(D27:J27)</f>
        <v>280932</v>
      </c>
      <c r="M27" s="29">
        <f>+'Kiad.intézményenként'!M30</f>
        <v>280932</v>
      </c>
    </row>
    <row r="28" spans="1:13" ht="24.75" customHeight="1">
      <c r="A28" s="16" t="s">
        <v>29</v>
      </c>
      <c r="C28" s="16" t="s">
        <v>475</v>
      </c>
      <c r="D28" s="29">
        <f>+D27+2500</f>
        <v>4600</v>
      </c>
      <c r="E28" s="29">
        <v>261</v>
      </c>
      <c r="F28" s="29">
        <f>+Bevétel!F66+Bevétel!F76+Bevétel!F87+Bevétel!F96</f>
        <v>4119</v>
      </c>
      <c r="G28" s="29">
        <f>+Bevétel!F68</f>
        <v>5343</v>
      </c>
      <c r="H28" s="29"/>
      <c r="I28" s="29"/>
      <c r="J28" s="32">
        <f>+M28-K28-H28-G28-F28-E28-D28</f>
        <v>277644</v>
      </c>
      <c r="K28" s="29"/>
      <c r="L28" s="32">
        <f>SUM(D28:J28)</f>
        <v>291967</v>
      </c>
      <c r="M28" s="29">
        <f>+'Kiad.intézményenként'!M31</f>
        <v>291967</v>
      </c>
    </row>
    <row r="29" spans="3:13" ht="15" customHeight="1">
      <c r="C29" s="27"/>
      <c r="D29" s="29"/>
      <c r="E29" s="29"/>
      <c r="F29" s="29"/>
      <c r="G29" s="29"/>
      <c r="H29" s="29"/>
      <c r="I29" s="29"/>
      <c r="J29" s="29"/>
      <c r="K29" s="29"/>
      <c r="L29" s="32"/>
      <c r="M29" s="29"/>
    </row>
    <row r="30" spans="3:13" ht="32.25" customHeight="1" hidden="1">
      <c r="C30" s="27" t="s">
        <v>54</v>
      </c>
      <c r="D30" s="31">
        <f aca="true" t="shared" si="1" ref="D30:M30">+D25+D20+D15+D10+D5</f>
        <v>114297</v>
      </c>
      <c r="E30" s="31">
        <f t="shared" si="1"/>
        <v>0</v>
      </c>
      <c r="F30" s="31">
        <f t="shared" si="1"/>
        <v>212916</v>
      </c>
      <c r="G30" s="31">
        <f t="shared" si="1"/>
        <v>0</v>
      </c>
      <c r="H30" s="31">
        <f t="shared" si="1"/>
        <v>0</v>
      </c>
      <c r="I30" s="31">
        <f t="shared" si="1"/>
        <v>0</v>
      </c>
      <c r="J30" s="31">
        <f t="shared" si="1"/>
        <v>340029</v>
      </c>
      <c r="K30" s="31">
        <f t="shared" si="1"/>
        <v>0</v>
      </c>
      <c r="L30" s="31">
        <f t="shared" si="1"/>
        <v>667242</v>
      </c>
      <c r="M30" s="31" t="e">
        <f t="shared" si="1"/>
        <v>#REF!</v>
      </c>
    </row>
    <row r="31" spans="3:13" ht="15" hidden="1">
      <c r="C31" s="27" t="s">
        <v>372</v>
      </c>
      <c r="D31" s="31">
        <f aca="true" t="shared" si="2" ref="D31:M31">+D26+D21+D16+D11+D6</f>
        <v>114297</v>
      </c>
      <c r="E31" s="31">
        <f t="shared" si="2"/>
        <v>52602</v>
      </c>
      <c r="F31" s="31">
        <f t="shared" si="2"/>
        <v>251745</v>
      </c>
      <c r="G31" s="31">
        <f t="shared" si="2"/>
        <v>3726</v>
      </c>
      <c r="H31" s="31">
        <f t="shared" si="2"/>
        <v>23322</v>
      </c>
      <c r="I31" s="31">
        <f t="shared" si="2"/>
        <v>0</v>
      </c>
      <c r="J31" s="31">
        <f t="shared" si="2"/>
        <v>540096</v>
      </c>
      <c r="K31" s="31">
        <f t="shared" si="2"/>
        <v>0</v>
      </c>
      <c r="L31" s="31">
        <f t="shared" si="2"/>
        <v>985788</v>
      </c>
      <c r="M31" s="31">
        <f t="shared" si="2"/>
        <v>1133706</v>
      </c>
    </row>
    <row r="32" spans="1:13" ht="33.75" customHeight="1">
      <c r="A32" s="16" t="s">
        <v>30</v>
      </c>
      <c r="B32" s="33" t="s">
        <v>53</v>
      </c>
      <c r="C32" s="27" t="s">
        <v>376</v>
      </c>
      <c r="D32" s="31">
        <f aca="true" t="shared" si="3" ref="D32:K33">+D27+D22+D17+D12+D7</f>
        <v>99471</v>
      </c>
      <c r="E32" s="31">
        <f t="shared" si="3"/>
        <v>0</v>
      </c>
      <c r="F32" s="31">
        <f t="shared" si="3"/>
        <v>150344</v>
      </c>
      <c r="G32" s="31">
        <f t="shared" si="3"/>
        <v>0</v>
      </c>
      <c r="H32" s="31">
        <f t="shared" si="3"/>
        <v>0</v>
      </c>
      <c r="I32" s="31">
        <f t="shared" si="3"/>
        <v>0</v>
      </c>
      <c r="J32" s="31">
        <f t="shared" si="3"/>
        <v>477163</v>
      </c>
      <c r="K32" s="31">
        <f t="shared" si="3"/>
        <v>447916</v>
      </c>
      <c r="L32" s="31">
        <f>+K32+H32+G32+F32+E32+D32</f>
        <v>697731</v>
      </c>
      <c r="M32" s="31">
        <f>+M27+M22+M17+M12+M7</f>
        <v>740587</v>
      </c>
    </row>
    <row r="33" spans="1:13" ht="18" customHeight="1">
      <c r="A33" s="16" t="s">
        <v>31</v>
      </c>
      <c r="B33" s="30"/>
      <c r="C33" s="16" t="s">
        <v>475</v>
      </c>
      <c r="D33" s="31">
        <f>+D28+D23+D18+D13+D8</f>
        <v>119312</v>
      </c>
      <c r="E33" s="31">
        <f t="shared" si="3"/>
        <v>77957</v>
      </c>
      <c r="F33" s="31">
        <f>+F28+F23+F18+F13+F8</f>
        <v>275417</v>
      </c>
      <c r="G33" s="31">
        <f>+G28+G23+G18+G13+G8</f>
        <v>36189</v>
      </c>
      <c r="H33" s="31">
        <f t="shared" si="3"/>
        <v>34568</v>
      </c>
      <c r="I33" s="31">
        <f t="shared" si="3"/>
        <v>0</v>
      </c>
      <c r="J33" s="31">
        <f t="shared" si="3"/>
        <v>499263</v>
      </c>
      <c r="K33" s="31">
        <f t="shared" si="3"/>
        <v>817099</v>
      </c>
      <c r="L33" s="31">
        <f>+L28+L23+L18+L13+L8</f>
        <v>1859805</v>
      </c>
      <c r="M33" s="31">
        <f>+M28+M23+M18+M13+M8</f>
        <v>1140221</v>
      </c>
    </row>
    <row r="34" spans="2:13" ht="15" hidden="1">
      <c r="B34" s="30"/>
      <c r="D34" s="30"/>
      <c r="E34" s="30"/>
      <c r="F34" s="30"/>
      <c r="G34" s="30"/>
      <c r="H34" s="30"/>
      <c r="I34" s="30"/>
      <c r="J34" s="30"/>
      <c r="K34" s="30"/>
      <c r="L34" s="30"/>
      <c r="M34" s="31">
        <f>+Kiadás!F32</f>
        <v>1372626</v>
      </c>
    </row>
    <row r="35" spans="6:11" ht="15" customHeight="1" hidden="1">
      <c r="F35" s="29">
        <f>SUM(F33:H33)</f>
        <v>346174</v>
      </c>
      <c r="K35" s="29"/>
    </row>
    <row r="36" spans="6:8" ht="15" customHeight="1" hidden="1">
      <c r="F36" s="29">
        <f>+Bevétel!F53-Bevétel!F67</f>
        <v>275417</v>
      </c>
      <c r="G36" s="29">
        <f>+Bevétel!F67+Bevétel!F101</f>
        <v>36189</v>
      </c>
      <c r="H36" s="29">
        <f>+Bevétel!F98-Bevétel!F101</f>
        <v>34568</v>
      </c>
    </row>
    <row r="37" ht="15" customHeight="1" hidden="1">
      <c r="H37" s="29">
        <f>SUM(F36:H36)</f>
        <v>346174</v>
      </c>
    </row>
    <row r="38" ht="15" customHeight="1" hidden="1">
      <c r="F38" s="29"/>
    </row>
    <row r="39" spans="12:13" ht="15" customHeight="1">
      <c r="L39" s="16">
        <v>1838444</v>
      </c>
      <c r="M39" s="16">
        <v>70000</v>
      </c>
    </row>
    <row r="40" spans="6:16" ht="15" customHeight="1">
      <c r="F40" s="29">
        <f>+Bevétel!F53</f>
        <v>310606</v>
      </c>
      <c r="M40" s="16">
        <v>162405</v>
      </c>
      <c r="P40" s="29"/>
    </row>
    <row r="41" spans="6:14" ht="15" customHeight="1">
      <c r="F41" s="29">
        <f>+F33+G33</f>
        <v>311606</v>
      </c>
      <c r="L41" s="29">
        <f>L33-J33</f>
        <v>1360542</v>
      </c>
      <c r="M41" s="29">
        <f>M33+M39+M40</f>
        <v>1372626</v>
      </c>
      <c r="N41" s="29">
        <f>M41-L41</f>
        <v>12084</v>
      </c>
    </row>
    <row r="42" ht="15" customHeight="1">
      <c r="P42" s="29"/>
    </row>
    <row r="43" ht="15" customHeight="1">
      <c r="F43" s="29">
        <f>+F41-F40</f>
        <v>1000</v>
      </c>
    </row>
    <row r="45" ht="15" customHeight="1">
      <c r="J45" s="29">
        <f>SUM(D33:H33)+K33</f>
        <v>1360542</v>
      </c>
    </row>
    <row r="46" ht="15" customHeight="1">
      <c r="J46" s="29">
        <f>J45+N41</f>
        <v>1372626</v>
      </c>
    </row>
  </sheetData>
  <sheetProtection/>
  <mergeCells count="1">
    <mergeCell ref="F1:H1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  <headerFooter alignWithMargins="0">
    <oddHeader>&amp;L3. melléklet a 2014. évi 15/2014.(XI.27.) Önkormányzati költségvetési rendelethez&amp;R&amp;D</oddHeader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view="pageBreakPreview" zoomScaleSheetLayoutView="100" zoomScalePageLayoutView="0" workbookViewId="0" topLeftCell="A1">
      <selection activeCell="F22" sqref="F22"/>
    </sheetView>
  </sheetViews>
  <sheetFormatPr defaultColWidth="9.140625" defaultRowHeight="15" customHeight="1"/>
  <cols>
    <col min="1" max="1" width="4.57421875" style="7" bestFit="1" customWidth="1"/>
    <col min="2" max="2" width="25.57421875" style="1" customWidth="1"/>
    <col min="3" max="3" width="15.140625" style="37" bestFit="1" customWidth="1"/>
    <col min="4" max="4" width="11.421875" style="1" customWidth="1"/>
    <col min="5" max="5" width="10.140625" style="1" customWidth="1"/>
    <col min="6" max="6" width="10.28125" style="1" bestFit="1" customWidth="1"/>
    <col min="7" max="7" width="12.8515625" style="1" customWidth="1"/>
    <col min="8" max="8" width="11.140625" style="1" bestFit="1" customWidth="1"/>
    <col min="9" max="9" width="13.00390625" style="1" customWidth="1"/>
    <col min="10" max="10" width="12.8515625" style="1" customWidth="1"/>
    <col min="11" max="11" width="9.00390625" style="1" customWidth="1"/>
    <col min="12" max="12" width="11.140625" style="1" bestFit="1" customWidth="1"/>
    <col min="13" max="13" width="11.8515625" style="1" customWidth="1"/>
    <col min="14" max="14" width="4.00390625" style="1" bestFit="1" customWidth="1"/>
    <col min="15" max="15" width="10.140625" style="1" bestFit="1" customWidth="1"/>
    <col min="16" max="16" width="9.28125" style="1" bestFit="1" customWidth="1"/>
    <col min="17" max="23" width="9.140625" style="1" customWidth="1"/>
    <col min="24" max="24" width="13.28125" style="1" bestFit="1" customWidth="1"/>
    <col min="25" max="16384" width="9.140625" style="1" customWidth="1"/>
  </cols>
  <sheetData>
    <row r="1" spans="2:14" ht="15" customHeight="1">
      <c r="B1" s="2" t="s">
        <v>0</v>
      </c>
      <c r="C1" s="470" t="s">
        <v>55</v>
      </c>
      <c r="D1" s="8" t="s">
        <v>56</v>
      </c>
      <c r="E1" s="3" t="s">
        <v>57</v>
      </c>
      <c r="F1" s="34" t="s">
        <v>58</v>
      </c>
      <c r="G1" s="4" t="s">
        <v>59</v>
      </c>
      <c r="H1" s="678" t="s">
        <v>60</v>
      </c>
      <c r="I1" s="678"/>
      <c r="J1" s="678"/>
      <c r="K1" s="678"/>
      <c r="L1" s="3" t="s">
        <v>39</v>
      </c>
      <c r="M1" s="3" t="s">
        <v>61</v>
      </c>
      <c r="N1" s="3"/>
    </row>
    <row r="2" spans="2:14" ht="15" customHeight="1">
      <c r="B2" s="5"/>
      <c r="C2" s="361"/>
      <c r="D2" s="6"/>
      <c r="E2" s="6"/>
      <c r="F2" s="6"/>
      <c r="G2" s="6"/>
      <c r="H2" s="6" t="s">
        <v>7</v>
      </c>
      <c r="I2" s="6" t="s">
        <v>62</v>
      </c>
      <c r="J2" s="6" t="s">
        <v>8</v>
      </c>
      <c r="K2" s="6" t="s">
        <v>9</v>
      </c>
      <c r="L2" s="6"/>
      <c r="M2" s="6"/>
      <c r="N2" s="6"/>
    </row>
    <row r="3" spans="1:14" s="7" customFormat="1" ht="20.25" customHeight="1">
      <c r="A3" s="7" t="s">
        <v>363</v>
      </c>
      <c r="B3" s="2" t="s">
        <v>12</v>
      </c>
      <c r="C3" s="470" t="s">
        <v>13</v>
      </c>
      <c r="D3" s="3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3" t="s">
        <v>63</v>
      </c>
      <c r="J3" s="3" t="s">
        <v>19</v>
      </c>
      <c r="K3" s="3" t="s">
        <v>361</v>
      </c>
      <c r="L3" s="3" t="s">
        <v>362</v>
      </c>
      <c r="M3" s="3" t="s">
        <v>364</v>
      </c>
      <c r="N3" s="3"/>
    </row>
    <row r="4" spans="3:14" ht="31.5" customHeight="1" hidden="1">
      <c r="C4" s="354" t="s">
        <v>54</v>
      </c>
      <c r="D4" s="87">
        <v>41905</v>
      </c>
      <c r="E4" s="87">
        <v>11238</v>
      </c>
      <c r="F4" s="87">
        <f>130967-4000+2000</f>
        <v>128967</v>
      </c>
      <c r="G4" s="87">
        <f>SUM(D4:F4)</f>
        <v>182110</v>
      </c>
      <c r="H4" s="87"/>
      <c r="I4" s="87"/>
      <c r="J4" s="87"/>
      <c r="K4" s="87"/>
      <c r="L4" s="87"/>
      <c r="M4" s="87">
        <f>SUM(G4:L4)</f>
        <v>182110</v>
      </c>
      <c r="N4" s="10"/>
    </row>
    <row r="5" spans="3:14" ht="30.75" hidden="1">
      <c r="C5" s="357" t="s">
        <v>373</v>
      </c>
      <c r="D5" s="87">
        <f>+D4+713+364+235+449</f>
        <v>43666</v>
      </c>
      <c r="E5" s="87">
        <f>+E4+192+462+63+122</f>
        <v>12077</v>
      </c>
      <c r="F5" s="87">
        <f>+F4+43132</f>
        <v>172099</v>
      </c>
      <c r="G5" s="87">
        <f>SUM(D5:F5)</f>
        <v>227842</v>
      </c>
      <c r="H5" s="87"/>
      <c r="I5" s="87"/>
      <c r="J5" s="87"/>
      <c r="K5" s="87"/>
      <c r="L5" s="87">
        <v>497</v>
      </c>
      <c r="M5" s="87">
        <f>SUM(G5:L5)</f>
        <v>228339</v>
      </c>
      <c r="N5" s="10"/>
    </row>
    <row r="6" spans="1:17" s="10" customFormat="1" ht="31.5">
      <c r="A6" s="7" t="s">
        <v>20</v>
      </c>
      <c r="B6" s="9" t="str">
        <f>+'[1]2mell 1ápr'!A28</f>
        <v>Városellátó  Szervezet</v>
      </c>
      <c r="C6" s="10" t="s">
        <v>376</v>
      </c>
      <c r="D6" s="14">
        <v>42097</v>
      </c>
      <c r="E6" s="14">
        <v>11376</v>
      </c>
      <c r="F6" s="14">
        <v>126443</v>
      </c>
      <c r="G6" s="14">
        <f>SUM(D6:F6)</f>
        <v>179916</v>
      </c>
      <c r="H6" s="14"/>
      <c r="I6" s="14"/>
      <c r="J6" s="14"/>
      <c r="K6" s="14"/>
      <c r="L6" s="14">
        <v>0</v>
      </c>
      <c r="M6" s="14">
        <f>SUM(G6:L6)</f>
        <v>179916</v>
      </c>
      <c r="Q6" s="10">
        <f>P8+P16+P18+P21+P29+P32+P42+P46+P52+P54</f>
        <v>0</v>
      </c>
    </row>
    <row r="7" spans="1:13" s="10" customFormat="1" ht="31.5">
      <c r="A7" s="39" t="s">
        <v>21</v>
      </c>
      <c r="B7" s="362"/>
      <c r="C7" s="362" t="s">
        <v>474</v>
      </c>
      <c r="D7" s="14">
        <f>+D6+229+370+867+247+400+600</f>
        <v>44810</v>
      </c>
      <c r="E7" s="14">
        <f>+E6+62+100+234+66+108+53</f>
        <v>11999</v>
      </c>
      <c r="F7" s="14">
        <f>163522+110+7175-1333</f>
        <v>169474</v>
      </c>
      <c r="G7" s="14">
        <f>SUM(D7:F7)</f>
        <v>226283</v>
      </c>
      <c r="H7" s="14"/>
      <c r="I7" s="14"/>
      <c r="J7" s="14"/>
      <c r="K7" s="14"/>
      <c r="L7" s="14">
        <f>+'Felhalm.kiad.'!D16</f>
        <v>1852</v>
      </c>
      <c r="M7" s="14">
        <f>SUM(G7:L7)</f>
        <v>228135</v>
      </c>
    </row>
    <row r="8" spans="3:14" ht="15.75">
      <c r="C8" s="87"/>
      <c r="D8" s="568"/>
      <c r="E8" s="568"/>
      <c r="F8" s="568"/>
      <c r="G8" s="568"/>
      <c r="H8" s="568"/>
      <c r="I8" s="568"/>
      <c r="J8" s="568"/>
      <c r="K8" s="568"/>
      <c r="L8" s="568"/>
      <c r="M8" s="568"/>
      <c r="N8" s="10"/>
    </row>
    <row r="9" spans="1:15" ht="33" customHeight="1" hidden="1">
      <c r="A9" s="1"/>
      <c r="C9" s="354" t="s">
        <v>54</v>
      </c>
      <c r="D9" s="568">
        <v>62208</v>
      </c>
      <c r="E9" s="568">
        <v>14440</v>
      </c>
      <c r="F9" s="568">
        <f>42090+274+3846+144-4000</f>
        <v>42354</v>
      </c>
      <c r="G9" s="568">
        <f>SUM(D9:F9)</f>
        <v>119002</v>
      </c>
      <c r="H9" s="568"/>
      <c r="I9" s="568"/>
      <c r="J9" s="568"/>
      <c r="K9" s="568"/>
      <c r="L9" s="568"/>
      <c r="M9" s="568">
        <f>SUM(G9:L9)</f>
        <v>119002</v>
      </c>
      <c r="N9" s="10"/>
      <c r="O9" s="1">
        <v>127355</v>
      </c>
    </row>
    <row r="10" spans="3:14" ht="30.75" hidden="1">
      <c r="C10" s="357" t="s">
        <v>373</v>
      </c>
      <c r="D10" s="568">
        <f>+D9+1303+360+462+669</f>
        <v>65002</v>
      </c>
      <c r="E10" s="568">
        <f>+E9+352+97+125+180</f>
        <v>15194</v>
      </c>
      <c r="F10" s="568">
        <f>+F9+8867+1674+1891</f>
        <v>54786</v>
      </c>
      <c r="G10" s="568">
        <f>SUM(D10:F10)</f>
        <v>134982</v>
      </c>
      <c r="H10" s="568"/>
      <c r="I10" s="568"/>
      <c r="J10" s="568"/>
      <c r="K10" s="568"/>
      <c r="L10" s="568"/>
      <c r="M10" s="568">
        <f>SUM(G10:L10)</f>
        <v>134982</v>
      </c>
      <c r="N10" s="10"/>
    </row>
    <row r="11" spans="1:13" s="10" customFormat="1" ht="47.25">
      <c r="A11" s="7" t="s">
        <v>22</v>
      </c>
      <c r="B11" s="9" t="str">
        <f>+'[1]2mell 1ápr'!A32</f>
        <v>Egészségügyi és Szociális Ellátó Szervezet</v>
      </c>
      <c r="C11" s="10" t="s">
        <v>376</v>
      </c>
      <c r="D11" s="14">
        <v>66502</v>
      </c>
      <c r="E11" s="14">
        <v>17794</v>
      </c>
      <c r="F11" s="14">
        <v>41972</v>
      </c>
      <c r="G11" s="14">
        <f>SUM(D11:F11)</f>
        <v>126268</v>
      </c>
      <c r="H11" s="14"/>
      <c r="I11" s="14"/>
      <c r="J11" s="14"/>
      <c r="K11" s="14"/>
      <c r="L11" s="14"/>
      <c r="M11" s="14">
        <f>SUM(G11:L11)</f>
        <v>126268</v>
      </c>
    </row>
    <row r="12" spans="1:13" s="10" customFormat="1" ht="31.5">
      <c r="A12" s="39" t="s">
        <v>23</v>
      </c>
      <c r="B12" s="362"/>
      <c r="C12" s="362" t="s">
        <v>474</v>
      </c>
      <c r="D12" s="14">
        <f>+D11+336+333+503+469+1165+623+283+541+508+1074</f>
        <v>72337</v>
      </c>
      <c r="E12" s="14">
        <f>+E11+90+90+136+126+314+168+76+146+137+110</f>
        <v>19187</v>
      </c>
      <c r="F12" s="14">
        <f>45726+1000+800+54+1890</f>
        <v>49470</v>
      </c>
      <c r="G12" s="14">
        <f>SUM(D12:F12)</f>
        <v>140994</v>
      </c>
      <c r="H12" s="14"/>
      <c r="I12" s="14"/>
      <c r="J12" s="14"/>
      <c r="K12" s="14"/>
      <c r="L12" s="14">
        <f>+'Felhalm.kiad.'!D14</f>
        <v>2650</v>
      </c>
      <c r="M12" s="14">
        <f>SUM(G12:L12)</f>
        <v>143644</v>
      </c>
    </row>
    <row r="13" spans="3:14" ht="15.75">
      <c r="C13" s="87"/>
      <c r="D13" s="568"/>
      <c r="E13" s="568"/>
      <c r="F13" s="568"/>
      <c r="G13" s="568"/>
      <c r="H13" s="568"/>
      <c r="I13" s="568"/>
      <c r="J13" s="568"/>
      <c r="K13" s="568"/>
      <c r="L13" s="568"/>
      <c r="M13" s="14"/>
      <c r="N13" s="10"/>
    </row>
    <row r="14" spans="1:14" ht="31.5" customHeight="1" hidden="1">
      <c r="A14" s="1"/>
      <c r="C14" s="354" t="s">
        <v>54</v>
      </c>
      <c r="D14" s="568">
        <v>9313</v>
      </c>
      <c r="E14" s="568">
        <v>2514</v>
      </c>
      <c r="F14" s="568">
        <f>8521-2000+400</f>
        <v>6921</v>
      </c>
      <c r="G14" s="568">
        <f>SUM(D14:F14)</f>
        <v>18748</v>
      </c>
      <c r="H14" s="568"/>
      <c r="I14" s="568"/>
      <c r="J14" s="568"/>
      <c r="K14" s="568"/>
      <c r="L14" s="568"/>
      <c r="M14" s="568">
        <f>SUM(G14:L14)</f>
        <v>18748</v>
      </c>
      <c r="N14" s="10"/>
    </row>
    <row r="15" spans="3:14" ht="30.75" hidden="1">
      <c r="C15" s="357" t="s">
        <v>373</v>
      </c>
      <c r="D15" s="568">
        <f>+D14+95+32+756+72</f>
        <v>10268</v>
      </c>
      <c r="E15" s="568">
        <f>+E14+25+8+204+21</f>
        <v>2772</v>
      </c>
      <c r="F15" s="568">
        <f>+F14+2408+408-408+179+3918+1000</f>
        <v>14426</v>
      </c>
      <c r="G15" s="568">
        <f>SUM(D15:F15)</f>
        <v>27466</v>
      </c>
      <c r="H15" s="568"/>
      <c r="I15" s="568"/>
      <c r="J15" s="568"/>
      <c r="K15" s="568"/>
      <c r="L15" s="568">
        <f>408+3122</f>
        <v>3530</v>
      </c>
      <c r="M15" s="568">
        <f>SUM(G15:L15)</f>
        <v>30996</v>
      </c>
      <c r="N15" s="10"/>
    </row>
    <row r="16" spans="1:13" s="10" customFormat="1" ht="31.5">
      <c r="A16" s="7" t="s">
        <v>24</v>
      </c>
      <c r="B16" s="9" t="s">
        <v>64</v>
      </c>
      <c r="C16" s="10" t="s">
        <v>376</v>
      </c>
      <c r="D16" s="14">
        <v>9409</v>
      </c>
      <c r="E16" s="14">
        <v>2539</v>
      </c>
      <c r="F16" s="14">
        <f>8870+700</f>
        <v>9570</v>
      </c>
      <c r="G16" s="14">
        <f>SUM(D16:F16)</f>
        <v>21518</v>
      </c>
      <c r="H16" s="14"/>
      <c r="I16" s="14"/>
      <c r="J16" s="14"/>
      <c r="K16" s="14"/>
      <c r="L16" s="14">
        <v>0</v>
      </c>
      <c r="M16" s="14">
        <f>SUM(G16:L16)</f>
        <v>21518</v>
      </c>
    </row>
    <row r="17" spans="1:13" s="10" customFormat="1" ht="31.5">
      <c r="A17" s="39" t="s">
        <v>25</v>
      </c>
      <c r="B17" s="362"/>
      <c r="C17" s="362" t="s">
        <v>474</v>
      </c>
      <c r="D17" s="14">
        <f>+D16+31+46+269+325+31+51</f>
        <v>10162</v>
      </c>
      <c r="E17" s="14">
        <f>+E16+9+13+36+88+8+14</f>
        <v>2707</v>
      </c>
      <c r="F17" s="14">
        <f>10862+281+338+800+280+400+80+6-800+282+1530</f>
        <v>14059</v>
      </c>
      <c r="G17" s="14">
        <f>SUM(D17:F17)</f>
        <v>26928</v>
      </c>
      <c r="H17" s="14">
        <f>+Átadott!D38</f>
        <v>1016</v>
      </c>
      <c r="I17" s="14"/>
      <c r="J17" s="14"/>
      <c r="K17" s="14"/>
      <c r="L17" s="14">
        <f>+'Felhalm.kiad.'!D13+'Felhalm.kiad.'!D15+'Felhalm.kiad.'!D18+'Felhalm.kiad.'!D19</f>
        <v>4062</v>
      </c>
      <c r="M17" s="14">
        <f>SUM(G17:L17)</f>
        <v>32006</v>
      </c>
    </row>
    <row r="18" spans="3:14" ht="15.75">
      <c r="C18" s="355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12"/>
    </row>
    <row r="19" spans="1:14" ht="29.25" customHeight="1" hidden="1">
      <c r="A19" s="1"/>
      <c r="C19" s="357" t="s">
        <v>54</v>
      </c>
      <c r="D19" s="356">
        <v>15988</v>
      </c>
      <c r="E19" s="356">
        <v>2561</v>
      </c>
      <c r="F19" s="356">
        <f>54260-2000</f>
        <v>52260</v>
      </c>
      <c r="G19" s="356">
        <f>SUM(D19:F19)</f>
        <v>70809</v>
      </c>
      <c r="H19" s="356" t="e">
        <f>+Átadott!#REF!</f>
        <v>#REF!</v>
      </c>
      <c r="I19" s="356">
        <v>5828</v>
      </c>
      <c r="J19" s="356"/>
      <c r="K19" s="356"/>
      <c r="L19" s="356">
        <v>0</v>
      </c>
      <c r="M19" s="356" t="e">
        <f>SUM(G19:L19)</f>
        <v>#REF!</v>
      </c>
      <c r="N19" s="12"/>
    </row>
    <row r="20" spans="1:14" ht="0.75" customHeight="1">
      <c r="A20" s="7">
        <v>7</v>
      </c>
      <c r="C20" s="357" t="s">
        <v>373</v>
      </c>
      <c r="D20" s="356">
        <f>+D19+21+302+62985+214+45000+21+37</f>
        <v>124568</v>
      </c>
      <c r="E20" s="356">
        <f>+E19+6+82+8503+52+6300+6</f>
        <v>17510</v>
      </c>
      <c r="F20" s="356">
        <f>+F19+55665+15600-4751+15145-323-2252-347+9</f>
        <v>131006</v>
      </c>
      <c r="G20" s="356">
        <f>SUM(D20:F20)</f>
        <v>273084</v>
      </c>
      <c r="H20" s="356">
        <v>29562</v>
      </c>
      <c r="I20" s="356">
        <v>18442</v>
      </c>
      <c r="J20" s="356">
        <v>3726</v>
      </c>
      <c r="K20" s="356">
        <v>3000</v>
      </c>
      <c r="L20" s="356">
        <v>50678</v>
      </c>
      <c r="M20" s="356">
        <f>SUM(G20:L20)</f>
        <v>378492</v>
      </c>
      <c r="N20" s="12"/>
    </row>
    <row r="21" spans="1:14" ht="31.5">
      <c r="A21" s="7" t="s">
        <v>26</v>
      </c>
      <c r="B21" s="15" t="str">
        <f>+'[2]bevétel'!B34</f>
        <v>Battonya Város Önkormányzata</v>
      </c>
      <c r="C21" s="1" t="s">
        <v>376</v>
      </c>
      <c r="D21" s="13">
        <f>1620+1412</f>
        <v>3032</v>
      </c>
      <c r="E21" s="13">
        <f>381+394</f>
        <v>775</v>
      </c>
      <c r="F21" s="13">
        <f>2105+507+3067+9450</f>
        <v>15129</v>
      </c>
      <c r="G21" s="13">
        <f>SUM(D21:F21)</f>
        <v>18936</v>
      </c>
      <c r="H21" s="13">
        <f>Átadott!C8+Átadott!C9+Átadott!C10+Átadott!C31+Átadott!C32+Átadott!D33-937</f>
        <v>60421</v>
      </c>
      <c r="I21" s="13">
        <f>+'Társ.és szoc.pol.támog.'!J31</f>
        <v>5114</v>
      </c>
      <c r="J21" s="13">
        <v>0</v>
      </c>
      <c r="K21" s="13">
        <f>+Kiadás!E19</f>
        <v>3000</v>
      </c>
      <c r="L21" s="13">
        <f>+'Felhalm.kiad.'!C7+'Felhalm.kiad.'!C8+'Felhalm.kiad.'!C9+'Felhalm.kiad.'!C22+'Felhalm.kiad.'!C23</f>
        <v>44482</v>
      </c>
      <c r="M21" s="13">
        <f>SUM(G21:L21)</f>
        <v>131953</v>
      </c>
      <c r="N21" s="12"/>
    </row>
    <row r="22" spans="1:14" ht="31.5">
      <c r="A22" s="7" t="s">
        <v>27</v>
      </c>
      <c r="B22" s="12"/>
      <c r="C22" s="362" t="s">
        <v>474</v>
      </c>
      <c r="D22" s="13">
        <f>47447+40+13877+15263+8858+98196+20+30</f>
        <v>183731</v>
      </c>
      <c r="E22" s="13">
        <f>6771+11+1874+2060+1192+13257+5+8</f>
        <v>25178</v>
      </c>
      <c r="F22" s="13">
        <f>30823+1010+7175+3150+3464+2005+1689-7175+2717+1023+8812+2196+9050+4148+520</f>
        <v>70607</v>
      </c>
      <c r="G22" s="13">
        <f>SUM(D22:F22)</f>
        <v>279516</v>
      </c>
      <c r="H22" s="13">
        <f>Átadott!D8+Átadott!D9+Átadott!D10+Átadott!D31+Átadott!D32+Átadott!D33+Átadott!D37</f>
        <v>60703</v>
      </c>
      <c r="I22" s="13">
        <f>+'Társ.és szoc.pol.támog.'!J31+'Társ.és szoc.pol.támog.'!L27+'Társ.és szoc.pol.támog.'!L28</f>
        <v>15160</v>
      </c>
      <c r="J22" s="13"/>
      <c r="K22" s="13">
        <f>+Átadott!D44</f>
        <v>4000</v>
      </c>
      <c r="L22" s="13">
        <f>+'Felhalm.kiad.'!D30-'Felhalm.kiad.'!D13-'Felhalm.kiad.'!D14-'Felhalm.kiad.'!D15-'Felhalm.kiad.'!D16-'Felhalm.kiad.'!D18-'Felhalm.kiad.'!D19-'Felhalm.kiad.'!D20</f>
        <v>85090</v>
      </c>
      <c r="M22" s="13">
        <f>SUM(G22:L22)</f>
        <v>444469</v>
      </c>
      <c r="N22" s="12"/>
    </row>
    <row r="23" spans="2:14" ht="15" customHeight="1" hidden="1">
      <c r="B23" s="2" t="s">
        <v>0</v>
      </c>
      <c r="C23" s="360" t="s">
        <v>55</v>
      </c>
      <c r="D23" s="8" t="s">
        <v>56</v>
      </c>
      <c r="E23" s="3" t="s">
        <v>57</v>
      </c>
      <c r="F23" s="34" t="s">
        <v>58</v>
      </c>
      <c r="G23" s="4" t="s">
        <v>59</v>
      </c>
      <c r="H23" s="678" t="s">
        <v>60</v>
      </c>
      <c r="I23" s="678"/>
      <c r="J23" s="678"/>
      <c r="K23" s="678"/>
      <c r="L23" s="3" t="s">
        <v>39</v>
      </c>
      <c r="M23" s="3" t="s">
        <v>61</v>
      </c>
      <c r="N23" s="3"/>
    </row>
    <row r="24" spans="2:14" ht="15" customHeight="1" hidden="1">
      <c r="B24" s="5"/>
      <c r="C24" s="361"/>
      <c r="D24" s="6"/>
      <c r="E24" s="6"/>
      <c r="F24" s="6"/>
      <c r="G24" s="6"/>
      <c r="H24" s="6" t="s">
        <v>7</v>
      </c>
      <c r="I24" s="6" t="s">
        <v>62</v>
      </c>
      <c r="J24" s="6" t="s">
        <v>8</v>
      </c>
      <c r="K24" s="6" t="s">
        <v>9</v>
      </c>
      <c r="L24" s="6"/>
      <c r="M24" s="6"/>
      <c r="N24" s="6"/>
    </row>
    <row r="25" spans="2:14" s="7" customFormat="1" ht="20.25" customHeight="1" hidden="1">
      <c r="B25" s="2" t="s">
        <v>12</v>
      </c>
      <c r="C25" s="360" t="s">
        <v>13</v>
      </c>
      <c r="D25" s="3" t="s">
        <v>14</v>
      </c>
      <c r="E25" s="3" t="s">
        <v>15</v>
      </c>
      <c r="F25" s="3" t="s">
        <v>16</v>
      </c>
      <c r="G25" s="3" t="s">
        <v>17</v>
      </c>
      <c r="H25" s="3" t="s">
        <v>18</v>
      </c>
      <c r="I25" s="3" t="s">
        <v>63</v>
      </c>
      <c r="J25" s="3" t="s">
        <v>19</v>
      </c>
      <c r="K25" s="3" t="s">
        <v>361</v>
      </c>
      <c r="L25" s="3" t="s">
        <v>362</v>
      </c>
      <c r="M25" s="3" t="s">
        <v>364</v>
      </c>
      <c r="N25" s="3"/>
    </row>
    <row r="26" spans="2:14" s="7" customFormat="1" ht="20.25" customHeight="1" hidden="1">
      <c r="B26" s="2"/>
      <c r="C26" s="360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7" ht="31.5" customHeight="1" hidden="1">
      <c r="A27" s="1"/>
      <c r="C27" s="357" t="s">
        <v>54</v>
      </c>
      <c r="D27" s="42">
        <f>95148-565+1430</f>
        <v>96013</v>
      </c>
      <c r="E27" s="42">
        <f>25853-153+386</f>
        <v>26086</v>
      </c>
      <c r="F27" s="42">
        <v>23222</v>
      </c>
      <c r="G27" s="42">
        <f>SUM(D27:F27)</f>
        <v>145321</v>
      </c>
      <c r="H27" s="42"/>
      <c r="I27" s="42">
        <v>178472</v>
      </c>
      <c r="J27" s="42"/>
      <c r="K27" s="42"/>
      <c r="L27" s="42"/>
      <c r="M27" s="42">
        <f>SUM(G27:L27)</f>
        <v>323793</v>
      </c>
      <c r="Q27" s="1">
        <f>1430*0.27</f>
        <v>386.1</v>
      </c>
    </row>
    <row r="28" spans="3:13" ht="31.5" customHeight="1" hidden="1">
      <c r="C28" s="357" t="s">
        <v>373</v>
      </c>
      <c r="D28" s="42">
        <f>+D27+377+7152+151+248+8883</f>
        <v>112824</v>
      </c>
      <c r="E28" s="42">
        <f>+E27+102+1813+41+67+2177</f>
        <v>30286</v>
      </c>
      <c r="F28" s="42">
        <f>+F27+14159+1016+488</f>
        <v>38885</v>
      </c>
      <c r="G28" s="42">
        <f>SUM(D28:F28)</f>
        <v>181995</v>
      </c>
      <c r="H28" s="42"/>
      <c r="I28" s="42">
        <v>178902</v>
      </c>
      <c r="J28" s="42"/>
      <c r="K28" s="42"/>
      <c r="L28" s="42"/>
      <c r="M28" s="42">
        <f>SUM(G28:L28)</f>
        <v>360897</v>
      </c>
    </row>
    <row r="29" spans="3:13" ht="15.75">
      <c r="C29" s="357"/>
      <c r="D29" s="42"/>
      <c r="E29" s="42"/>
      <c r="F29" s="42"/>
      <c r="G29" s="42"/>
      <c r="H29" s="42"/>
      <c r="I29" s="42"/>
      <c r="J29" s="42"/>
      <c r="K29" s="42"/>
      <c r="L29" s="42"/>
      <c r="M29" s="42"/>
    </row>
    <row r="30" spans="1:13" s="10" customFormat="1" ht="31.5">
      <c r="A30" s="7" t="s">
        <v>28</v>
      </c>
      <c r="B30" s="9" t="str">
        <f>+'Bev.intézményenként'!B27</f>
        <v>Battonyai Polgármesteri Hivatal</v>
      </c>
      <c r="C30" s="10" t="s">
        <v>376</v>
      </c>
      <c r="D30" s="14">
        <f>101076+3364</f>
        <v>104440</v>
      </c>
      <c r="E30" s="14">
        <f>27015+908</f>
        <v>27923</v>
      </c>
      <c r="F30" s="14">
        <v>35344</v>
      </c>
      <c r="G30" s="14">
        <f>SUM(D30:F30)</f>
        <v>167707</v>
      </c>
      <c r="H30" s="14"/>
      <c r="I30" s="14">
        <f>+'Társ.és szoc.pol.támog.'!I31</f>
        <v>113225</v>
      </c>
      <c r="J30" s="14"/>
      <c r="K30" s="14"/>
      <c r="L30" s="14"/>
      <c r="M30" s="14">
        <f>SUM(G30:L30)</f>
        <v>280932</v>
      </c>
    </row>
    <row r="31" spans="1:13" s="10" customFormat="1" ht="31.5">
      <c r="A31" s="39" t="s">
        <v>29</v>
      </c>
      <c r="C31" s="362" t="s">
        <v>474</v>
      </c>
      <c r="D31" s="14">
        <f>+D30+151+600+757+178+50+1283+121+695+225+253+671</f>
        <v>109424</v>
      </c>
      <c r="E31" s="14">
        <f>+E30+41+186+209+48+13+367+33+188+61+68</f>
        <v>29137</v>
      </c>
      <c r="F31" s="14">
        <f>41135+32+59-9050+151-282+2500</f>
        <v>34545</v>
      </c>
      <c r="G31" s="14">
        <f>SUM(D31:F31)</f>
        <v>173106</v>
      </c>
      <c r="H31" s="14">
        <f>Átadott!D39+Átadott!D40</f>
        <v>366</v>
      </c>
      <c r="I31" s="14">
        <f>+'Társ.és szoc.pol.támog.'!K31</f>
        <v>113495</v>
      </c>
      <c r="J31" s="14"/>
      <c r="K31" s="14"/>
      <c r="L31" s="14">
        <f>'Felhalm.kiad.'!D20</f>
        <v>5000</v>
      </c>
      <c r="M31" s="14">
        <f>SUM(G31:L31)</f>
        <v>291967</v>
      </c>
    </row>
    <row r="32" spans="3:14" ht="15" customHeight="1">
      <c r="C32" s="87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12"/>
    </row>
    <row r="33" spans="1:14" ht="33" customHeight="1" hidden="1">
      <c r="A33" s="1"/>
      <c r="C33" s="357" t="s">
        <v>54</v>
      </c>
      <c r="D33" s="356">
        <f aca="true" t="shared" si="0" ref="D33:N33">+D27+D19+D14+D9+D4</f>
        <v>225427</v>
      </c>
      <c r="E33" s="356">
        <f t="shared" si="0"/>
        <v>56839</v>
      </c>
      <c r="F33" s="356">
        <f t="shared" si="0"/>
        <v>253724</v>
      </c>
      <c r="G33" s="356">
        <f t="shared" si="0"/>
        <v>535990</v>
      </c>
      <c r="H33" s="356" t="e">
        <f t="shared" si="0"/>
        <v>#REF!</v>
      </c>
      <c r="I33" s="356">
        <f t="shared" si="0"/>
        <v>184300</v>
      </c>
      <c r="J33" s="356">
        <f t="shared" si="0"/>
        <v>0</v>
      </c>
      <c r="K33" s="356">
        <f t="shared" si="0"/>
        <v>0</v>
      </c>
      <c r="L33" s="356">
        <f t="shared" si="0"/>
        <v>0</v>
      </c>
      <c r="M33" s="356" t="e">
        <f t="shared" si="0"/>
        <v>#REF!</v>
      </c>
      <c r="N33" s="12">
        <f t="shared" si="0"/>
        <v>0</v>
      </c>
    </row>
    <row r="34" spans="3:14" ht="33" customHeight="1" hidden="1">
      <c r="C34" s="357" t="s">
        <v>373</v>
      </c>
      <c r="D34" s="356">
        <f>+D28+D20+D15+D10+D5</f>
        <v>356328</v>
      </c>
      <c r="E34" s="356">
        <f aca="true" t="shared" si="1" ref="E34:N34">+E28+E20+E15+E10+E5</f>
        <v>77839</v>
      </c>
      <c r="F34" s="356">
        <f t="shared" si="1"/>
        <v>411202</v>
      </c>
      <c r="G34" s="356">
        <f t="shared" si="1"/>
        <v>845369</v>
      </c>
      <c r="H34" s="356">
        <f t="shared" si="1"/>
        <v>29562</v>
      </c>
      <c r="I34" s="356">
        <f t="shared" si="1"/>
        <v>197344</v>
      </c>
      <c r="J34" s="356">
        <f t="shared" si="1"/>
        <v>3726</v>
      </c>
      <c r="K34" s="356">
        <f t="shared" si="1"/>
        <v>3000</v>
      </c>
      <c r="L34" s="356">
        <f t="shared" si="1"/>
        <v>54705</v>
      </c>
      <c r="M34" s="356">
        <f t="shared" si="1"/>
        <v>1133706</v>
      </c>
      <c r="N34" s="12">
        <f t="shared" si="1"/>
        <v>0</v>
      </c>
    </row>
    <row r="35" spans="1:14" ht="31.5">
      <c r="A35" s="7" t="s">
        <v>30</v>
      </c>
      <c r="B35" s="15" t="s">
        <v>65</v>
      </c>
      <c r="C35" s="1" t="s">
        <v>376</v>
      </c>
      <c r="D35" s="13">
        <f>+D30+D21+D16+D11+D6</f>
        <v>225480</v>
      </c>
      <c r="E35" s="13">
        <f aca="true" t="shared" si="2" ref="E35:L35">+E30+E21+E16+E11+E6</f>
        <v>60407</v>
      </c>
      <c r="F35" s="13">
        <f t="shared" si="2"/>
        <v>228458</v>
      </c>
      <c r="G35" s="13">
        <f>+G30+G21+G16+G11+G6</f>
        <v>514345</v>
      </c>
      <c r="H35" s="13">
        <f t="shared" si="2"/>
        <v>60421</v>
      </c>
      <c r="I35" s="13">
        <f t="shared" si="2"/>
        <v>118339</v>
      </c>
      <c r="J35" s="13">
        <f t="shared" si="2"/>
        <v>0</v>
      </c>
      <c r="K35" s="13">
        <f t="shared" si="2"/>
        <v>3000</v>
      </c>
      <c r="L35" s="13">
        <f t="shared" si="2"/>
        <v>44482</v>
      </c>
      <c r="M35" s="13">
        <f>+M30+M21+M16+M11+M6</f>
        <v>740587</v>
      </c>
      <c r="N35" s="12"/>
    </row>
    <row r="36" spans="1:14" ht="31.5">
      <c r="A36" s="7" t="s">
        <v>31</v>
      </c>
      <c r="C36" s="362" t="s">
        <v>474</v>
      </c>
      <c r="D36" s="13">
        <f>+D31+D22+D17+D12+D7</f>
        <v>420464</v>
      </c>
      <c r="E36" s="13">
        <f aca="true" t="shared" si="3" ref="E36:L36">+E31+E22+E17+E12+E7</f>
        <v>88208</v>
      </c>
      <c r="F36" s="13">
        <f t="shared" si="3"/>
        <v>338155</v>
      </c>
      <c r="G36" s="13">
        <f>+G31+G22+G17+G12+G7</f>
        <v>846827</v>
      </c>
      <c r="H36" s="13">
        <f t="shared" si="3"/>
        <v>62085</v>
      </c>
      <c r="I36" s="13">
        <f t="shared" si="3"/>
        <v>128655</v>
      </c>
      <c r="J36" s="13">
        <f t="shared" si="3"/>
        <v>0</v>
      </c>
      <c r="K36" s="13">
        <f t="shared" si="3"/>
        <v>4000</v>
      </c>
      <c r="L36" s="13">
        <f t="shared" si="3"/>
        <v>98654</v>
      </c>
      <c r="M36" s="13">
        <f>+M31+M22+M17+M12+M7</f>
        <v>1140221</v>
      </c>
      <c r="N36" s="12"/>
    </row>
    <row r="37" ht="1.5" customHeight="1"/>
    <row r="38" spans="7:13" ht="15" customHeight="1" hidden="1">
      <c r="G38" s="525">
        <f>+Kiadás!F5</f>
        <v>846827</v>
      </c>
      <c r="H38" s="11">
        <f>+Átadott!D42</f>
        <v>62085</v>
      </c>
      <c r="I38" s="11">
        <f>+'Társ.és szoc.pol.támog.'!K31+'Társ.és szoc.pol.támog.'!L31</f>
        <v>128655</v>
      </c>
      <c r="K38" s="11">
        <f>+Átadott!D44</f>
        <v>4000</v>
      </c>
      <c r="L38" s="11">
        <f>+'Felhalm.kiad.'!D30</f>
        <v>98654</v>
      </c>
      <c r="M38" s="11">
        <f>+Bevétel!F114</f>
        <v>1372626</v>
      </c>
    </row>
    <row r="39" ht="15" customHeight="1" hidden="1"/>
    <row r="41" ht="15" customHeight="1">
      <c r="H41" s="11"/>
    </row>
    <row r="42" ht="15" customHeight="1">
      <c r="M42" s="1">
        <v>1126351</v>
      </c>
    </row>
    <row r="44" spans="3:12" ht="15" customHeight="1">
      <c r="C44" s="37">
        <f>SUM(D44:L44)</f>
        <v>0</v>
      </c>
      <c r="D44" s="564">
        <v>0</v>
      </c>
      <c r="E44" s="564">
        <f>P11+P17+P7+P22+P30+P35+P43+P47+P53</f>
        <v>0</v>
      </c>
      <c r="F44" s="564">
        <f>P13+P31+P36+P40+P49+P55</f>
        <v>0</v>
      </c>
      <c r="H44" s="564">
        <f>P41+P45+P48+P50</f>
        <v>0</v>
      </c>
      <c r="L44" s="564">
        <v>0</v>
      </c>
    </row>
    <row r="45" ht="15" customHeight="1">
      <c r="M45" s="11">
        <f>M36-M42</f>
        <v>13870</v>
      </c>
    </row>
    <row r="46" spans="4:12" ht="15" customHeight="1">
      <c r="D46" s="564">
        <f>D36-D44</f>
        <v>420464</v>
      </c>
      <c r="E46" s="564">
        <f>E36-E44</f>
        <v>88208</v>
      </c>
      <c r="F46" s="564">
        <f>F36-F44</f>
        <v>338155</v>
      </c>
      <c r="H46" s="564">
        <f>H36-H44</f>
        <v>62085</v>
      </c>
      <c r="J46" s="564">
        <f>SUM(H36:K36)</f>
        <v>194740</v>
      </c>
      <c r="L46" s="564">
        <f>L36-L44</f>
        <v>98654</v>
      </c>
    </row>
    <row r="51" spans="9:10" ht="15" customHeight="1">
      <c r="I51" s="11">
        <f>SUM(G36:L36)</f>
        <v>1140221</v>
      </c>
      <c r="J51" s="11">
        <f>I51-M45</f>
        <v>1126351</v>
      </c>
    </row>
    <row r="52" ht="15" customHeight="1">
      <c r="I52" s="1">
        <v>70000</v>
      </c>
    </row>
    <row r="53" ht="15" customHeight="1">
      <c r="I53" s="1">
        <v>162405</v>
      </c>
    </row>
    <row r="54" spans="9:10" ht="15" customHeight="1">
      <c r="I54" s="11">
        <f>SUM(I51:I53)</f>
        <v>1372626</v>
      </c>
      <c r="J54" s="11">
        <f>J51+I52+I53</f>
        <v>1358756</v>
      </c>
    </row>
  </sheetData>
  <sheetProtection/>
  <mergeCells count="2">
    <mergeCell ref="H1:K1"/>
    <mergeCell ref="H23:K23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89" r:id="rId1"/>
  <headerFooter alignWithMargins="0">
    <oddHeader>&amp;L4. melléklet a 2014. évi 15/2014.(XI.27.) Önkormányzati költségvetési rendelethez&amp;R&amp;D</oddHeader>
    <oddFooter>&amp;R&amp;F</oddFooter>
  </headerFooter>
  <colBreaks count="1" manualBreakCount="1">
    <brk id="13" max="5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SheetLayoutView="100" zoomScalePageLayoutView="0" workbookViewId="0" topLeftCell="A1">
      <selection activeCell="I35" sqref="I35"/>
    </sheetView>
  </sheetViews>
  <sheetFormatPr defaultColWidth="9.140625" defaultRowHeight="12.75"/>
  <cols>
    <col min="1" max="1" width="4.8515625" style="203" customWidth="1"/>
    <col min="2" max="2" width="46.28125" style="203" customWidth="1"/>
    <col min="3" max="3" width="10.421875" style="203" customWidth="1"/>
    <col min="4" max="4" width="13.28125" style="203" customWidth="1"/>
    <col min="5" max="5" width="13.7109375" style="203" bestFit="1" customWidth="1"/>
    <col min="6" max="16384" width="9.140625" style="203" customWidth="1"/>
  </cols>
  <sheetData>
    <row r="1" spans="1:2" ht="12.75">
      <c r="A1" s="425" t="s">
        <v>341</v>
      </c>
      <c r="B1" s="425"/>
    </row>
    <row r="2" ht="12.75">
      <c r="B2" s="291"/>
    </row>
    <row r="3" ht="12.75">
      <c r="B3" s="291"/>
    </row>
    <row r="5" spans="2:6" ht="52.5" customHeight="1">
      <c r="B5" s="316" t="s">
        <v>340</v>
      </c>
      <c r="C5" s="317" t="s">
        <v>376</v>
      </c>
      <c r="D5" s="482" t="s">
        <v>515</v>
      </c>
      <c r="E5" s="312"/>
      <c r="F5" s="312"/>
    </row>
    <row r="6" spans="1:6" s="344" customFormat="1" ht="24" customHeight="1">
      <c r="A6" s="483" t="s">
        <v>11</v>
      </c>
      <c r="B6" s="345" t="s">
        <v>12</v>
      </c>
      <c r="C6" s="315" t="s">
        <v>13</v>
      </c>
      <c r="D6" s="484" t="s">
        <v>14</v>
      </c>
      <c r="E6" s="315"/>
      <c r="F6" s="315"/>
    </row>
    <row r="7" spans="1:4" ht="12.75">
      <c r="A7" s="203" t="s">
        <v>20</v>
      </c>
      <c r="B7" s="313" t="str">
        <f>+'[3]bevétel'!A40</f>
        <v>Városellátó  Szervezet</v>
      </c>
      <c r="C7" s="293">
        <v>28</v>
      </c>
      <c r="D7" s="204">
        <f>+C7</f>
        <v>28</v>
      </c>
    </row>
    <row r="8" spans="2:4" ht="12.75">
      <c r="B8" s="313"/>
      <c r="C8" s="293"/>
      <c r="D8" s="204"/>
    </row>
    <row r="9" spans="1:4" ht="12.75">
      <c r="A9" s="203" t="s">
        <v>21</v>
      </c>
      <c r="B9" s="313" t="str">
        <f>+'[3]bevétel'!A46</f>
        <v>Egészségügyi és Szociális Ellátó Szervezet</v>
      </c>
      <c r="C9" s="293">
        <v>35</v>
      </c>
      <c r="D9" s="204">
        <f>+C9</f>
        <v>35</v>
      </c>
    </row>
    <row r="10" spans="2:4" ht="12.75">
      <c r="B10" s="315" t="s">
        <v>374</v>
      </c>
      <c r="C10" s="293">
        <v>4</v>
      </c>
      <c r="D10" s="204">
        <f>+C10</f>
        <v>4</v>
      </c>
    </row>
    <row r="11" spans="2:4" ht="12.75">
      <c r="B11" s="314"/>
      <c r="C11" s="293"/>
      <c r="D11" s="204"/>
    </row>
    <row r="12" spans="1:4" ht="12.75">
      <c r="A12" s="203" t="s">
        <v>22</v>
      </c>
      <c r="B12" s="313" t="str">
        <f>+'[3]bevétel'!A62</f>
        <v>Városi Művelődési Központ és Könyvtár</v>
      </c>
      <c r="C12" s="293">
        <v>4</v>
      </c>
      <c r="D12" s="204">
        <f>+C12</f>
        <v>4</v>
      </c>
    </row>
    <row r="13" spans="2:4" s="239" customFormat="1" ht="12.75">
      <c r="B13" s="315"/>
      <c r="C13" s="206"/>
      <c r="D13" s="473"/>
    </row>
    <row r="14" spans="1:4" ht="12.75">
      <c r="A14" s="203" t="s">
        <v>23</v>
      </c>
      <c r="B14" s="313" t="str">
        <f>+'[3]bevétel'!A76</f>
        <v>Battonya Város Önkormányzata</v>
      </c>
      <c r="C14" s="293">
        <v>1</v>
      </c>
      <c r="D14" s="204">
        <f>+C14</f>
        <v>1</v>
      </c>
    </row>
    <row r="15" spans="2:4" s="239" customFormat="1" ht="12.75">
      <c r="B15" s="315"/>
      <c r="C15" s="206"/>
      <c r="D15" s="473"/>
    </row>
    <row r="16" spans="1:4" ht="12.75">
      <c r="A16" s="203" t="s">
        <v>24</v>
      </c>
      <c r="B16" s="313" t="s">
        <v>338</v>
      </c>
      <c r="C16" s="293">
        <v>23</v>
      </c>
      <c r="D16" s="204"/>
    </row>
    <row r="17" spans="2:4" ht="12.75">
      <c r="B17" s="314" t="s">
        <v>541</v>
      </c>
      <c r="C17" s="293"/>
      <c r="D17" s="204">
        <f>+C16+1</f>
        <v>24</v>
      </c>
    </row>
    <row r="18" spans="2:4" s="239" customFormat="1" ht="12.75">
      <c r="B18" s="315"/>
      <c r="C18" s="206"/>
      <c r="D18" s="473"/>
    </row>
    <row r="19" spans="2:4" ht="12.75">
      <c r="B19" s="292"/>
      <c r="C19" s="293"/>
      <c r="D19" s="204"/>
    </row>
    <row r="20" spans="1:4" ht="12.75">
      <c r="A20" s="203" t="s">
        <v>25</v>
      </c>
      <c r="B20" s="306" t="s">
        <v>96</v>
      </c>
      <c r="C20" s="474">
        <f>SUM(C7:C19)-C10</f>
        <v>91</v>
      </c>
      <c r="D20" s="474">
        <f>SUM(D7:D19)-D10</f>
        <v>92</v>
      </c>
    </row>
    <row r="21" spans="2:4" ht="12.75">
      <c r="B21" s="292"/>
      <c r="C21" s="293"/>
      <c r="D21" s="204"/>
    </row>
    <row r="22" spans="2:4" ht="12.75">
      <c r="B22" s="292"/>
      <c r="C22" s="293"/>
      <c r="D22" s="204"/>
    </row>
    <row r="23" spans="1:4" ht="12.75">
      <c r="A23" s="203" t="s">
        <v>26</v>
      </c>
      <c r="B23" s="292" t="s">
        <v>342</v>
      </c>
      <c r="C23" s="293">
        <v>250</v>
      </c>
      <c r="D23" s="204">
        <f>+C23</f>
        <v>250</v>
      </c>
    </row>
    <row r="24" spans="3:4" ht="12.75">
      <c r="C24" s="204"/>
      <c r="D24" s="204"/>
    </row>
    <row r="25" spans="3:4" ht="12.75">
      <c r="C25" s="204"/>
      <c r="D25" s="204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&amp;L4/1. melléklet a 2014. évi 15/2014.(XI.27.) Önkormányzati költségvetési rendelethez&amp;R&amp;D</oddHeader>
    <oddFooter>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C78"/>
  <sheetViews>
    <sheetView view="pageBreakPreview" zoomScaleSheetLayoutView="100" zoomScalePageLayoutView="0" workbookViewId="0" topLeftCell="A1">
      <selection activeCell="H32" sqref="H32"/>
    </sheetView>
  </sheetViews>
  <sheetFormatPr defaultColWidth="9.140625" defaultRowHeight="15" customHeight="1"/>
  <cols>
    <col min="1" max="1" width="5.140625" style="37" customWidth="1"/>
    <col min="2" max="2" width="58.421875" style="36" customWidth="1"/>
    <col min="3" max="3" width="11.57421875" style="37" bestFit="1" customWidth="1"/>
    <col min="4" max="4" width="13.28125" style="37" customWidth="1"/>
    <col min="5" max="5" width="10.28125" style="37" bestFit="1" customWidth="1"/>
    <col min="6" max="7" width="9.140625" style="37" customWidth="1"/>
    <col min="8" max="8" width="10.140625" style="37" bestFit="1" customWidth="1"/>
    <col min="9" max="13" width="13.00390625" style="42" bestFit="1" customWidth="1"/>
    <col min="14" max="29" width="9.140625" style="42" customWidth="1"/>
    <col min="30" max="16384" width="9.140625" style="37" customWidth="1"/>
  </cols>
  <sheetData>
    <row r="1" ht="15" customHeight="1">
      <c r="A1" s="35" t="s">
        <v>66</v>
      </c>
    </row>
    <row r="2" ht="15" customHeight="1">
      <c r="B2" s="38"/>
    </row>
    <row r="3" spans="2:4" ht="15" customHeight="1">
      <c r="B3" s="38" t="s">
        <v>67</v>
      </c>
      <c r="C3" s="39" t="s">
        <v>377</v>
      </c>
      <c r="D3" s="39" t="s">
        <v>377</v>
      </c>
    </row>
    <row r="4" spans="3:4" ht="21" customHeight="1">
      <c r="C4" s="40" t="s">
        <v>68</v>
      </c>
      <c r="D4" s="39" t="s">
        <v>467</v>
      </c>
    </row>
    <row r="6" spans="1:4" ht="15" customHeight="1">
      <c r="A6" s="10" t="s">
        <v>363</v>
      </c>
      <c r="B6" s="41" t="s">
        <v>12</v>
      </c>
      <c r="C6" s="39" t="s">
        <v>13</v>
      </c>
      <c r="D6" s="39" t="s">
        <v>14</v>
      </c>
    </row>
    <row r="8" spans="1:4" ht="15" customHeight="1">
      <c r="A8" s="37" t="s">
        <v>20</v>
      </c>
      <c r="B8" s="36" t="s">
        <v>73</v>
      </c>
      <c r="C8" s="37">
        <f>13319+5</f>
        <v>13324</v>
      </c>
      <c r="D8" s="37">
        <f>+C8+1500</f>
        <v>14824</v>
      </c>
    </row>
    <row r="9" spans="1:4" ht="15" customHeight="1">
      <c r="A9" s="37" t="s">
        <v>21</v>
      </c>
      <c r="B9" s="36" t="s">
        <v>232</v>
      </c>
      <c r="C9" s="37">
        <v>5000</v>
      </c>
      <c r="D9" s="37">
        <f>+C9</f>
        <v>5000</v>
      </c>
    </row>
    <row r="10" spans="1:5" ht="15" customHeight="1">
      <c r="A10" s="45" t="s">
        <v>22</v>
      </c>
      <c r="B10" s="43" t="s">
        <v>457</v>
      </c>
      <c r="C10" s="45">
        <f>4000-700-50+1600-45-5</f>
        <v>4800</v>
      </c>
      <c r="D10" s="37">
        <f>+C10</f>
        <v>4800</v>
      </c>
      <c r="E10" s="37">
        <f>SUM(D11:D30)</f>
        <v>4800</v>
      </c>
    </row>
    <row r="11" spans="1:4" ht="15" customHeight="1">
      <c r="A11" s="45" t="s">
        <v>23</v>
      </c>
      <c r="B11" s="475" t="s">
        <v>490</v>
      </c>
      <c r="C11" s="478">
        <v>300</v>
      </c>
      <c r="D11" s="476">
        <f>+C11</f>
        <v>300</v>
      </c>
    </row>
    <row r="12" spans="1:4" ht="15" customHeight="1">
      <c r="A12" s="45" t="s">
        <v>24</v>
      </c>
      <c r="B12" s="475" t="s">
        <v>491</v>
      </c>
      <c r="C12" s="478">
        <v>300</v>
      </c>
      <c r="D12" s="476">
        <f>+C12</f>
        <v>300</v>
      </c>
    </row>
    <row r="13" spans="1:4" ht="15" customHeight="1">
      <c r="A13" s="45" t="s">
        <v>25</v>
      </c>
      <c r="B13" s="475" t="s">
        <v>492</v>
      </c>
      <c r="C13" s="478">
        <v>1000</v>
      </c>
      <c r="D13" s="476">
        <f>+C13</f>
        <v>1000</v>
      </c>
    </row>
    <row r="14" spans="1:4" ht="15" customHeight="1">
      <c r="A14" s="45" t="s">
        <v>26</v>
      </c>
      <c r="B14" s="475" t="s">
        <v>493</v>
      </c>
      <c r="C14" s="45"/>
      <c r="D14" s="476">
        <v>150</v>
      </c>
    </row>
    <row r="15" spans="1:4" ht="15" customHeight="1">
      <c r="A15" s="45" t="s">
        <v>27</v>
      </c>
      <c r="B15" s="475" t="s">
        <v>494</v>
      </c>
      <c r="C15" s="45"/>
      <c r="D15" s="476">
        <v>1600</v>
      </c>
    </row>
    <row r="16" spans="1:4" ht="15" customHeight="1">
      <c r="A16" s="45" t="s">
        <v>28</v>
      </c>
      <c r="B16" s="475" t="s">
        <v>495</v>
      </c>
      <c r="C16" s="45"/>
      <c r="D16" s="476">
        <v>100</v>
      </c>
    </row>
    <row r="17" spans="1:4" ht="15" customHeight="1">
      <c r="A17" s="45" t="s">
        <v>29</v>
      </c>
      <c r="B17" s="475" t="s">
        <v>496</v>
      </c>
      <c r="C17" s="45"/>
      <c r="D17" s="476">
        <v>80</v>
      </c>
    </row>
    <row r="18" spans="1:4" ht="15" customHeight="1">
      <c r="A18" s="45" t="s">
        <v>30</v>
      </c>
      <c r="B18" s="475" t="s">
        <v>497</v>
      </c>
      <c r="C18" s="45"/>
      <c r="D18" s="476">
        <v>100</v>
      </c>
    </row>
    <row r="19" spans="1:4" ht="15" customHeight="1">
      <c r="A19" s="45" t="s">
        <v>31</v>
      </c>
      <c r="B19" s="475" t="s">
        <v>498</v>
      </c>
      <c r="C19" s="45"/>
      <c r="D19" s="476">
        <v>200</v>
      </c>
    </row>
    <row r="20" spans="1:4" ht="15" customHeight="1">
      <c r="A20" s="45" t="s">
        <v>32</v>
      </c>
      <c r="B20" s="475" t="s">
        <v>499</v>
      </c>
      <c r="C20" s="45"/>
      <c r="D20" s="476">
        <v>200</v>
      </c>
    </row>
    <row r="21" spans="1:4" ht="15" customHeight="1">
      <c r="A21" s="45" t="s">
        <v>33</v>
      </c>
      <c r="B21" s="475" t="s">
        <v>500</v>
      </c>
      <c r="C21" s="45"/>
      <c r="D21" s="476">
        <v>60</v>
      </c>
    </row>
    <row r="22" spans="1:4" ht="15" customHeight="1">
      <c r="A22" s="45" t="s">
        <v>34</v>
      </c>
      <c r="B22" s="475" t="s">
        <v>501</v>
      </c>
      <c r="C22" s="45"/>
      <c r="D22" s="476">
        <v>110</v>
      </c>
    </row>
    <row r="23" spans="1:4" ht="15" customHeight="1">
      <c r="A23" s="45" t="s">
        <v>35</v>
      </c>
      <c r="B23" s="475" t="s">
        <v>502</v>
      </c>
      <c r="C23" s="45"/>
      <c r="D23" s="476">
        <v>60</v>
      </c>
    </row>
    <row r="24" spans="1:4" ht="15" customHeight="1">
      <c r="A24" s="45" t="s">
        <v>36</v>
      </c>
      <c r="B24" s="475" t="s">
        <v>503</v>
      </c>
      <c r="C24" s="45"/>
      <c r="D24" s="476">
        <v>40</v>
      </c>
    </row>
    <row r="25" spans="1:4" ht="15" customHeight="1">
      <c r="A25" s="45" t="s">
        <v>37</v>
      </c>
      <c r="B25" s="475" t="s">
        <v>504</v>
      </c>
      <c r="C25" s="45"/>
      <c r="D25" s="476">
        <v>100</v>
      </c>
    </row>
    <row r="26" spans="1:4" ht="15" customHeight="1">
      <c r="A26" s="45" t="s">
        <v>40</v>
      </c>
      <c r="B26" s="475" t="s">
        <v>505</v>
      </c>
      <c r="C26" s="45"/>
      <c r="D26" s="476">
        <v>80</v>
      </c>
    </row>
    <row r="27" spans="1:4" ht="15" customHeight="1">
      <c r="A27" s="45" t="s">
        <v>42</v>
      </c>
      <c r="B27" s="475" t="s">
        <v>506</v>
      </c>
      <c r="C27" s="45"/>
      <c r="D27" s="476">
        <f>100+25</f>
        <v>125</v>
      </c>
    </row>
    <row r="28" spans="1:4" ht="15" customHeight="1">
      <c r="A28" s="45" t="s">
        <v>43</v>
      </c>
      <c r="B28" s="475" t="s">
        <v>547</v>
      </c>
      <c r="C28" s="45"/>
      <c r="D28" s="476">
        <f>30</f>
        <v>30</v>
      </c>
    </row>
    <row r="29" spans="1:4" ht="15" customHeight="1">
      <c r="A29" s="45" t="s">
        <v>44</v>
      </c>
      <c r="B29" s="475" t="s">
        <v>642</v>
      </c>
      <c r="C29" s="45"/>
      <c r="D29" s="476">
        <v>40</v>
      </c>
    </row>
    <row r="30" spans="1:4" ht="15" customHeight="1">
      <c r="A30" s="45" t="s">
        <v>45</v>
      </c>
      <c r="B30" s="475" t="s">
        <v>507</v>
      </c>
      <c r="C30" s="45"/>
      <c r="D30" s="476">
        <f>+D10-D11-D12-D13-D14-D15-D16-D17-D18-D19-D20-D21-D22-D23-D24-D25-D26-D27-D28-D29</f>
        <v>125</v>
      </c>
    </row>
    <row r="31" spans="1:4" ht="15" customHeight="1">
      <c r="A31" s="45" t="s">
        <v>46</v>
      </c>
      <c r="B31" s="43" t="s">
        <v>443</v>
      </c>
      <c r="C31" s="45">
        <v>3000</v>
      </c>
      <c r="D31" s="37">
        <f>+C31-2717</f>
        <v>283</v>
      </c>
    </row>
    <row r="32" spans="1:4" ht="32.25" customHeight="1">
      <c r="A32" s="45" t="s">
        <v>47</v>
      </c>
      <c r="B32" s="454" t="s">
        <v>464</v>
      </c>
      <c r="C32" s="45">
        <f>15*3</f>
        <v>45</v>
      </c>
      <c r="D32" s="37">
        <f>+C32</f>
        <v>45</v>
      </c>
    </row>
    <row r="33" spans="1:4" ht="15">
      <c r="A33" s="45" t="s">
        <v>48</v>
      </c>
      <c r="B33" s="454" t="s">
        <v>508</v>
      </c>
      <c r="C33" s="45"/>
      <c r="D33" s="37">
        <f>SUM(D34:D36)</f>
        <v>35189</v>
      </c>
    </row>
    <row r="34" spans="1:4" ht="15">
      <c r="A34" s="45" t="s">
        <v>49</v>
      </c>
      <c r="B34" s="544" t="s">
        <v>509</v>
      </c>
      <c r="C34" s="479"/>
      <c r="D34" s="480">
        <v>5343</v>
      </c>
    </row>
    <row r="35" spans="1:4" ht="15">
      <c r="A35" s="45" t="s">
        <v>50</v>
      </c>
      <c r="B35" s="544" t="s">
        <v>510</v>
      </c>
      <c r="C35" s="479"/>
      <c r="D35" s="480">
        <v>2356</v>
      </c>
    </row>
    <row r="36" spans="1:4" ht="15">
      <c r="A36" s="45" t="s">
        <v>51</v>
      </c>
      <c r="B36" s="544" t="s">
        <v>511</v>
      </c>
      <c r="C36" s="479"/>
      <c r="D36" s="480">
        <v>27490</v>
      </c>
    </row>
    <row r="37" spans="1:4" ht="30">
      <c r="A37" s="45" t="s">
        <v>52</v>
      </c>
      <c r="B37" s="454" t="s">
        <v>538</v>
      </c>
      <c r="C37" s="45"/>
      <c r="D37" s="37">
        <f>280+282</f>
        <v>562</v>
      </c>
    </row>
    <row r="38" spans="1:8" ht="30">
      <c r="A38" s="45" t="s">
        <v>484</v>
      </c>
      <c r="B38" s="454" t="s">
        <v>539</v>
      </c>
      <c r="C38" s="45"/>
      <c r="D38" s="37">
        <f>454+562</f>
        <v>1016</v>
      </c>
      <c r="H38" s="37">
        <f>D37+D32+D31+D10+D9+D8+D33</f>
        <v>60703</v>
      </c>
    </row>
    <row r="39" spans="1:4" ht="45">
      <c r="A39" s="45" t="s">
        <v>485</v>
      </c>
      <c r="B39" s="454" t="s">
        <v>568</v>
      </c>
      <c r="C39" s="45"/>
      <c r="D39" s="37">
        <v>282</v>
      </c>
    </row>
    <row r="40" spans="1:4" ht="30">
      <c r="A40" s="45" t="s">
        <v>486</v>
      </c>
      <c r="B40" s="454" t="s">
        <v>569</v>
      </c>
      <c r="C40" s="45"/>
      <c r="D40" s="37">
        <v>84</v>
      </c>
    </row>
    <row r="41" spans="1:3" ht="15">
      <c r="A41" s="45"/>
      <c r="B41" s="454"/>
      <c r="C41" s="45"/>
    </row>
    <row r="42" spans="1:4" ht="15" customHeight="1">
      <c r="A42" s="45" t="s">
        <v>487</v>
      </c>
      <c r="B42" s="5" t="s">
        <v>69</v>
      </c>
      <c r="C42" s="6">
        <f>SUM(C8:C38)-C11-C12-C13</f>
        <v>26169</v>
      </c>
      <c r="D42" s="6">
        <f>+D32+D31+D10+D9+D8+D33+D37+D39+D40+D38</f>
        <v>62085</v>
      </c>
    </row>
    <row r="43" spans="2:4" ht="15" customHeight="1">
      <c r="B43" s="5"/>
      <c r="C43" s="6"/>
      <c r="D43" s="6"/>
    </row>
    <row r="44" spans="1:4" ht="15" customHeight="1">
      <c r="A44" s="37" t="s">
        <v>488</v>
      </c>
      <c r="B44" s="5" t="s">
        <v>70</v>
      </c>
      <c r="C44" s="6">
        <f>SUM(C45)</f>
        <v>3000</v>
      </c>
      <c r="D44" s="6">
        <f>SUM(D45:D46)</f>
        <v>4000</v>
      </c>
    </row>
    <row r="45" spans="1:4" ht="15" customHeight="1">
      <c r="A45" s="37" t="s">
        <v>586</v>
      </c>
      <c r="B45" s="43" t="s">
        <v>441</v>
      </c>
      <c r="C45" s="46">
        <v>3000</v>
      </c>
      <c r="D45" s="481">
        <f>+C45</f>
        <v>3000</v>
      </c>
    </row>
    <row r="46" spans="1:4" ht="15" customHeight="1">
      <c r="A46" s="37" t="s">
        <v>587</v>
      </c>
      <c r="B46" s="454" t="s">
        <v>512</v>
      </c>
      <c r="C46" s="6"/>
      <c r="D46" s="481">
        <v>1000</v>
      </c>
    </row>
    <row r="47" spans="1:3" ht="15" customHeight="1">
      <c r="A47" s="45"/>
      <c r="B47" s="5"/>
      <c r="C47" s="45"/>
    </row>
    <row r="48" spans="1:4" ht="15" customHeight="1">
      <c r="A48" s="37" t="s">
        <v>588</v>
      </c>
      <c r="B48" s="47" t="s">
        <v>71</v>
      </c>
      <c r="C48" s="6">
        <f>+C42+C44</f>
        <v>29169</v>
      </c>
      <c r="D48" s="6">
        <f>+D42+D44</f>
        <v>66085</v>
      </c>
    </row>
    <row r="71" ht="15" customHeight="1">
      <c r="B71" s="352"/>
    </row>
    <row r="74" spans="2:29" s="1" customFormat="1" ht="15" customHeight="1">
      <c r="B74" s="353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</row>
    <row r="78" spans="2:29" s="1" customFormat="1" ht="15" customHeight="1">
      <c r="B78" s="353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&amp;L5. melléklet a 2014. évi 15/2014.(XI.27.) Önkormányzati költségvetési rendelethez&amp;R&amp;D</oddHeader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L35" sqref="L35"/>
    </sheetView>
  </sheetViews>
  <sheetFormatPr defaultColWidth="9.140625" defaultRowHeight="15" customHeight="1"/>
  <cols>
    <col min="1" max="1" width="4.140625" style="52" bestFit="1" customWidth="1"/>
    <col min="2" max="2" width="52.57421875" style="52" customWidth="1"/>
    <col min="3" max="3" width="11.00390625" style="52" hidden="1" customWidth="1"/>
    <col min="4" max="4" width="10.28125" style="52" hidden="1" customWidth="1"/>
    <col min="5" max="5" width="11.28125" style="52" hidden="1" customWidth="1"/>
    <col min="6" max="6" width="11.00390625" style="52" bestFit="1" customWidth="1"/>
    <col min="7" max="7" width="10.28125" style="52" customWidth="1"/>
    <col min="8" max="8" width="11.28125" style="52" bestFit="1" customWidth="1"/>
    <col min="9" max="9" width="10.57421875" style="52" bestFit="1" customWidth="1"/>
    <col min="10" max="10" width="9.421875" style="52" bestFit="1" customWidth="1"/>
    <col min="11" max="11" width="10.57421875" style="52" bestFit="1" customWidth="1"/>
    <col min="12" max="12" width="9.421875" style="52" bestFit="1" customWidth="1"/>
    <col min="13" max="16384" width="9.140625" style="52" customWidth="1"/>
  </cols>
  <sheetData>
    <row r="1" spans="1:12" ht="22.5" customHeight="1" thickBot="1">
      <c r="A1" s="50" t="s">
        <v>74</v>
      </c>
      <c r="B1" s="422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5" customHeight="1">
      <c r="A2" s="53"/>
      <c r="B2" s="417"/>
      <c r="C2" s="679" t="s">
        <v>373</v>
      </c>
      <c r="D2" s="680"/>
      <c r="E2" s="681"/>
      <c r="F2" s="679" t="s">
        <v>376</v>
      </c>
      <c r="G2" s="680"/>
      <c r="H2" s="681"/>
      <c r="I2" s="679" t="str">
        <f>+F2</f>
        <v>2014.évi er.ei.</v>
      </c>
      <c r="J2" s="681"/>
      <c r="K2" s="679" t="s">
        <v>474</v>
      </c>
      <c r="L2" s="681"/>
    </row>
    <row r="3" spans="1:12" ht="43.5" customHeight="1" thickBot="1">
      <c r="A3" s="54"/>
      <c r="B3" s="55"/>
      <c r="C3" s="418" t="s">
        <v>75</v>
      </c>
      <c r="D3" s="419" t="s">
        <v>76</v>
      </c>
      <c r="E3" s="56" t="s">
        <v>5</v>
      </c>
      <c r="F3" s="418" t="s">
        <v>75</v>
      </c>
      <c r="G3" s="419" t="s">
        <v>76</v>
      </c>
      <c r="H3" s="56" t="s">
        <v>5</v>
      </c>
      <c r="I3" s="57" t="s">
        <v>77</v>
      </c>
      <c r="J3" s="56" t="s">
        <v>78</v>
      </c>
      <c r="K3" s="57" t="s">
        <v>77</v>
      </c>
      <c r="L3" s="56" t="s">
        <v>78</v>
      </c>
    </row>
    <row r="4" spans="1:12" s="28" customFormat="1" ht="15" customHeight="1">
      <c r="A4" s="453" t="s">
        <v>11</v>
      </c>
      <c r="B4" s="58" t="s">
        <v>12</v>
      </c>
      <c r="C4" s="371" t="s">
        <v>16</v>
      </c>
      <c r="D4" s="59" t="s">
        <v>17</v>
      </c>
      <c r="E4" s="370" t="s">
        <v>18</v>
      </c>
      <c r="F4" s="371" t="s">
        <v>16</v>
      </c>
      <c r="G4" s="59" t="s">
        <v>17</v>
      </c>
      <c r="H4" s="370" t="s">
        <v>18</v>
      </c>
      <c r="I4" s="60" t="s">
        <v>63</v>
      </c>
      <c r="J4" s="370" t="s">
        <v>19</v>
      </c>
      <c r="K4" s="60" t="s">
        <v>361</v>
      </c>
      <c r="L4" s="370" t="s">
        <v>362</v>
      </c>
    </row>
    <row r="5" spans="1:12" ht="15" customHeight="1">
      <c r="A5" s="61"/>
      <c r="B5" s="366"/>
      <c r="C5" s="75"/>
      <c r="D5" s="62"/>
      <c r="E5" s="76"/>
      <c r="F5" s="75"/>
      <c r="G5" s="62"/>
      <c r="H5" s="76"/>
      <c r="I5" s="63"/>
      <c r="J5" s="76"/>
      <c r="K5" s="63"/>
      <c r="L5" s="76"/>
    </row>
    <row r="6" spans="1:12" ht="15" customHeight="1">
      <c r="A6" s="61" t="s">
        <v>20</v>
      </c>
      <c r="B6" s="366" t="s">
        <v>79</v>
      </c>
      <c r="C6" s="75">
        <f>+E6-D6</f>
        <v>1188.7999999999993</v>
      </c>
      <c r="D6" s="62">
        <f>+E6*0.9</f>
        <v>10699.2</v>
      </c>
      <c r="E6" s="367">
        <f>3140+337+8411</f>
        <v>11888</v>
      </c>
      <c r="F6" s="75">
        <f>+H6-G6</f>
        <v>1690</v>
      </c>
      <c r="G6" s="62">
        <f>+H6*0.9</f>
        <v>15210</v>
      </c>
      <c r="H6" s="367">
        <v>16900</v>
      </c>
      <c r="I6" s="65">
        <v>16900</v>
      </c>
      <c r="J6" s="367"/>
      <c r="K6" s="65">
        <v>16900</v>
      </c>
      <c r="L6" s="367"/>
    </row>
    <row r="7" spans="1:12" ht="15" customHeight="1">
      <c r="A7" s="61" t="s">
        <v>21</v>
      </c>
      <c r="B7" s="366" t="s">
        <v>461</v>
      </c>
      <c r="C7" s="75">
        <f>+E7-D7</f>
        <v>264.9000000000001</v>
      </c>
      <c r="D7" s="62">
        <f>+E7*0.9</f>
        <v>2384.1</v>
      </c>
      <c r="E7" s="367">
        <f>2407+242</f>
        <v>2649</v>
      </c>
      <c r="F7" s="75">
        <f>+H7-G7</f>
        <v>264.9000000000001</v>
      </c>
      <c r="G7" s="62">
        <f>+H7*0.9</f>
        <v>2384.1</v>
      </c>
      <c r="H7" s="367">
        <f>2407+242</f>
        <v>2649</v>
      </c>
      <c r="I7" s="65">
        <v>2649</v>
      </c>
      <c r="J7" s="367"/>
      <c r="K7" s="65">
        <v>2649</v>
      </c>
      <c r="L7" s="367"/>
    </row>
    <row r="8" spans="1:12" ht="15" customHeight="1">
      <c r="A8" s="61" t="s">
        <v>22</v>
      </c>
      <c r="B8" s="366" t="s">
        <v>460</v>
      </c>
      <c r="C8" s="75">
        <f>+E8-D8</f>
        <v>28174.59999999999</v>
      </c>
      <c r="D8" s="62">
        <f>+E8*0.8</f>
        <v>112698.40000000001</v>
      </c>
      <c r="E8" s="367">
        <f>128536+12337</f>
        <v>140873</v>
      </c>
      <c r="F8" s="75">
        <f>+H8-G8</f>
        <v>14700</v>
      </c>
      <c r="G8" s="62">
        <f>+H8*0.8</f>
        <v>58800</v>
      </c>
      <c r="H8" s="367">
        <v>73500</v>
      </c>
      <c r="I8" s="65">
        <v>73500</v>
      </c>
      <c r="J8" s="367"/>
      <c r="K8" s="65">
        <v>73500</v>
      </c>
      <c r="L8" s="367"/>
    </row>
    <row r="9" spans="1:12" s="77" customFormat="1" ht="15" customHeight="1">
      <c r="A9" s="61" t="s">
        <v>23</v>
      </c>
      <c r="B9" s="366" t="s">
        <v>80</v>
      </c>
      <c r="C9" s="75">
        <f>+E9-D9</f>
        <v>2017.5999999999985</v>
      </c>
      <c r="D9" s="62">
        <f>+E9*0.9</f>
        <v>18158.4</v>
      </c>
      <c r="E9" s="367">
        <f>18399+1777</f>
        <v>20176</v>
      </c>
      <c r="F9" s="75">
        <f>+H9-G9</f>
        <v>2017.5999999999985</v>
      </c>
      <c r="G9" s="62">
        <f>+H9*0.9</f>
        <v>18158.4</v>
      </c>
      <c r="H9" s="367">
        <f>18399+1777</f>
        <v>20176</v>
      </c>
      <c r="I9" s="65">
        <v>20176</v>
      </c>
      <c r="J9" s="367"/>
      <c r="K9" s="65">
        <v>20176</v>
      </c>
      <c r="L9" s="367"/>
    </row>
    <row r="10" spans="1:12" ht="15" customHeight="1">
      <c r="A10" s="61" t="s">
        <v>24</v>
      </c>
      <c r="B10" s="366" t="s">
        <v>381</v>
      </c>
      <c r="C10" s="75"/>
      <c r="D10" s="62">
        <v>264</v>
      </c>
      <c r="E10" s="367">
        <f>+D10</f>
        <v>264</v>
      </c>
      <c r="F10" s="75"/>
      <c r="G10" s="62"/>
      <c r="H10" s="367"/>
      <c r="I10" s="65"/>
      <c r="J10" s="367"/>
      <c r="K10" s="65"/>
      <c r="L10" s="367"/>
    </row>
    <row r="11" spans="1:12" ht="15" customHeight="1" thickBot="1">
      <c r="A11" s="66" t="s">
        <v>25</v>
      </c>
      <c r="B11" s="383" t="s">
        <v>382</v>
      </c>
      <c r="C11" s="75"/>
      <c r="D11" s="62">
        <v>2622</v>
      </c>
      <c r="E11" s="367">
        <f>+D11</f>
        <v>2622</v>
      </c>
      <c r="F11" s="75"/>
      <c r="G11" s="62"/>
      <c r="H11" s="367"/>
      <c r="I11" s="68"/>
      <c r="J11" s="364"/>
      <c r="K11" s="68"/>
      <c r="L11" s="364"/>
    </row>
    <row r="12" spans="1:12" ht="30" customHeight="1">
      <c r="A12" s="69" t="s">
        <v>26</v>
      </c>
      <c r="B12" s="443" t="s">
        <v>81</v>
      </c>
      <c r="C12" s="372">
        <f>SUM(C6:C11)</f>
        <v>31645.89999999999</v>
      </c>
      <c r="D12" s="373">
        <f aca="true" t="shared" si="0" ref="D12:J12">SUM(D6:D11)</f>
        <v>146826.1</v>
      </c>
      <c r="E12" s="374">
        <f t="shared" si="0"/>
        <v>178472</v>
      </c>
      <c r="F12" s="372">
        <f t="shared" si="0"/>
        <v>18672.5</v>
      </c>
      <c r="G12" s="373">
        <f t="shared" si="0"/>
        <v>94552.5</v>
      </c>
      <c r="H12" s="374">
        <f t="shared" si="0"/>
        <v>113225</v>
      </c>
      <c r="I12" s="74">
        <f>SUM(I6:I11)</f>
        <v>113225</v>
      </c>
      <c r="J12" s="74">
        <f t="shared" si="0"/>
        <v>0</v>
      </c>
      <c r="K12" s="74">
        <f>SUM(K6:K11)</f>
        <v>113225</v>
      </c>
      <c r="L12" s="74">
        <f>SUM(L6:L11)</f>
        <v>0</v>
      </c>
    </row>
    <row r="13" spans="1:12" ht="15" customHeight="1">
      <c r="A13" s="61"/>
      <c r="C13" s="375"/>
      <c r="D13" s="70"/>
      <c r="E13" s="376">
        <f>SUM(C12:D12)</f>
        <v>178472</v>
      </c>
      <c r="F13" s="375"/>
      <c r="G13" s="70"/>
      <c r="H13" s="376">
        <f>SUM(F12:G12)</f>
        <v>113225</v>
      </c>
      <c r="I13" s="71"/>
      <c r="J13" s="71"/>
      <c r="K13" s="71"/>
      <c r="L13" s="71"/>
    </row>
    <row r="14" spans="1:12" ht="7.5" customHeight="1">
      <c r="A14" s="61"/>
      <c r="B14" s="55"/>
      <c r="C14" s="377"/>
      <c r="D14" s="72"/>
      <c r="E14" s="378"/>
      <c r="F14" s="377"/>
      <c r="G14" s="72"/>
      <c r="H14" s="378"/>
      <c r="I14" s="73"/>
      <c r="J14" s="73"/>
      <c r="K14" s="73"/>
      <c r="L14" s="73"/>
    </row>
    <row r="15" spans="1:12" ht="15" customHeight="1">
      <c r="A15" s="61" t="s">
        <v>27</v>
      </c>
      <c r="B15" s="441" t="s">
        <v>82</v>
      </c>
      <c r="C15" s="75">
        <f>+E15</f>
        <v>280</v>
      </c>
      <c r="D15" s="62"/>
      <c r="E15" s="367">
        <v>280</v>
      </c>
      <c r="F15" s="75"/>
      <c r="G15" s="62"/>
      <c r="H15" s="367"/>
      <c r="I15" s="65"/>
      <c r="J15" s="65"/>
      <c r="K15" s="65"/>
      <c r="L15" s="65"/>
    </row>
    <row r="16" spans="1:12" ht="15" customHeight="1">
      <c r="A16" s="61" t="s">
        <v>28</v>
      </c>
      <c r="B16" s="441" t="s">
        <v>83</v>
      </c>
      <c r="C16" s="75">
        <f>+E16</f>
        <v>2814</v>
      </c>
      <c r="D16" s="62"/>
      <c r="E16" s="367">
        <v>2814</v>
      </c>
      <c r="F16" s="75"/>
      <c r="G16" s="62"/>
      <c r="H16" s="367"/>
      <c r="I16" s="65"/>
      <c r="J16" s="65"/>
      <c r="K16" s="65"/>
      <c r="L16" s="65"/>
    </row>
    <row r="17" spans="1:12" ht="15" customHeight="1">
      <c r="A17" s="61" t="s">
        <v>29</v>
      </c>
      <c r="B17" s="444" t="s">
        <v>84</v>
      </c>
      <c r="C17" s="75">
        <f>+E17</f>
        <v>552</v>
      </c>
      <c r="D17" s="62"/>
      <c r="E17" s="367">
        <v>552</v>
      </c>
      <c r="F17" s="75">
        <v>100</v>
      </c>
      <c r="G17" s="62"/>
      <c r="H17" s="367">
        <f>SUM(F17:G17)</f>
        <v>100</v>
      </c>
      <c r="I17" s="65"/>
      <c r="J17" s="65">
        <f>+H17</f>
        <v>100</v>
      </c>
      <c r="K17" s="65"/>
      <c r="L17" s="65">
        <f>+J17</f>
        <v>100</v>
      </c>
    </row>
    <row r="18" spans="1:12" s="77" customFormat="1" ht="15" customHeight="1">
      <c r="A18" s="61" t="s">
        <v>30</v>
      </c>
      <c r="B18" s="441" t="s">
        <v>85</v>
      </c>
      <c r="C18" s="75">
        <f>+E18</f>
        <v>1832</v>
      </c>
      <c r="D18" s="62"/>
      <c r="E18" s="367">
        <v>1832</v>
      </c>
      <c r="F18" s="75"/>
      <c r="G18" s="62"/>
      <c r="H18" s="367"/>
      <c r="I18" s="65"/>
      <c r="J18" s="65"/>
      <c r="K18" s="65"/>
      <c r="L18" s="65"/>
    </row>
    <row r="19" spans="1:12" ht="16.5" customHeight="1">
      <c r="A19" s="61" t="s">
        <v>31</v>
      </c>
      <c r="B19" s="442" t="s">
        <v>463</v>
      </c>
      <c r="C19" s="75"/>
      <c r="D19" s="62"/>
      <c r="E19" s="367"/>
      <c r="F19" s="75">
        <f>4764+350-100</f>
        <v>5014</v>
      </c>
      <c r="G19" s="62"/>
      <c r="H19" s="367">
        <f>SUM(F19:G19)</f>
        <v>5014</v>
      </c>
      <c r="I19" s="65"/>
      <c r="J19" s="65">
        <f>+H19</f>
        <v>5014</v>
      </c>
      <c r="K19" s="65"/>
      <c r="L19" s="65">
        <f>+J19</f>
        <v>5014</v>
      </c>
    </row>
    <row r="20" spans="1:12" ht="15" customHeight="1">
      <c r="A20" s="61" t="s">
        <v>32</v>
      </c>
      <c r="B20" s="445" t="s">
        <v>86</v>
      </c>
      <c r="C20" s="375">
        <f>SUM(C15:C18)</f>
        <v>5478</v>
      </c>
      <c r="D20" s="70">
        <f>SUM(D15:D18)</f>
        <v>0</v>
      </c>
      <c r="E20" s="376">
        <f>SUM(E15:E18)</f>
        <v>5478</v>
      </c>
      <c r="F20" s="375">
        <f aca="true" t="shared" si="1" ref="F20:L20">SUM(F15:F19)</f>
        <v>5114</v>
      </c>
      <c r="G20" s="70">
        <f t="shared" si="1"/>
        <v>0</v>
      </c>
      <c r="H20" s="376">
        <f t="shared" si="1"/>
        <v>5114</v>
      </c>
      <c r="I20" s="71">
        <f t="shared" si="1"/>
        <v>0</v>
      </c>
      <c r="J20" s="71">
        <f t="shared" si="1"/>
        <v>5114</v>
      </c>
      <c r="K20" s="71">
        <f t="shared" si="1"/>
        <v>0</v>
      </c>
      <c r="L20" s="71">
        <f t="shared" si="1"/>
        <v>5114</v>
      </c>
    </row>
    <row r="21" spans="1:12" ht="7.5" customHeight="1">
      <c r="A21" s="61"/>
      <c r="B21" s="441"/>
      <c r="C21" s="75"/>
      <c r="D21" s="62"/>
      <c r="E21" s="76"/>
      <c r="F21" s="75"/>
      <c r="G21" s="62"/>
      <c r="H21" s="76"/>
      <c r="I21" s="63"/>
      <c r="J21" s="63"/>
      <c r="K21" s="63"/>
      <c r="L21" s="63"/>
    </row>
    <row r="22" spans="1:12" ht="15" customHeight="1" thickBot="1">
      <c r="A22" s="61" t="s">
        <v>33</v>
      </c>
      <c r="B22" s="441" t="s">
        <v>87</v>
      </c>
      <c r="C22" s="363">
        <v>350</v>
      </c>
      <c r="D22" s="67"/>
      <c r="E22" s="364">
        <f>+C22</f>
        <v>350</v>
      </c>
      <c r="F22" s="363"/>
      <c r="G22" s="67"/>
      <c r="H22" s="364"/>
      <c r="I22" s="68"/>
      <c r="J22" s="68"/>
      <c r="K22" s="68"/>
      <c r="L22" s="68"/>
    </row>
    <row r="23" spans="1:12" ht="31.5" customHeight="1">
      <c r="A23" s="69" t="s">
        <v>34</v>
      </c>
      <c r="B23" s="446" t="s">
        <v>88</v>
      </c>
      <c r="C23" s="372">
        <f aca="true" t="shared" si="2" ref="C23:J23">SUM(C22:C22)</f>
        <v>350</v>
      </c>
      <c r="D23" s="373">
        <f t="shared" si="2"/>
        <v>0</v>
      </c>
      <c r="E23" s="374">
        <f t="shared" si="2"/>
        <v>350</v>
      </c>
      <c r="F23" s="70">
        <f t="shared" si="2"/>
        <v>0</v>
      </c>
      <c r="G23" s="70">
        <f t="shared" si="2"/>
        <v>0</v>
      </c>
      <c r="H23" s="70">
        <f t="shared" si="2"/>
        <v>0</v>
      </c>
      <c r="I23" s="74">
        <f t="shared" si="2"/>
        <v>0</v>
      </c>
      <c r="J23" s="74">
        <f t="shared" si="2"/>
        <v>0</v>
      </c>
      <c r="K23" s="74">
        <f>SUM(K22:K22)</f>
        <v>0</v>
      </c>
      <c r="L23" s="74">
        <f>SUM(L22:L22)</f>
        <v>0</v>
      </c>
    </row>
    <row r="24" spans="1:12" ht="7.5" customHeight="1">
      <c r="A24" s="61"/>
      <c r="B24" s="447"/>
      <c r="C24" s="375"/>
      <c r="D24" s="70"/>
      <c r="E24" s="376"/>
      <c r="F24" s="70"/>
      <c r="G24" s="70"/>
      <c r="H24" s="70"/>
      <c r="I24" s="71"/>
      <c r="J24" s="71"/>
      <c r="K24" s="71"/>
      <c r="L24" s="71"/>
    </row>
    <row r="25" spans="1:12" ht="15" customHeight="1">
      <c r="A25" s="61" t="s">
        <v>35</v>
      </c>
      <c r="B25" s="447" t="s">
        <v>89</v>
      </c>
      <c r="C25" s="375"/>
      <c r="D25" s="70">
        <v>430</v>
      </c>
      <c r="E25" s="376">
        <f>SUM(C25:D25)</f>
        <v>430</v>
      </c>
      <c r="F25" s="70"/>
      <c r="G25" s="70"/>
      <c r="H25" s="70">
        <f>SUM(F25:G25)</f>
        <v>0</v>
      </c>
      <c r="I25" s="71"/>
      <c r="J25" s="71"/>
      <c r="K25" s="71">
        <v>270</v>
      </c>
      <c r="L25" s="71"/>
    </row>
    <row r="26" spans="1:12" ht="6" customHeight="1">
      <c r="A26" s="61"/>
      <c r="B26" s="447"/>
      <c r="C26" s="375"/>
      <c r="D26" s="70"/>
      <c r="E26" s="376"/>
      <c r="F26" s="70"/>
      <c r="G26" s="70"/>
      <c r="H26" s="70"/>
      <c r="I26" s="71"/>
      <c r="J26" s="71"/>
      <c r="K26" s="71"/>
      <c r="L26" s="71"/>
    </row>
    <row r="27" spans="1:12" ht="15" customHeight="1">
      <c r="A27" s="61" t="s">
        <v>36</v>
      </c>
      <c r="B27" s="448" t="s">
        <v>375</v>
      </c>
      <c r="C27" s="365"/>
      <c r="D27" s="77">
        <v>3248</v>
      </c>
      <c r="E27" s="376">
        <f>SUM(C27:D27)</f>
        <v>3248</v>
      </c>
      <c r="I27" s="61"/>
      <c r="J27" s="78"/>
      <c r="K27" s="61"/>
      <c r="L27" s="78">
        <v>2871</v>
      </c>
    </row>
    <row r="28" spans="1:12" ht="15" customHeight="1">
      <c r="A28" s="61" t="s">
        <v>37</v>
      </c>
      <c r="B28" s="449" t="s">
        <v>90</v>
      </c>
      <c r="C28" s="375"/>
      <c r="D28" s="70">
        <v>9366</v>
      </c>
      <c r="E28" s="376">
        <f>SUM(C28:D28)</f>
        <v>9366</v>
      </c>
      <c r="F28" s="70"/>
      <c r="G28" s="70"/>
      <c r="H28" s="70">
        <f>SUM(F28:G28)</f>
        <v>0</v>
      </c>
      <c r="I28" s="71"/>
      <c r="J28" s="71"/>
      <c r="K28" s="71"/>
      <c r="L28" s="71">
        <v>7175</v>
      </c>
    </row>
    <row r="29" spans="1:12" ht="15" customHeight="1">
      <c r="A29" s="61" t="s">
        <v>40</v>
      </c>
      <c r="B29" s="450" t="s">
        <v>91</v>
      </c>
      <c r="C29" s="377">
        <f aca="true" t="shared" si="3" ref="C29:J29">SUM(C23:C28)+C20+C12</f>
        <v>37473.899999999994</v>
      </c>
      <c r="D29" s="72">
        <f t="shared" si="3"/>
        <v>159870.1</v>
      </c>
      <c r="E29" s="378">
        <f t="shared" si="3"/>
        <v>197344</v>
      </c>
      <c r="F29" s="72">
        <f t="shared" si="3"/>
        <v>23786.5</v>
      </c>
      <c r="G29" s="72">
        <f t="shared" si="3"/>
        <v>94552.5</v>
      </c>
      <c r="H29" s="72">
        <f t="shared" si="3"/>
        <v>118339</v>
      </c>
      <c r="I29" s="73">
        <f t="shared" si="3"/>
        <v>113225</v>
      </c>
      <c r="J29" s="73">
        <f t="shared" si="3"/>
        <v>5114</v>
      </c>
      <c r="K29" s="73">
        <f>SUM(K23:K28)+K20+K12</f>
        <v>113495</v>
      </c>
      <c r="L29" s="73">
        <f>SUM(L23:L28)+L20+L12</f>
        <v>15160</v>
      </c>
    </row>
    <row r="30" spans="1:12" ht="15.75" thickBot="1">
      <c r="A30" s="61"/>
      <c r="B30" s="451"/>
      <c r="C30" s="379"/>
      <c r="D30" s="380"/>
      <c r="E30" s="381">
        <f>SUM(C29:D29)</f>
        <v>197344</v>
      </c>
      <c r="F30" s="72"/>
      <c r="G30" s="72"/>
      <c r="H30" s="72">
        <f>SUM(F29:G29)</f>
        <v>118339</v>
      </c>
      <c r="I30" s="382"/>
      <c r="J30" s="382"/>
      <c r="K30" s="382"/>
      <c r="L30" s="382"/>
    </row>
    <row r="31" spans="1:12" ht="15.75" thickBot="1">
      <c r="A31" s="66" t="s">
        <v>42</v>
      </c>
      <c r="B31" s="452" t="s">
        <v>92</v>
      </c>
      <c r="C31" s="79">
        <f aca="true" t="shared" si="4" ref="C31:J31">+C29</f>
        <v>37473.899999999994</v>
      </c>
      <c r="D31" s="79">
        <f t="shared" si="4"/>
        <v>159870.1</v>
      </c>
      <c r="E31" s="79">
        <f t="shared" si="4"/>
        <v>197344</v>
      </c>
      <c r="F31" s="420">
        <f t="shared" si="4"/>
        <v>23786.5</v>
      </c>
      <c r="G31" s="79">
        <f t="shared" si="4"/>
        <v>94552.5</v>
      </c>
      <c r="H31" s="421">
        <f t="shared" si="4"/>
        <v>118339</v>
      </c>
      <c r="I31" s="80">
        <f>+I29</f>
        <v>113225</v>
      </c>
      <c r="J31" s="80">
        <f t="shared" si="4"/>
        <v>5114</v>
      </c>
      <c r="K31" s="80">
        <f>+K29</f>
        <v>113495</v>
      </c>
      <c r="L31" s="80">
        <f>+L29</f>
        <v>15160</v>
      </c>
    </row>
    <row r="33" ht="15" customHeight="1">
      <c r="L33" s="518"/>
    </row>
  </sheetData>
  <sheetProtection/>
  <mergeCells count="4">
    <mergeCell ref="C2:E2"/>
    <mergeCell ref="I2:J2"/>
    <mergeCell ref="F2:H2"/>
    <mergeCell ref="K2:L2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  <headerFooter alignWithMargins="0">
    <oddHeader>&amp;L6. melléklet a 2014. évi 15/2014.(XI.27.) Önkormányzati költségvetési rendelethez&amp;R&amp;D</oddHeader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G31" sqref="G31"/>
    </sheetView>
  </sheetViews>
  <sheetFormatPr defaultColWidth="9.140625" defaultRowHeight="15" customHeight="1"/>
  <cols>
    <col min="1" max="1" width="4.7109375" style="112" customWidth="1"/>
    <col min="2" max="2" width="50.421875" style="112" customWidth="1"/>
    <col min="3" max="3" width="17.421875" style="112" customWidth="1"/>
    <col min="4" max="16384" width="9.140625" style="112" customWidth="1"/>
  </cols>
  <sheetData>
    <row r="1" spans="1:2" ht="15" customHeight="1">
      <c r="A1" s="402" t="s">
        <v>93</v>
      </c>
      <c r="B1" s="137"/>
    </row>
    <row r="2" spans="1:4" ht="15" customHeight="1">
      <c r="A2" s="402"/>
      <c r="B2" s="137"/>
      <c r="C2" s="403" t="s">
        <v>377</v>
      </c>
      <c r="D2" s="403" t="s">
        <v>377</v>
      </c>
    </row>
    <row r="3" spans="1:4" ht="15" customHeight="1">
      <c r="A3" s="139"/>
      <c r="B3" s="137" t="s">
        <v>365</v>
      </c>
      <c r="C3" s="404" t="s">
        <v>68</v>
      </c>
      <c r="D3" s="404" t="s">
        <v>467</v>
      </c>
    </row>
    <row r="4" spans="1:2" s="407" customFormat="1" ht="15" customHeight="1">
      <c r="A4" s="405"/>
      <c r="B4" s="406"/>
    </row>
    <row r="5" spans="1:4" s="408" customFormat="1" ht="15" customHeight="1">
      <c r="A5" s="423" t="s">
        <v>11</v>
      </c>
      <c r="B5" s="423" t="s">
        <v>12</v>
      </c>
      <c r="C5" s="424" t="s">
        <v>13</v>
      </c>
      <c r="D5" s="403" t="s">
        <v>14</v>
      </c>
    </row>
    <row r="6" spans="2:4" ht="15" customHeight="1">
      <c r="B6" s="409"/>
      <c r="C6" s="410"/>
      <c r="D6" s="410"/>
    </row>
    <row r="7" spans="1:4" ht="15" customHeight="1">
      <c r="A7" s="536" t="s">
        <v>20</v>
      </c>
      <c r="B7" s="411" t="s">
        <v>378</v>
      </c>
      <c r="C7" s="114">
        <f>+'[5]felhalmozási bevétel'!C7+22863-1000-1000-4272-500</f>
        <v>16241</v>
      </c>
      <c r="D7" s="114">
        <f>+C7-900-2650-519</f>
        <v>12172</v>
      </c>
    </row>
    <row r="8" spans="1:4" ht="15" customHeight="1">
      <c r="A8" s="536" t="s">
        <v>21</v>
      </c>
      <c r="B8" s="411" t="s">
        <v>444</v>
      </c>
      <c r="C8" s="114">
        <v>5000</v>
      </c>
      <c r="D8" s="114">
        <v>0</v>
      </c>
    </row>
    <row r="9" spans="1:4" ht="15" customHeight="1">
      <c r="A9" s="536" t="s">
        <v>22</v>
      </c>
      <c r="B9" s="411" t="s">
        <v>459</v>
      </c>
      <c r="C9" s="114">
        <v>1000</v>
      </c>
      <c r="D9" s="114">
        <f>+C9</f>
        <v>1000</v>
      </c>
    </row>
    <row r="10" spans="1:4" ht="42.75">
      <c r="A10" s="536" t="s">
        <v>23</v>
      </c>
      <c r="B10" s="411" t="s">
        <v>468</v>
      </c>
      <c r="C10" s="114"/>
      <c r="D10" s="112">
        <v>26212</v>
      </c>
    </row>
    <row r="11" spans="1:4" ht="15" customHeight="1">
      <c r="A11" s="536" t="s">
        <v>24</v>
      </c>
      <c r="B11" s="411" t="s">
        <v>227</v>
      </c>
      <c r="C11" s="114"/>
      <c r="D11" s="112">
        <v>6094</v>
      </c>
    </row>
    <row r="12" spans="1:4" ht="15" customHeight="1">
      <c r="A12" s="536" t="s">
        <v>25</v>
      </c>
      <c r="B12" s="411" t="s">
        <v>513</v>
      </c>
      <c r="C12" s="114"/>
      <c r="D12" s="112">
        <v>12492</v>
      </c>
    </row>
    <row r="13" spans="1:4" ht="31.5" customHeight="1">
      <c r="A13" s="537" t="s">
        <v>26</v>
      </c>
      <c r="B13" s="411" t="s">
        <v>514</v>
      </c>
      <c r="C13" s="114"/>
      <c r="D13" s="112">
        <v>1000</v>
      </c>
    </row>
    <row r="14" spans="1:4" ht="31.5" customHeight="1">
      <c r="A14" s="537" t="s">
        <v>27</v>
      </c>
      <c r="B14" s="411" t="s">
        <v>534</v>
      </c>
      <c r="C14" s="114"/>
      <c r="D14" s="112">
        <v>2650</v>
      </c>
    </row>
    <row r="15" spans="1:4" ht="31.5" customHeight="1">
      <c r="A15" s="537" t="s">
        <v>28</v>
      </c>
      <c r="B15" s="411" t="s">
        <v>536</v>
      </c>
      <c r="C15" s="114"/>
      <c r="D15" s="112">
        <v>1100</v>
      </c>
    </row>
    <row r="16" spans="1:4" ht="31.5" customHeight="1">
      <c r="A16" s="112" t="s">
        <v>29</v>
      </c>
      <c r="B16" s="411" t="s">
        <v>546</v>
      </c>
      <c r="C16" s="114"/>
      <c r="D16" s="112">
        <f>519+1333</f>
        <v>1852</v>
      </c>
    </row>
    <row r="17" spans="1:4" ht="31.5" customHeight="1">
      <c r="A17" s="112" t="s">
        <v>30</v>
      </c>
      <c r="B17" s="411" t="s">
        <v>551</v>
      </c>
      <c r="C17" s="114"/>
      <c r="D17" s="112">
        <v>8900</v>
      </c>
    </row>
    <row r="18" spans="1:4" ht="31.5" customHeight="1">
      <c r="A18" s="112" t="s">
        <v>31</v>
      </c>
      <c r="B18" s="411" t="s">
        <v>561</v>
      </c>
      <c r="C18" s="114"/>
      <c r="D18" s="112">
        <v>800</v>
      </c>
    </row>
    <row r="19" spans="1:4" ht="33.75" customHeight="1">
      <c r="A19" s="112" t="s">
        <v>32</v>
      </c>
      <c r="B19" s="563" t="s">
        <v>567</v>
      </c>
      <c r="C19" s="114"/>
      <c r="D19" s="112">
        <v>1162</v>
      </c>
    </row>
    <row r="20" spans="1:4" ht="28.5" customHeight="1">
      <c r="A20" s="112" t="s">
        <v>33</v>
      </c>
      <c r="B20" s="411" t="s">
        <v>566</v>
      </c>
      <c r="C20" s="114"/>
      <c r="D20" s="112">
        <v>5000</v>
      </c>
    </row>
    <row r="21" spans="1:3" ht="14.25">
      <c r="A21" s="536"/>
      <c r="B21" s="411"/>
      <c r="C21" s="114"/>
    </row>
    <row r="22" spans="1:4" ht="15" customHeight="1">
      <c r="A22" s="112" t="s">
        <v>34</v>
      </c>
      <c r="B22" s="412" t="s">
        <v>94</v>
      </c>
      <c r="C22" s="410">
        <f>SUM(C7:C13)</f>
        <v>22241</v>
      </c>
      <c r="D22" s="410">
        <f>SUM(D7:D21)</f>
        <v>80434</v>
      </c>
    </row>
    <row r="24" spans="1:4" ht="15" customHeight="1">
      <c r="A24" s="112" t="s">
        <v>35</v>
      </c>
      <c r="B24" s="413" t="s">
        <v>445</v>
      </c>
      <c r="C24" s="52">
        <f>9041+3096</f>
        <v>12137</v>
      </c>
      <c r="D24" s="112">
        <f>+C24</f>
        <v>12137</v>
      </c>
    </row>
    <row r="25" spans="1:4" ht="15" customHeight="1">
      <c r="A25" s="112" t="s">
        <v>36</v>
      </c>
      <c r="B25" s="413" t="s">
        <v>531</v>
      </c>
      <c r="C25" s="52">
        <v>1500</v>
      </c>
      <c r="D25" s="112">
        <f>+C25</f>
        <v>1500</v>
      </c>
    </row>
    <row r="26" spans="1:4" ht="15" customHeight="1">
      <c r="A26" s="536" t="s">
        <v>37</v>
      </c>
      <c r="B26" s="413" t="s">
        <v>559</v>
      </c>
      <c r="C26" s="52"/>
      <c r="D26" s="112">
        <v>4583</v>
      </c>
    </row>
    <row r="27" spans="2:3" ht="15" customHeight="1">
      <c r="B27" s="413"/>
      <c r="C27" s="114"/>
    </row>
    <row r="28" spans="1:4" ht="15" customHeight="1">
      <c r="A28" s="112" t="s">
        <v>40</v>
      </c>
      <c r="B28" s="414" t="s">
        <v>95</v>
      </c>
      <c r="C28" s="415">
        <f>SUM(C24:C27)</f>
        <v>13637</v>
      </c>
      <c r="D28" s="415">
        <f>SUM(D24:D27)</f>
        <v>18220</v>
      </c>
    </row>
    <row r="29" spans="2:4" ht="15" customHeight="1">
      <c r="B29" s="414"/>
      <c r="C29" s="415"/>
      <c r="D29" s="415"/>
    </row>
    <row r="30" spans="1:4" ht="15" customHeight="1">
      <c r="A30" s="112" t="s">
        <v>42</v>
      </c>
      <c r="B30" s="415" t="s">
        <v>96</v>
      </c>
      <c r="C30" s="416">
        <f>+C28+C22</f>
        <v>35878</v>
      </c>
      <c r="D30" s="416">
        <f>+D28+D22</f>
        <v>98654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&amp;L7. melléklet a 2014. évi 15/2014.(XI.27.) Önkormányzati költségvetési rendelethez&amp;R&amp;D</oddHeader>
    <oddFooter>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4.7109375" style="92" bestFit="1" customWidth="1"/>
    <col min="2" max="2" width="66.421875" style="91" customWidth="1"/>
    <col min="3" max="3" width="12.140625" style="91" customWidth="1"/>
    <col min="4" max="16384" width="9.140625" style="91" customWidth="1"/>
  </cols>
  <sheetData>
    <row r="1" ht="15.75">
      <c r="A1" s="90" t="s">
        <v>150</v>
      </c>
    </row>
    <row r="2" ht="15.75">
      <c r="B2" s="93"/>
    </row>
    <row r="3" spans="2:4" ht="15.75">
      <c r="B3" s="94" t="s">
        <v>151</v>
      </c>
      <c r="C3" s="400" t="s">
        <v>377</v>
      </c>
      <c r="D3" s="400" t="s">
        <v>377</v>
      </c>
    </row>
    <row r="4" spans="3:4" ht="15.75">
      <c r="C4" s="400" t="s">
        <v>68</v>
      </c>
      <c r="D4" s="400" t="s">
        <v>467</v>
      </c>
    </row>
    <row r="5" spans="1:4" ht="15.75">
      <c r="A5" s="92" t="s">
        <v>11</v>
      </c>
      <c r="B5" s="401" t="s">
        <v>12</v>
      </c>
      <c r="C5" s="400" t="s">
        <v>13</v>
      </c>
      <c r="D5" s="400" t="s">
        <v>14</v>
      </c>
    </row>
    <row r="7" spans="1:4" ht="15.75">
      <c r="A7" s="92" t="s">
        <v>20</v>
      </c>
      <c r="B7" s="91" t="s">
        <v>152</v>
      </c>
      <c r="C7" s="95">
        <f>+Bevétel!E105</f>
        <v>150</v>
      </c>
      <c r="D7" s="95">
        <f>+Bevétel!F106</f>
        <v>150</v>
      </c>
    </row>
    <row r="8" spans="1:4" ht="15.75">
      <c r="A8" s="92" t="s">
        <v>21</v>
      </c>
      <c r="B8" s="91" t="s">
        <v>451</v>
      </c>
      <c r="C8" s="95">
        <v>7000</v>
      </c>
      <c r="D8" s="95">
        <f>+C8</f>
        <v>7000</v>
      </c>
    </row>
    <row r="9" spans="1:4" ht="15.75">
      <c r="A9" s="92" t="s">
        <v>22</v>
      </c>
      <c r="B9" s="91" t="s">
        <v>450</v>
      </c>
      <c r="C9" s="91">
        <f>35000+9450</f>
        <v>44450</v>
      </c>
      <c r="D9" s="91">
        <f>+C9</f>
        <v>44450</v>
      </c>
    </row>
    <row r="10" spans="1:4" ht="36.75" customHeight="1">
      <c r="A10" s="92" t="s">
        <v>23</v>
      </c>
      <c r="B10" s="471" t="s">
        <v>542</v>
      </c>
      <c r="C10" s="91">
        <v>9450</v>
      </c>
      <c r="D10" s="91">
        <f>+C10</f>
        <v>9450</v>
      </c>
    </row>
    <row r="11" spans="1:4" ht="15.75">
      <c r="A11" s="92" t="s">
        <v>24</v>
      </c>
      <c r="B11" s="91" t="str">
        <f>+Bevétel!C99</f>
        <v>BM EU Önerő Alap KEOP-1.3.0/09-11 pályázathoz</v>
      </c>
      <c r="D11" s="95">
        <f>+Bevétel!F99</f>
        <v>26212</v>
      </c>
    </row>
    <row r="12" spans="1:4" ht="15.75">
      <c r="A12" s="92" t="s">
        <v>25</v>
      </c>
      <c r="B12" s="91" t="str">
        <f>+Bevétel!C100</f>
        <v>Közfoglalkoztatás</v>
      </c>
      <c r="D12" s="95">
        <f>+Bevétel!F100</f>
        <v>6094</v>
      </c>
    </row>
    <row r="13" spans="1:4" ht="15.75">
      <c r="A13" s="92" t="s">
        <v>26</v>
      </c>
      <c r="B13" s="485" t="s">
        <v>513</v>
      </c>
      <c r="D13" s="91">
        <v>12492</v>
      </c>
    </row>
    <row r="14" spans="1:4" ht="15.75">
      <c r="A14" s="92" t="s">
        <v>27</v>
      </c>
      <c r="B14" s="485" t="s">
        <v>514</v>
      </c>
      <c r="D14" s="91">
        <v>1000</v>
      </c>
    </row>
    <row r="15" spans="1:4" ht="15.75">
      <c r="A15" s="92" t="s">
        <v>28</v>
      </c>
      <c r="B15" s="524" t="str">
        <f>+Bevétel!C102</f>
        <v>Városi Művelődési Központ és Könyvtár "Civil Alap 2014 pályázat"</v>
      </c>
      <c r="D15" s="91">
        <v>1100</v>
      </c>
    </row>
    <row r="16" spans="1:4" ht="15.75">
      <c r="A16" s="92" t="s">
        <v>29</v>
      </c>
      <c r="B16" s="542" t="s">
        <v>550</v>
      </c>
      <c r="D16" s="91">
        <v>8900</v>
      </c>
    </row>
    <row r="17" spans="1:4" ht="15.75">
      <c r="A17" s="92" t="s">
        <v>30</v>
      </c>
      <c r="B17" s="487" t="s">
        <v>523</v>
      </c>
      <c r="D17" s="91">
        <v>800</v>
      </c>
    </row>
    <row r="18" spans="1:4" ht="15.75">
      <c r="A18" s="92" t="s">
        <v>31</v>
      </c>
      <c r="B18" s="91" t="str">
        <f>+Bevétel!C44</f>
        <v>Konszolidáció</v>
      </c>
      <c r="D18" s="95">
        <f>+Bevétel!F44</f>
        <v>235624</v>
      </c>
    </row>
    <row r="21" spans="1:6" ht="15.75">
      <c r="A21" s="92" t="s">
        <v>32</v>
      </c>
      <c r="B21" s="94" t="s">
        <v>153</v>
      </c>
      <c r="C21" s="358">
        <f>SUM(C7:C17)-C10</f>
        <v>51600</v>
      </c>
      <c r="D21" s="358">
        <f>SUM(D7:D20)-D10</f>
        <v>343822</v>
      </c>
      <c r="F21" s="95"/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&amp;L8. melléklet a 2014. évi 15/2014.(XI.27.) Önkormányzati költségvetési rendelethez&amp;R&amp;D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BVÖ01</cp:lastModifiedBy>
  <cp:lastPrinted>2014-12-01T07:24:47Z</cp:lastPrinted>
  <dcterms:created xsi:type="dcterms:W3CDTF">2013-01-09T15:47:27Z</dcterms:created>
  <dcterms:modified xsi:type="dcterms:W3CDTF">2014-12-01T08:56:22Z</dcterms:modified>
  <cp:category/>
  <cp:version/>
  <cp:contentType/>
  <cp:contentStatus/>
</cp:coreProperties>
</file>