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115" tabRatio="968" firstSheet="2" activeTab="12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6.2.sz.mell" sheetId="18" r:id="rId18"/>
    <sheet name="Z_6.2.1.sz.mell" sheetId="19" r:id="rId19"/>
    <sheet name="Z_6.2.2.sz.mell" sheetId="20" r:id="rId20"/>
    <sheet name="Z_6.2.3.sz.mell" sheetId="21" r:id="rId21"/>
    <sheet name="Z_6.2.4.sz.mell " sheetId="22" r:id="rId22"/>
    <sheet name="Z_6.3.sz.mell" sheetId="23" r:id="rId23"/>
    <sheet name="Óvodák összesen" sheetId="24" r:id="rId24"/>
    <sheet name="Z_6.4.1.sz.mell" sheetId="25" r:id="rId25"/>
    <sheet name="Z_6.4.2.sz.mell" sheetId="26" r:id="rId26"/>
    <sheet name="Z_7.sz.mell" sheetId="27" r:id="rId27"/>
    <sheet name="Z_8.sz.mell" sheetId="28" r:id="rId28"/>
    <sheet name="Z_1.tájékoztató_t." sheetId="29" r:id="rId29"/>
    <sheet name="Z_2.tájékoztató_t." sheetId="30" r:id="rId30"/>
    <sheet name="Z_3.tájékoztató_t." sheetId="31" r:id="rId31"/>
    <sheet name="Z_4.tájékoztató_t." sheetId="32" r:id="rId32"/>
    <sheet name="Z_5.tájékoztató_t." sheetId="33" r:id="rId33"/>
    <sheet name="Z_6.tájékoztató_t." sheetId="34" r:id="rId34"/>
    <sheet name="Z_7.1.tájékoztató_t." sheetId="35" r:id="rId35"/>
    <sheet name="Z_7.2.tájékoztató_t." sheetId="36" r:id="rId36"/>
    <sheet name="Z_8.tájékoztató_t." sheetId="37" r:id="rId37"/>
    <sheet name="Z_9.tájékoztató_t." sheetId="38" r:id="rId38"/>
  </sheets>
  <definedNames>
    <definedName name="_xlfn.IFERROR" hidden="1">#NAME?</definedName>
    <definedName name="_xlnm.Print_Titles" localSheetId="23">'Óvodák összesen'!$1:$6</definedName>
    <definedName name="_xlnm.Print_Titles" localSheetId="12">'Z_5.sz.mell.'!$J:$J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21">'Z_6.2.4.sz.mell '!$1:$6</definedName>
    <definedName name="_xlnm.Print_Titles" localSheetId="17">'Z_6.2.sz.mell'!$1:$6</definedName>
    <definedName name="_xlnm.Print_Titles" localSheetId="22">'Z_6.3.sz.mell'!$1:$6</definedName>
    <definedName name="_xlnm.Print_Titles" localSheetId="24">'Z_6.4.1.sz.mell'!$1:$6</definedName>
    <definedName name="_xlnm.Print_Titles" localSheetId="25">'Z_6.4.2.sz.mell'!$1:$6</definedName>
    <definedName name="_xlnm.Print_Titles" localSheetId="34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8">'Z_1.tájékoztató_t.'!$A$1:$E$154</definedName>
    <definedName name="_xlnm.Print_Area" localSheetId="12">'Z_5.sz.mell.'!$A$1:$J$252</definedName>
  </definedNames>
  <calcPr fullCalcOnLoad="1"/>
</workbook>
</file>

<file path=xl/sharedStrings.xml><?xml version="1.0" encoding="utf-8"?>
<sst xmlns="http://schemas.openxmlformats.org/spreadsheetml/2006/main" count="5192" uniqueCount="1002">
  <si>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</si>
  <si>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</si>
  <si>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</si>
  <si>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</si>
  <si>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</si>
  <si>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</si>
  <si>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</si>
  <si>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</si>
  <si>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</si>
  <si>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</si>
  <si>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</si>
  <si>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</si>
  <si>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</si>
  <si>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</si>
  <si>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</si>
  <si>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</si>
  <si>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</si>
  <si>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</si>
  <si>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</si>
  <si>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</si>
  <si>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</si>
  <si>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</si>
  <si>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</si>
  <si>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</si>
  <si>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</si>
  <si>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</si>
  <si>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</si>
  <si>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</si>
  <si>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</si>
  <si>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</si>
  <si>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</si>
  <si>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</si>
  <si>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</si>
  <si>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</si>
  <si>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</si>
  <si>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</si>
  <si>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</si>
  <si>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</si>
  <si>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</si>
  <si>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</si>
  <si>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</si>
  <si>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</si>
  <si>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</si>
  <si>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</si>
  <si>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</si>
  <si>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</si>
  <si>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</si>
  <si>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</si>
  <si>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</si>
  <si>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</si>
  <si>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</si>
  <si>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</si>
  <si>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</si>
  <si>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</si>
  <si>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</si>
  <si>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</si>
  <si>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</si>
  <si>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</si>
  <si>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</si>
  <si>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</si>
  <si>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</si>
  <si>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</si>
  <si>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</si>
  <si>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</si>
  <si>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</si>
  <si>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</si>
  <si>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</si>
  <si>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</si>
  <si>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</si>
  <si>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</si>
  <si>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</si>
  <si>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</si>
  <si>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</si>
  <si>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</si>
  <si>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</si>
  <si>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</si>
  <si>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</si>
  <si>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</si>
  <si>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</si>
  <si>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</si>
  <si>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</si>
  <si>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</si>
  <si>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</si>
  <si>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</si>
  <si>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</si>
  <si>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</si>
  <si>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</si>
  <si>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</si>
  <si>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</si>
  <si>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</si>
  <si>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</si>
  <si>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</si>
  <si>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</si>
  <si>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</si>
  <si>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</si>
  <si>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</si>
  <si>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</si>
  <si>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</si>
  <si>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</si>
  <si>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</si>
  <si>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</si>
  <si>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</si>
  <si>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</si>
  <si>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</si>
  <si>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</si>
  <si>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</si>
  <si>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</si>
  <si>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</si>
  <si>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</si>
  <si>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</si>
  <si>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</si>
  <si>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</si>
  <si>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</si>
  <si>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</si>
  <si>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</si>
  <si>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</si>
  <si>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</si>
  <si>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</si>
  <si>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</si>
  <si>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</si>
  <si>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</si>
  <si>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</si>
  <si>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</si>
  <si>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</si>
  <si>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</si>
  <si>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</si>
  <si>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</si>
  <si>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</si>
  <si>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</si>
  <si>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</si>
  <si>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</si>
  <si>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</si>
  <si>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</si>
  <si>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</si>
  <si>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</si>
  <si>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</si>
  <si>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</si>
  <si>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</si>
  <si>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</si>
  <si>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</si>
  <si>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</si>
  <si>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</si>
  <si>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</si>
  <si>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</si>
  <si>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</si>
  <si>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</si>
  <si>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</si>
  <si>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</si>
  <si>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</si>
  <si>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</si>
  <si>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</si>
  <si>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</si>
  <si>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</si>
  <si>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</si>
  <si>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</si>
  <si>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</si>
  <si>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</si>
  <si>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</si>
  <si>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</si>
  <si>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</si>
  <si>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</si>
  <si>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</si>
  <si>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</si>
  <si>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</si>
  <si>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</si>
  <si>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</si>
  <si>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</si>
  <si>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</si>
  <si>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</si>
  <si>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</si>
  <si>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</si>
  <si>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</si>
  <si>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</si>
  <si>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</si>
  <si>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</si>
  <si>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</si>
  <si>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</si>
  <si>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</si>
  <si>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</si>
  <si>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</si>
  <si>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</si>
  <si>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</si>
  <si>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</si>
  <si>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</si>
  <si>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</si>
  <si>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</si>
  <si>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</si>
  <si>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</si>
  <si>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</si>
  <si>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</si>
  <si>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</si>
  <si>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</si>
  <si>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</si>
  <si>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</si>
  <si>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</si>
  <si>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</si>
  <si>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</si>
  <si>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</si>
  <si>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</si>
  <si>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</si>
  <si>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</si>
  <si>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</si>
  <si>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</si>
  <si>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</si>
  <si>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</si>
  <si>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</si>
  <si>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</si>
  <si>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</si>
  <si>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</si>
  <si>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</si>
  <si>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</si>
  <si>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</si>
  <si>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</si>
  <si>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</si>
  <si>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</si>
  <si>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</si>
  <si>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</si>
  <si>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</si>
  <si>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</si>
  <si>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</si>
  <si>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</si>
  <si>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</si>
  <si>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</si>
  <si>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</si>
  <si>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</si>
  <si>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</si>
  <si>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</si>
  <si>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</si>
  <si>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</si>
  <si>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</si>
  <si>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</si>
  <si>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</si>
  <si>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</si>
  <si>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</si>
  <si>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</si>
  <si>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</si>
  <si>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</si>
  <si>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</si>
  <si>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</si>
  <si>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</si>
  <si>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</si>
  <si>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</si>
  <si>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</si>
  <si>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</si>
  <si>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</si>
  <si>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</si>
  <si>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</si>
  <si>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</si>
  <si>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</si>
  <si>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</si>
  <si>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</si>
  <si>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</si>
  <si>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</si>
  <si>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</si>
  <si>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</si>
  <si>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</si>
  <si>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</si>
  <si>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</si>
  <si>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</si>
  <si>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</si>
  <si>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</si>
  <si>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</si>
  <si>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</si>
  <si>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</si>
  <si>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</si>
  <si>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</si>
  <si>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</si>
  <si>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</si>
  <si>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</si>
  <si>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</si>
  <si>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</si>
  <si>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</si>
  <si>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</si>
  <si>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</si>
  <si>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</si>
  <si>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</si>
  <si>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</si>
  <si>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</si>
  <si>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</si>
  <si>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</si>
  <si>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</si>
  <si>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</si>
  <si>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</si>
  <si>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</si>
  <si>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</si>
  <si>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</si>
  <si>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</si>
  <si>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</si>
  <si>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</si>
  <si>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</si>
  <si>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</si>
  <si>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</si>
  <si>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</si>
  <si>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</si>
  <si>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</si>
  <si>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</si>
  <si>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</si>
  <si>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</si>
  <si>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</si>
  <si>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</si>
  <si>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</si>
  <si>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</si>
  <si>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</si>
  <si>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</si>
  <si>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</si>
  <si>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</si>
  <si>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</si>
  <si>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</si>
  <si>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</si>
  <si>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</si>
  <si>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</si>
  <si>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</si>
  <si>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</si>
  <si>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</si>
  <si>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</si>
  <si>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</si>
  <si>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</si>
  <si>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</si>
  <si>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</si>
  <si>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</si>
  <si>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</si>
  <si>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</si>
  <si>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</si>
  <si>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</si>
  <si>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</si>
  <si>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</si>
  <si>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</si>
  <si>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</si>
  <si>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</si>
  <si>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</si>
  <si>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</si>
  <si>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</si>
  <si>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</si>
  <si>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</si>
  <si>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</si>
  <si>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</si>
  <si>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</si>
  <si>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</si>
  <si>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</si>
  <si>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</si>
  <si>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</si>
  <si>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</si>
  <si>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</si>
  <si>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</si>
  <si>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</si>
  <si>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</si>
  <si>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</si>
  <si>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</si>
  <si>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</si>
  <si>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</si>
  <si>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</si>
  <si>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</si>
  <si>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</si>
  <si>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</si>
  <si>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</si>
  <si>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</si>
  <si>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</si>
  <si>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</si>
  <si>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</si>
  <si>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</si>
  <si>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</si>
  <si>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</si>
  <si>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</si>
  <si>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</si>
  <si>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</si>
  <si>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</si>
  <si>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</si>
  <si>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</si>
  <si>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</si>
  <si>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</si>
  <si>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</si>
  <si>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</si>
  <si>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</si>
  <si>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</si>
  <si>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</si>
  <si>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</si>
  <si>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</si>
  <si>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</si>
  <si>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</si>
  <si>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</si>
  <si>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</si>
  <si>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</si>
  <si>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</si>
  <si>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</si>
  <si>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</si>
  <si>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</si>
  <si>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</si>
  <si>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</si>
  <si>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</si>
  <si>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</si>
  <si>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</si>
  <si>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</si>
  <si>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</si>
  <si>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</si>
  <si>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</si>
  <si>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</si>
  <si>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</si>
  <si>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</si>
  <si>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</si>
  <si>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</si>
  <si>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</si>
  <si>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</si>
  <si>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</si>
  <si>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</si>
  <si>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</si>
  <si>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</si>
  <si>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</si>
  <si>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</si>
  <si>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</si>
  <si>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</si>
  <si>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</si>
  <si>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</si>
  <si>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</si>
  <si>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</si>
  <si>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</si>
  <si>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</si>
  <si>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</si>
  <si>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</si>
  <si>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</si>
  <si>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</si>
  <si>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</si>
  <si>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</si>
  <si>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</si>
  <si>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</si>
  <si>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</si>
  <si>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</si>
  <si>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</si>
  <si>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</si>
  <si>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</si>
  <si>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</si>
  <si>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</si>
  <si>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</si>
  <si>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</si>
  <si>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</si>
  <si>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</si>
  <si>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</si>
  <si>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</si>
  <si>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</si>
  <si>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</si>
  <si>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</si>
  <si>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</si>
  <si>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</si>
  <si>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</si>
  <si>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</si>
  <si>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</si>
  <si>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</si>
  <si>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</si>
  <si>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</si>
  <si>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</si>
  <si>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</si>
  <si>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</si>
  <si>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</si>
  <si>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</si>
  <si>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</si>
  <si>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</si>
  <si>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</si>
  <si>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</si>
  <si>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</si>
  <si>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</si>
  <si>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</si>
  <si>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</si>
  <si>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</si>
  <si>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</si>
  <si>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</si>
  <si>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</si>
  <si>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</si>
  <si>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</si>
  <si>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</si>
  <si>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</si>
  <si>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</si>
  <si>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</si>
  <si>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</si>
  <si>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</si>
  <si>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</si>
  <si>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</si>
  <si>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</si>
  <si>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</si>
  <si>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</si>
  <si>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</si>
  <si>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</si>
  <si>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</si>
  <si>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</si>
  <si>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</si>
  <si>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</si>
  <si>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</si>
  <si>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</si>
  <si>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</si>
  <si>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</si>
  <si>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</si>
  <si>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</si>
  <si>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</si>
  <si>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</si>
  <si>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</si>
  <si>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</si>
  <si>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</si>
  <si>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</si>
  <si>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</si>
  <si>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</si>
  <si>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</si>
  <si>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</si>
  <si>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</si>
  <si>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</si>
  <si>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</si>
  <si>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</si>
  <si>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</si>
  <si>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</si>
  <si>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</si>
  <si>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</si>
  <si>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</si>
  <si>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</si>
  <si>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</si>
  <si>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</si>
  <si>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</si>
  <si>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</si>
  <si>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05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</si>
  <si>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</si>
  <si>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</si>
  <si>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</si>
  <si>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</si>
  <si>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</si>
  <si>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</si>
  <si>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</si>
  <si>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</si>
  <si>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</si>
  <si>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</si>
  <si>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</si>
  <si>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</si>
  <si>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</si>
  <si>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</si>
  <si>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</si>
  <si>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</si>
  <si>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</si>
  <si>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</si>
  <si>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</si>
  <si>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</si>
  <si>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</si>
  <si>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</si>
  <si>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</si>
  <si>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</si>
  <si>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</si>
  <si>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</si>
  <si>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............................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</si>
  <si>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</si>
  <si>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</si>
  <si>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</si>
  <si>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</si>
  <si>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</si>
  <si>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</si>
  <si>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</si>
  <si>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</si>
  <si>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</si>
  <si>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</si>
  <si>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</si>
  <si>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</si>
  <si>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</si>
  <si>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</si>
  <si>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</si>
  <si>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</si>
  <si>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</si>
  <si>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</si>
  <si>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</si>
  <si>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</si>
  <si>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</si>
  <si>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</si>
  <si>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</si>
  <si>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</si>
  <si>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</si>
  <si>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</si>
  <si>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</si>
  <si>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</si>
  <si>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</si>
  <si>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</si>
  <si>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</si>
  <si>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</si>
  <si>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</si>
  <si>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</si>
  <si>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</si>
  <si>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</si>
  <si>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</si>
  <si>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</si>
  <si>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</si>
  <si>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</si>
  <si>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</si>
  <si>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</si>
  <si>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</si>
  <si>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</si>
  <si>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</si>
  <si>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</si>
  <si>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</si>
  <si>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</si>
  <si>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</si>
  <si>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</si>
  <si>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</si>
  <si>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</si>
  <si>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</si>
  <si>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</si>
  <si>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</si>
  <si>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</si>
  <si>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</si>
  <si>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</si>
  <si>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</si>
  <si>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</si>
  <si>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</si>
  <si>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</si>
  <si>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</si>
  <si>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</si>
  <si>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</si>
  <si>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</si>
  <si>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</si>
  <si>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</si>
  <si>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</si>
  <si>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</si>
  <si>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</si>
  <si>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</si>
  <si>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</si>
  <si>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</si>
  <si>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</si>
  <si>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</si>
  <si>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</si>
  <si>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</si>
  <si>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</si>
  <si>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</si>
  <si>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</si>
  <si>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</si>
  <si>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</si>
  <si>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</si>
  <si>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</si>
  <si>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</si>
  <si>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</si>
  <si>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</si>
  <si>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</si>
  <si>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</si>
  <si>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</si>
  <si>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</si>
  <si>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</si>
  <si>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</si>
  <si>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</si>
  <si>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</si>
  <si>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</si>
  <si>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</si>
  <si>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</si>
  <si>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</si>
  <si>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</si>
  <si>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</si>
  <si>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</si>
  <si>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</si>
  <si>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</si>
  <si>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</si>
  <si>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</si>
  <si>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</si>
  <si>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</si>
  <si>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</si>
  <si>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</si>
  <si>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</si>
  <si>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</si>
  <si>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</si>
  <si>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</si>
  <si>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</si>
  <si>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</si>
  <si>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</si>
  <si>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</si>
  <si>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</si>
  <si>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</si>
  <si>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</si>
  <si>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</si>
  <si>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</si>
  <si>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</si>
  <si>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</si>
  <si>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</si>
  <si>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</si>
  <si>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</si>
  <si>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</si>
  <si>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</si>
  <si>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</si>
  <si>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</si>
  <si>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</si>
  <si>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</si>
  <si>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</si>
  <si>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</si>
  <si>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</si>
  <si>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</si>
  <si>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</si>
  <si>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</si>
  <si>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</si>
  <si>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</si>
  <si>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</si>
  <si>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</si>
  <si>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</si>
  <si>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</si>
  <si>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</si>
  <si>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</si>
  <si>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</si>
  <si>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</si>
  <si>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</si>
  <si>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</si>
  <si>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</si>
  <si>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</si>
  <si>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</si>
  <si>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</si>
  <si>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</si>
  <si>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</si>
  <si>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</si>
  <si>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</si>
  <si>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</si>
  <si>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</si>
  <si>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</si>
  <si>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</si>
  <si>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</si>
  <si>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</si>
  <si>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</si>
  <si>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</si>
  <si>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</si>
  <si>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</si>
  <si>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</si>
  <si>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</si>
  <si>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</si>
  <si>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</si>
  <si>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</si>
  <si>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</si>
  <si>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</si>
  <si>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</si>
  <si>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</si>
  <si>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</si>
  <si>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</si>
  <si>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</si>
  <si>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</si>
  <si>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</si>
  <si>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</si>
  <si>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</si>
  <si>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</si>
  <si>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</si>
  <si>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</si>
  <si>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</si>
  <si>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</si>
  <si>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</si>
  <si>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</si>
  <si>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</si>
  <si>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</si>
  <si>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</si>
  <si>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</si>
  <si>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</si>
  <si>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</si>
  <si>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</si>
  <si>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</si>
  <si>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</si>
  <si>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</si>
  <si>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</si>
  <si>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</si>
  <si>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</si>
  <si>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</si>
  <si>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</si>
  <si>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</si>
  <si>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</si>
  <si>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</si>
  <si>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</si>
  <si>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</si>
  <si>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</si>
  <si>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</si>
  <si>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</si>
  <si>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</si>
  <si>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</si>
  <si>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</si>
  <si>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</si>
  <si>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</si>
  <si>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</si>
  <si>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</si>
  <si>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</si>
  <si>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</si>
  <si>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</si>
  <si>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</si>
  <si>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</si>
  <si>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</si>
  <si>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</si>
  <si>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</si>
  <si>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</si>
  <si>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</si>
  <si>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</si>
  <si>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</si>
  <si>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</si>
  <si>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</si>
  <si>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</si>
  <si>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</si>
  <si>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</si>
  <si>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</si>
  <si>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</si>
  <si>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</si>
  <si>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</si>
  <si>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</si>
  <si>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</si>
  <si>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</si>
  <si>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</si>
  <si>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</si>
  <si>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</si>
  <si>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</si>
  <si>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</si>
  <si>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</si>
  <si>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</si>
  <si>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</si>
  <si>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</si>
  <si>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</si>
  <si>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</si>
  <si>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</si>
  <si>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</si>
  <si>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</si>
  <si>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</si>
  <si>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</si>
  <si>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</si>
  <si>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</si>
  <si>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</si>
  <si>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</si>
  <si>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</si>
  <si>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</si>
  <si>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</si>
  <si>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</si>
  <si>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</si>
  <si>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</si>
  <si>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</si>
  <si>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</si>
  <si>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</si>
  <si>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</si>
  <si>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</si>
  <si>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</si>
  <si>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</rPr>
      <t>*</t>
    </r>
  </si>
  <si>
    <t>* Magyarország 2019. évi központi költségvetéséról szóló törvény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</si>
  <si>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</si>
  <si>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</si>
  <si>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</si>
  <si>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</si>
  <si>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</si>
  <si>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Igen</t>
  </si>
  <si>
    <t>I=C+F</t>
  </si>
  <si>
    <t>B=C+E+H</t>
  </si>
  <si>
    <t>Módosítás utáni összes forrás, kiadás</t>
  </si>
  <si>
    <t>Összes
 tartozás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</si>
  <si>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</si>
  <si>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</si>
  <si>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</si>
  <si>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</si>
  <si>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</si>
  <si>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</si>
  <si>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</si>
  <si>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Besenyszög Város Önkormányzata</t>
  </si>
  <si>
    <t>Besenyszögi Közös Önkormányzati Hivatal</t>
  </si>
  <si>
    <t>Egyéb közhatalmi  bevételek</t>
  </si>
  <si>
    <t>Wesniczky Antal Művelődési Ház és Könyvtár</t>
  </si>
  <si>
    <t>Besenyszögi székhely bevételei, kiadásai</t>
  </si>
  <si>
    <t>Szászbereki telephely bevételei, kiadásai</t>
  </si>
  <si>
    <t>Besenyszögi Eszterlánc Óvoda</t>
  </si>
  <si>
    <t>Összes bevétel, kiadás (kötelező feladatok)</t>
  </si>
  <si>
    <t>Egyéb felhalmozási c. támogatások államháztartáson belülről</t>
  </si>
  <si>
    <t>Besenyszögi Óvoda bevételei, kiadásai</t>
  </si>
  <si>
    <t>Szászberki Óvoda bevételei, kiadásai</t>
  </si>
  <si>
    <t>Besenyszögi Közös Önkorm. Hivatal</t>
  </si>
  <si>
    <t>W.A Művelődési Ház és Könyvtár</t>
  </si>
  <si>
    <t>I.1.a</t>
  </si>
  <si>
    <t xml:space="preserve">Önkormányzati hivatal működésének támogatása </t>
  </si>
  <si>
    <t>Módosított támogatás összege</t>
  </si>
  <si>
    <t>I.1.ba</t>
  </si>
  <si>
    <t>Zöldterület gazdálkodással kapcsolatos feladatok ellátásának támogatása</t>
  </si>
  <si>
    <t>I.1.bb</t>
  </si>
  <si>
    <t>Közvilágítás fenntartásának támogatása</t>
  </si>
  <si>
    <t>I.1.bd</t>
  </si>
  <si>
    <t>Közutak fenntartásának támogatása</t>
  </si>
  <si>
    <t>Egyéb önkormányzati feladatok támogatása</t>
  </si>
  <si>
    <t>I.1.c</t>
  </si>
  <si>
    <t>I.1.d</t>
  </si>
  <si>
    <t>Lakott külterülettel kapcsolatos feladatok támogatása</t>
  </si>
  <si>
    <t>I.6</t>
  </si>
  <si>
    <t>Polgármesteri illetmény támogatása</t>
  </si>
  <si>
    <t xml:space="preserve">I. </t>
  </si>
  <si>
    <t>Helyi önkormányzatok működésének általános támogatása összesen</t>
  </si>
  <si>
    <t xml:space="preserve">II.1 </t>
  </si>
  <si>
    <t>Pedagógusok és az e pedagógusok nevelő munkáját közvetlenül segítők bértámogatása</t>
  </si>
  <si>
    <t>II.2</t>
  </si>
  <si>
    <t>Óvoda működtetés támogatása</t>
  </si>
  <si>
    <t>II.4</t>
  </si>
  <si>
    <t>Óvodapedagógusok kiegészítő támogatása (minősítés miatt)</t>
  </si>
  <si>
    <t>II.</t>
  </si>
  <si>
    <t>A települési önkormányzatok egyes köznevelési feladatainak támogatása</t>
  </si>
  <si>
    <t>III.2</t>
  </si>
  <si>
    <t>A települési önkormányzatok szociális feladatainak egyéb támogatása</t>
  </si>
  <si>
    <t>Gyermekétkeztetés bértámogatása</t>
  </si>
  <si>
    <t>III.5.aa</t>
  </si>
  <si>
    <t>III.5.ab</t>
  </si>
  <si>
    <t>III.5.b</t>
  </si>
  <si>
    <t>Gyermekétkeztetés üzemeltetési támogatása</t>
  </si>
  <si>
    <t>Szünidei étkeztetés támogatása</t>
  </si>
  <si>
    <t>III.</t>
  </si>
  <si>
    <t>A települési önkormányzatok szociális és gyermekétkeztetési feladatainak támogatása</t>
  </si>
  <si>
    <t>Települési önkormányzatok nyilvános könyvtári és közművelődési feladatainak támogatása</t>
  </si>
  <si>
    <t>Köztisztviselői illetményemelés támogatása</t>
  </si>
  <si>
    <t>Minimálbéremelés támogatása</t>
  </si>
  <si>
    <t>Rendkívüli önkormányzati támogatás</t>
  </si>
  <si>
    <t>IV.</t>
  </si>
  <si>
    <t>2018. évi elszámolásból eredő támogatás</t>
  </si>
  <si>
    <t>Bérkompenzáció támogatása</t>
  </si>
  <si>
    <t>Egyéb közhatalmi bevételek</t>
  </si>
  <si>
    <t>BES-Ász Kft</t>
  </si>
  <si>
    <t>Hulladákgazdálkodási Nonprofit Kft.</t>
  </si>
  <si>
    <t>TRV részesedés</t>
  </si>
  <si>
    <t>Szögi-szántó Kft</t>
  </si>
  <si>
    <t>TSZ Központ átalakítása</t>
  </si>
  <si>
    <t>2016-2020</t>
  </si>
  <si>
    <t>Szociális konyha kialakítása</t>
  </si>
  <si>
    <t>2016-2020.</t>
  </si>
  <si>
    <t>Bölcsőde</t>
  </si>
  <si>
    <t>Sportliget</t>
  </si>
  <si>
    <t>Kerékpárút</t>
  </si>
  <si>
    <t>Energetika I.</t>
  </si>
  <si>
    <t>Energetika II.</t>
  </si>
  <si>
    <t>2016-2019.</t>
  </si>
  <si>
    <t>Belvízelvezető árok felújítás</t>
  </si>
  <si>
    <t>TOP 3.2.1-15-JN1-2016-00027 Önkormányzati épületek energetikai korszerűsítése Besenyszögön</t>
  </si>
  <si>
    <t>TOP 3.2.1-16-JN1-2017-00002 Önkormányzati épületek energetikai korszerűsítése Besenyszögön</t>
  </si>
  <si>
    <t>TOP-2.1.3-15-JN1-2016-00016 Besenyszög Város belterületi csapadékvíz elvezető csatornahálózat fejlesztése</t>
  </si>
  <si>
    <t>TOP 1.4.1-15-JN1-2016-00044 Besenyszögi Napsugár Bölcsőde kialakítása</t>
  </si>
  <si>
    <t>TOP 2.1.2-15-JN1-2016-00020 Zöldülő Besenyszög-Sportliget kialakítása Besenyszög központjában</t>
  </si>
  <si>
    <t>TOP 2.1.1-15-JN1-2016-00003 Sport és közösségi központ létrehozása TSZ központ hasznosításával</t>
  </si>
  <si>
    <t>TOP 4.2.1-15-JN1-2016-00021 Szociális konyha kialakítása Besenyszögön</t>
  </si>
  <si>
    <t>TOP 3.1.1-15-JN1-2016-00009 Kerékpárút kiépítése Besenyszögön</t>
  </si>
  <si>
    <t>EFOP 1.8.2-17-00028 Széchenyi praxisközösség az egészségfejlesztésért</t>
  </si>
  <si>
    <t>EFOP 3.3.2-16-2016-00316 Kalandos barangolás a kultúrában</t>
  </si>
  <si>
    <t>Intézményfinanszírozás</t>
  </si>
  <si>
    <t>TOP 5.3.1-16-2017-00002 Jó szomszédok- közösségfejlesztés a Szolnoki járásban</t>
  </si>
  <si>
    <t>5. melléklet a … / 2020. ( … ) önkormányzati rendelethez</t>
  </si>
  <si>
    <t>Ingatlan beszerzések</t>
  </si>
  <si>
    <t>I. világháborús emlékmű felújítás</t>
  </si>
  <si>
    <t>Településrendezési terv</t>
  </si>
  <si>
    <t>Hivatal energetikai korszerűsítése</t>
  </si>
  <si>
    <t>Kubinyi program eszközbeszerzése</t>
  </si>
  <si>
    <t>Egyéb intézményi felújítás</t>
  </si>
  <si>
    <t>Háziorvosi szolgálat eszközbeszerzése, átvétel</t>
  </si>
  <si>
    <t>Szociális bérlakás kazáncsere</t>
  </si>
  <si>
    <t>Gyermekétkeztetéshez hűtőszekrény vásárlás</t>
  </si>
  <si>
    <t>Út és járda felújítás</t>
  </si>
  <si>
    <t>TRV szivattyú felújítás</t>
  </si>
  <si>
    <t>Kubinyi programból garé- és szánfelújítás</t>
  </si>
  <si>
    <t>Szociális bérlakás felújítás</t>
  </si>
  <si>
    <t>2019-2020</t>
  </si>
  <si>
    <t>2019.</t>
  </si>
  <si>
    <t>Egyéb eszközbeszerzések</t>
  </si>
  <si>
    <t>Könyvtári könyvbeszerzések</t>
  </si>
  <si>
    <t>Hivatali eszközbeszerzések</t>
  </si>
  <si>
    <t>Magyar faluprogram-ból felújítás</t>
  </si>
  <si>
    <t>2017-2019.</t>
  </si>
  <si>
    <t>Óvodafenntartó társulás</t>
  </si>
  <si>
    <t>működési támogatás</t>
  </si>
  <si>
    <t>Szolnoki Kistérség T. Társulása</t>
  </si>
  <si>
    <t>Emberi Erőforrások Minisztériuma</t>
  </si>
  <si>
    <t>BURSA H. támogatás</t>
  </si>
  <si>
    <t>Magyar Államkincstár</t>
  </si>
  <si>
    <t>2018. évi állami visszaf.</t>
  </si>
  <si>
    <t>Besenyszögi Sport Egyesület</t>
  </si>
  <si>
    <t>tanulói bérlet</t>
  </si>
  <si>
    <t>Boros Rebeka</t>
  </si>
  <si>
    <t>könyvvizsgálat díja</t>
  </si>
  <si>
    <t>Besenyszögi Óvodásokért Alapítvány</t>
  </si>
  <si>
    <t>Besenyszögi Hagyományőrző Íjász Egyesület</t>
  </si>
  <si>
    <t>Besenyszöügi Milléri Sporthorgász Egyesület</t>
  </si>
  <si>
    <t>Besenyszögi Polgárőr Egyesület</t>
  </si>
  <si>
    <t>"Érezd magad jól a besenyszögi iskolában" A.</t>
  </si>
  <si>
    <t>Besenyszögért Alapítvány</t>
  </si>
  <si>
    <t>Magyar-Német Baráti Társaság</t>
  </si>
  <si>
    <t>Tehetséges Diákokért Alapítvány</t>
  </si>
  <si>
    <t>C.F. K.K.Ált. iskola múzeumi feladatok</t>
  </si>
  <si>
    <t>Besenyszögi Hulladékgazd. Nonprofit Kft</t>
  </si>
  <si>
    <t>likviditási c. vt.tám.</t>
  </si>
  <si>
    <t>fogorvosi ügyelet,tagdíj</t>
  </si>
  <si>
    <t>visszatérítendő támogatás</t>
  </si>
  <si>
    <t>BES-ÁSZ Kft.(napelempark önerő)</t>
  </si>
  <si>
    <t>BES-ÁSZ Kft.( autóvásárlás támogatása)</t>
  </si>
  <si>
    <t>méhészeti eszk.beszerzés</t>
  </si>
  <si>
    <t>Königin-Trade Kft</t>
  </si>
  <si>
    <t>Szociális tüzelőanyag támogatása</t>
  </si>
  <si>
    <t>Államháztartáson belüli megelőlegezés visszafizetése</t>
  </si>
  <si>
    <t>2019-2021.</t>
  </si>
  <si>
    <t>Egyéb felhalm. célú támogatások bevételei államháztartáson belülről</t>
  </si>
  <si>
    <t>2014-2019</t>
  </si>
  <si>
    <t>EU-s pályázatok</t>
  </si>
  <si>
    <t>Önkormányzati épületek energia korszerűsítése I</t>
  </si>
  <si>
    <t>2016.</t>
  </si>
  <si>
    <t>Önkormányzati épületek energia korszerűsítése II</t>
  </si>
  <si>
    <t>2018.</t>
  </si>
  <si>
    <t>Kerékpárút építés</t>
  </si>
  <si>
    <t>Belterületi csapadékvíz elvezetés</t>
  </si>
  <si>
    <t>Bölcsőde építés</t>
  </si>
  <si>
    <t>Sporliget kialakítása</t>
  </si>
  <si>
    <t>Sport és közösségi központ</t>
  </si>
  <si>
    <t>Széchenyi praxis közösség</t>
  </si>
  <si>
    <t>2017.</t>
  </si>
  <si>
    <t>Kalandos barangolás a kultúrában</t>
  </si>
  <si>
    <t>Jó szomszédok-közösségfejlesztés</t>
  </si>
  <si>
    <t>2020.</t>
  </si>
  <si>
    <t>2021.</t>
  </si>
  <si>
    <t>2019. évi teljesítés</t>
  </si>
  <si>
    <t>2022.</t>
  </si>
  <si>
    <t>2022. után</t>
  </si>
  <si>
    <t>Fejl.c. hiteltörlesztés (tőke+kamat)</t>
  </si>
  <si>
    <t>KIADÁSOK ÖSSZESEN (13.+24.)</t>
  </si>
  <si>
    <t>Orvoslakás építés</t>
  </si>
  <si>
    <t>VII.10.</t>
  </si>
  <si>
    <t>5. melléklet a 9 / 2020. ( VII.10.)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</si>
</sst>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###\ ###\ ###\ ###\ ##0.00"/>
    <numFmt numFmtId="181" formatCode="#,##0_ ;\-#,##0\ "/>
  </numFmts>
  <fonts count="10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0" fillId="22" borderId="7" applyNumberFormat="0" applyFont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3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13" fillId="0" borderId="10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0" fontId="13" fillId="0" borderId="14" xfId="62" applyFont="1" applyFill="1" applyBorder="1" applyAlignment="1" applyProtection="1">
      <alignment horizontal="left" vertical="center" wrapText="1" indent="1"/>
      <protection/>
    </xf>
    <xf numFmtId="0" fontId="13" fillId="0" borderId="15" xfId="62" applyFont="1" applyFill="1" applyBorder="1" applyAlignment="1" applyProtection="1">
      <alignment horizontal="left" vertical="center" wrapText="1" indent="1"/>
      <protection/>
    </xf>
    <xf numFmtId="49" fontId="13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2" applyFont="1" applyFill="1" applyBorder="1" applyAlignment="1" applyProtection="1">
      <alignment horizontal="left" vertical="center" wrapText="1" indent="1"/>
      <protection/>
    </xf>
    <xf numFmtId="0" fontId="12" fillId="0" borderId="22" xfId="62" applyFont="1" applyFill="1" applyBorder="1" applyAlignment="1" applyProtection="1">
      <alignment horizontal="left" vertical="center" wrapText="1" indent="1"/>
      <protection/>
    </xf>
    <xf numFmtId="0" fontId="12" fillId="0" borderId="23" xfId="62" applyFont="1" applyFill="1" applyBorder="1" applyAlignment="1" applyProtection="1">
      <alignment horizontal="left" vertical="center" wrapText="1" indent="1"/>
      <protection/>
    </xf>
    <xf numFmtId="0" fontId="12" fillId="0" borderId="24" xfId="62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2" applyFont="1" applyFill="1" applyBorder="1" applyAlignment="1" applyProtection="1">
      <alignment vertical="center" wrapText="1"/>
      <protection/>
    </xf>
    <xf numFmtId="0" fontId="12" fillId="0" borderId="25" xfId="62" applyFont="1" applyFill="1" applyBorder="1" applyAlignment="1" applyProtection="1">
      <alignment vertical="center" wrapText="1"/>
      <protection/>
    </xf>
    <xf numFmtId="0" fontId="12" fillId="0" borderId="22" xfId="62" applyFont="1" applyFill="1" applyBorder="1" applyAlignment="1" applyProtection="1">
      <alignment horizontal="center" vertical="center" wrapText="1"/>
      <protection/>
    </xf>
    <xf numFmtId="0" fontId="12" fillId="0" borderId="23" xfId="62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8" xfId="0" applyNumberFormat="1" applyFont="1" applyFill="1" applyBorder="1" applyAlignment="1" applyProtection="1">
      <alignment vertical="center" wrapText="1"/>
      <protection/>
    </xf>
    <xf numFmtId="166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2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indent="6"/>
      <protection/>
    </xf>
    <xf numFmtId="0" fontId="13" fillId="0" borderId="11" xfId="62" applyFont="1" applyFill="1" applyBorder="1" applyAlignment="1" applyProtection="1">
      <alignment horizontal="left" vertical="center" wrapText="1" indent="6"/>
      <protection/>
    </xf>
    <xf numFmtId="0" fontId="13" fillId="0" borderId="15" xfId="62" applyFont="1" applyFill="1" applyBorder="1" applyAlignment="1" applyProtection="1">
      <alignment horizontal="left" vertical="center" wrapText="1" indent="6"/>
      <protection/>
    </xf>
    <xf numFmtId="0" fontId="13" fillId="0" borderId="29" xfId="62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166" fontId="12" fillId="0" borderId="34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2" fillId="0" borderId="25" xfId="62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6"/>
      <protection/>
    </xf>
    <xf numFmtId="0" fontId="2" fillId="0" borderId="0" xfId="62" applyFill="1" applyProtection="1">
      <alignment/>
      <protection/>
    </xf>
    <xf numFmtId="0" fontId="13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2" applyFill="1" applyAlignment="1" applyProtection="1">
      <alignment/>
      <protection/>
    </xf>
    <xf numFmtId="0" fontId="14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2" applyNumberFormat="1" applyFont="1" applyFill="1" applyBorder="1" applyAlignment="1" applyProtection="1">
      <alignment horizontal="center" vertical="center" wrapText="1"/>
      <protection/>
    </xf>
    <xf numFmtId="49" fontId="13" fillId="0" borderId="17" xfId="62" applyNumberFormat="1" applyFont="1" applyFill="1" applyBorder="1" applyAlignment="1" applyProtection="1">
      <alignment horizontal="center" vertical="center" wrapText="1"/>
      <protection/>
    </xf>
    <xf numFmtId="49" fontId="13" fillId="0" borderId="19" xfId="62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2" applyNumberFormat="1" applyFont="1" applyFill="1" applyBorder="1" applyAlignment="1" applyProtection="1">
      <alignment horizontal="center" vertical="center" wrapText="1"/>
      <protection/>
    </xf>
    <xf numFmtId="49" fontId="13" fillId="0" borderId="16" xfId="62" applyNumberFormat="1" applyFont="1" applyFill="1" applyBorder="1" applyAlignment="1" applyProtection="1">
      <alignment horizontal="center" vertical="center" wrapText="1"/>
      <protection/>
    </xf>
    <xf numFmtId="49" fontId="13" fillId="0" borderId="21" xfId="62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62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2" applyFont="1" applyFill="1" applyBorder="1" applyAlignment="1" applyProtection="1">
      <alignment horizontal="left" vertical="center" wrapText="1" indent="1"/>
      <protection/>
    </xf>
    <xf numFmtId="0" fontId="12" fillId="0" borderId="32" xfId="62" applyFont="1" applyFill="1" applyBorder="1" applyAlignment="1" applyProtection="1">
      <alignment vertical="center" wrapText="1"/>
      <protection/>
    </xf>
    <xf numFmtId="0" fontId="13" fillId="0" borderId="29" xfId="62" applyFont="1" applyFill="1" applyBorder="1" applyAlignment="1" applyProtection="1">
      <alignment horizontal="left" vertical="center" wrapText="1" indent="7"/>
      <protection/>
    </xf>
    <xf numFmtId="0" fontId="12" fillId="0" borderId="22" xfId="62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2" applyNumberFormat="1" applyFont="1" applyFill="1" applyBorder="1" applyAlignment="1" applyProtection="1">
      <alignment horizontal="center" vertical="center" wrapText="1"/>
      <protection/>
    </xf>
    <xf numFmtId="166" fontId="12" fillId="0" borderId="47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2" applyFont="1" applyFill="1" applyBorder="1" applyAlignment="1" applyProtection="1">
      <alignment horizontal="center" vertical="center" wrapText="1"/>
      <protection/>
    </xf>
    <xf numFmtId="0" fontId="6" fillId="0" borderId="51" xfId="62" applyFont="1" applyFill="1" applyBorder="1" applyAlignment="1" applyProtection="1">
      <alignment horizontal="center" vertical="center" wrapText="1"/>
      <protection/>
    </xf>
    <xf numFmtId="0" fontId="12" fillId="0" borderId="52" xfId="62" applyFont="1" applyFill="1" applyBorder="1" applyAlignment="1" applyProtection="1">
      <alignment horizontal="center" vertical="center" wrapText="1"/>
      <protection/>
    </xf>
    <xf numFmtId="166" fontId="12" fillId="0" borderId="53" xfId="62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2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2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166" fontId="13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7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8" xfId="62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29" xfId="62" applyFont="1" applyFill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 locked="0"/>
    </xf>
    <xf numFmtId="0" fontId="2" fillId="0" borderId="0" xfId="62" applyFont="1" applyFill="1" applyAlignment="1" applyProtection="1">
      <alignment horizontal="right" vertical="center" indent="1"/>
      <protection locked="0"/>
    </xf>
    <xf numFmtId="0" fontId="2" fillId="0" borderId="0" xfId="62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58" xfId="62" applyFont="1" applyFill="1" applyBorder="1" applyAlignment="1" applyProtection="1">
      <alignment horizontal="center" vertical="center" wrapText="1"/>
      <protection/>
    </xf>
    <xf numFmtId="0" fontId="12" fillId="0" borderId="23" xfId="62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6" fontId="20" fillId="0" borderId="31" xfId="62" applyNumberFormat="1" applyFont="1" applyFill="1" applyBorder="1" applyAlignment="1" applyProtection="1">
      <alignment/>
      <protection/>
    </xf>
    <xf numFmtId="0" fontId="12" fillId="0" borderId="34" xfId="62" applyFont="1" applyFill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left" vertical="center" wrapText="1"/>
      <protection/>
    </xf>
    <xf numFmtId="0" fontId="13" fillId="0" borderId="11" xfId="62" applyFont="1" applyFill="1" applyBorder="1" applyAlignment="1" applyProtection="1">
      <alignment horizontal="left" vertical="center" wrapText="1"/>
      <protection/>
    </xf>
    <xf numFmtId="0" fontId="13" fillId="0" borderId="14" xfId="62" applyFont="1" applyFill="1" applyBorder="1" applyAlignment="1" applyProtection="1">
      <alignment horizontal="left" vertical="center" wrapText="1"/>
      <protection/>
    </xf>
    <xf numFmtId="0" fontId="13" fillId="0" borderId="0" xfId="62" applyFont="1" applyFill="1" applyBorder="1" applyAlignment="1" applyProtection="1">
      <alignment horizontal="left" vertical="center" wrapText="1"/>
      <protection/>
    </xf>
    <xf numFmtId="0" fontId="13" fillId="0" borderId="11" xfId="62" applyFont="1" applyFill="1" applyBorder="1" applyAlignment="1" applyProtection="1">
      <alignment horizontal="left" vertical="center"/>
      <protection/>
    </xf>
    <xf numFmtId="0" fontId="13" fillId="0" borderId="15" xfId="62" applyFont="1" applyFill="1" applyBorder="1" applyAlignment="1" applyProtection="1">
      <alignment horizontal="left" vertical="center" wrapText="1"/>
      <protection/>
    </xf>
    <xf numFmtId="0" fontId="13" fillId="0" borderId="29" xfId="62" applyFont="1" applyFill="1" applyBorder="1" applyAlignment="1" applyProtection="1">
      <alignment horizontal="left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/>
      <protection/>
    </xf>
    <xf numFmtId="0" fontId="2" fillId="0" borderId="0" xfId="62" applyFill="1" applyAlignment="1" applyProtection="1">
      <alignment horizontal="left" vertical="center" indent="1"/>
      <protection/>
    </xf>
    <xf numFmtId="0" fontId="12" fillId="0" borderId="23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6" fontId="19" fillId="0" borderId="0" xfId="0" applyNumberFormat="1" applyFont="1" applyFill="1" applyAlignment="1">
      <alignment vertical="center"/>
    </xf>
    <xf numFmtId="166" fontId="19" fillId="0" borderId="0" xfId="0" applyNumberFormat="1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3" xfId="0" applyNumberFormat="1" applyFont="1" applyFill="1" applyBorder="1" applyAlignment="1">
      <alignment horizontal="left" vertical="center" wrapText="1" indent="1"/>
    </xf>
    <xf numFmtId="166" fontId="0" fillId="33" borderId="43" xfId="0" applyNumberFormat="1" applyFont="1" applyFill="1" applyBorder="1" applyAlignment="1">
      <alignment horizontal="left" vertical="center" wrapText="1" indent="2"/>
    </xf>
    <xf numFmtId="166" fontId="0" fillId="33" borderId="33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6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166" fontId="0" fillId="33" borderId="43" xfId="0" applyNumberFormat="1" applyFont="1" applyFill="1" applyBorder="1" applyAlignment="1">
      <alignment horizontal="right" vertical="center" wrapText="1" indent="2"/>
    </xf>
    <xf numFmtId="166" fontId="0" fillId="33" borderId="33" xfId="0" applyNumberFormat="1" applyFont="1" applyFill="1" applyBorder="1" applyAlignment="1">
      <alignment horizontal="right" vertical="center" wrapText="1" indent="2"/>
    </xf>
    <xf numFmtId="166" fontId="13" fillId="0" borderId="39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3" fillId="0" borderId="62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/>
      <protection locked="0"/>
    </xf>
    <xf numFmtId="166" fontId="13" fillId="0" borderId="63" xfId="0" applyNumberFormat="1" applyFont="1" applyFill="1" applyBorder="1" applyAlignment="1" applyProtection="1">
      <alignment vertical="center"/>
      <protection locked="0"/>
    </xf>
    <xf numFmtId="166" fontId="12" fillId="0" borderId="53" xfId="0" applyNumberFormat="1" applyFont="1" applyFill="1" applyBorder="1" applyAlignment="1" applyProtection="1">
      <alignment vertical="center"/>
      <protection/>
    </xf>
    <xf numFmtId="166" fontId="12" fillId="0" borderId="58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6" xfId="0" applyNumberFormat="1" applyFont="1" applyFill="1" applyBorder="1" applyAlignment="1">
      <alignment vertical="center" wrapText="1"/>
    </xf>
    <xf numFmtId="0" fontId="25" fillId="0" borderId="0" xfId="64" applyFill="1" applyProtection="1">
      <alignment/>
      <protection/>
    </xf>
    <xf numFmtId="0" fontId="30" fillId="0" borderId="0" xfId="64" applyFont="1" applyFill="1" applyProtection="1">
      <alignment/>
      <protection/>
    </xf>
    <xf numFmtId="0" fontId="25" fillId="0" borderId="0" xfId="64" applyFill="1" applyAlignment="1" applyProtection="1">
      <alignment horizontal="center" vertical="center"/>
      <protection/>
    </xf>
    <xf numFmtId="0" fontId="17" fillId="0" borderId="20" xfId="64" applyFont="1" applyFill="1" applyBorder="1" applyAlignment="1" applyProtection="1">
      <alignment vertical="center" wrapText="1"/>
      <protection/>
    </xf>
    <xf numFmtId="176" fontId="13" fillId="0" borderId="13" xfId="63" applyNumberFormat="1" applyFont="1" applyFill="1" applyBorder="1" applyAlignment="1" applyProtection="1">
      <alignment horizontal="center" vertical="center"/>
      <protection/>
    </xf>
    <xf numFmtId="177" fontId="33" fillId="0" borderId="13" xfId="64" applyNumberFormat="1" applyFont="1" applyFill="1" applyBorder="1" applyAlignment="1" applyProtection="1">
      <alignment horizontal="right" vertical="center" wrapText="1"/>
      <protection locked="0"/>
    </xf>
    <xf numFmtId="177" fontId="33" fillId="0" borderId="45" xfId="64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4" applyFill="1" applyAlignment="1" applyProtection="1">
      <alignment vertical="center"/>
      <protection/>
    </xf>
    <xf numFmtId="0" fontId="17" fillId="0" borderId="17" xfId="64" applyFont="1" applyFill="1" applyBorder="1" applyAlignment="1" applyProtection="1">
      <alignment vertical="center" wrapText="1"/>
      <protection/>
    </xf>
    <xf numFmtId="176" fontId="13" fillId="0" borderId="11" xfId="63" applyNumberFormat="1" applyFont="1" applyFill="1" applyBorder="1" applyAlignment="1" applyProtection="1">
      <alignment horizontal="center" vertical="center"/>
      <protection/>
    </xf>
    <xf numFmtId="177" fontId="33" fillId="0" borderId="11" xfId="64" applyNumberFormat="1" applyFont="1" applyFill="1" applyBorder="1" applyAlignment="1" applyProtection="1">
      <alignment horizontal="right" vertical="center" wrapText="1"/>
      <protection/>
    </xf>
    <xf numFmtId="177" fontId="33" fillId="0" borderId="27" xfId="64" applyNumberFormat="1" applyFont="1" applyFill="1" applyBorder="1" applyAlignment="1" applyProtection="1">
      <alignment horizontal="right" vertical="center" wrapText="1"/>
      <protection/>
    </xf>
    <xf numFmtId="0" fontId="34" fillId="0" borderId="17" xfId="64" applyFont="1" applyFill="1" applyBorder="1" applyAlignment="1" applyProtection="1">
      <alignment horizontal="left" vertical="center" wrapText="1" indent="1"/>
      <protection/>
    </xf>
    <xf numFmtId="177" fontId="35" fillId="0" borderId="11" xfId="64" applyNumberFormat="1" applyFont="1" applyFill="1" applyBorder="1" applyAlignment="1" applyProtection="1">
      <alignment horizontal="right" vertical="center" wrapText="1"/>
      <protection locked="0"/>
    </xf>
    <xf numFmtId="177" fontId="35" fillId="0" borderId="27" xfId="64" applyNumberFormat="1" applyFont="1" applyFill="1" applyBorder="1" applyAlignment="1" applyProtection="1">
      <alignment horizontal="right" vertical="center" wrapText="1"/>
      <protection locked="0"/>
    </xf>
    <xf numFmtId="177" fontId="36" fillId="0" borderId="11" xfId="64" applyNumberFormat="1" applyFont="1" applyFill="1" applyBorder="1" applyAlignment="1" applyProtection="1">
      <alignment horizontal="right" vertical="center" wrapText="1"/>
      <protection locked="0"/>
    </xf>
    <xf numFmtId="177" fontId="36" fillId="0" borderId="27" xfId="64" applyNumberFormat="1" applyFont="1" applyFill="1" applyBorder="1" applyAlignment="1" applyProtection="1">
      <alignment horizontal="right" vertical="center" wrapText="1"/>
      <protection locked="0"/>
    </xf>
    <xf numFmtId="177" fontId="36" fillId="0" borderId="11" xfId="64" applyNumberFormat="1" applyFont="1" applyFill="1" applyBorder="1" applyAlignment="1" applyProtection="1">
      <alignment horizontal="right" vertical="center" wrapText="1"/>
      <protection/>
    </xf>
    <xf numFmtId="177" fontId="36" fillId="0" borderId="27" xfId="64" applyNumberFormat="1" applyFont="1" applyFill="1" applyBorder="1" applyAlignment="1" applyProtection="1">
      <alignment horizontal="right" vertical="center" wrapText="1"/>
      <protection/>
    </xf>
    <xf numFmtId="0" fontId="17" fillId="0" borderId="21" xfId="64" applyFont="1" applyFill="1" applyBorder="1" applyAlignment="1" applyProtection="1">
      <alignment vertical="center" wrapText="1"/>
      <protection/>
    </xf>
    <xf numFmtId="176" fontId="13" fillId="0" borderId="29" xfId="63" applyNumberFormat="1" applyFont="1" applyFill="1" applyBorder="1" applyAlignment="1" applyProtection="1">
      <alignment horizontal="center" vertical="center"/>
      <protection/>
    </xf>
    <xf numFmtId="177" fontId="33" fillId="0" borderId="29" xfId="64" applyNumberFormat="1" applyFont="1" applyFill="1" applyBorder="1" applyAlignment="1" applyProtection="1">
      <alignment horizontal="right" vertical="center" wrapText="1"/>
      <protection/>
    </xf>
    <xf numFmtId="177" fontId="33" fillId="0" borderId="58" xfId="64" applyNumberFormat="1" applyFont="1" applyFill="1" applyBorder="1" applyAlignment="1" applyProtection="1">
      <alignment horizontal="right" vertical="center" wrapText="1"/>
      <protection/>
    </xf>
    <xf numFmtId="0" fontId="16" fillId="0" borderId="0" xfId="64" applyFont="1" applyFill="1" applyProtection="1">
      <alignment/>
      <protection/>
    </xf>
    <xf numFmtId="3" fontId="25" fillId="0" borderId="0" xfId="64" applyNumberFormat="1" applyFont="1" applyFill="1" applyProtection="1">
      <alignment/>
      <protection/>
    </xf>
    <xf numFmtId="3" fontId="25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Protection="1">
      <alignment/>
      <protection/>
    </xf>
    <xf numFmtId="0" fontId="25" fillId="0" borderId="0" xfId="64" applyFill="1" applyAlignment="1" applyProtection="1">
      <alignment horizontal="center"/>
      <protection/>
    </xf>
    <xf numFmtId="0" fontId="0" fillId="0" borderId="0" xfId="63" applyFill="1" applyAlignment="1" applyProtection="1">
      <alignment vertical="center"/>
      <protection/>
    </xf>
    <xf numFmtId="0" fontId="0" fillId="0" borderId="0" xfId="63" applyFill="1" applyAlignment="1" applyProtection="1">
      <alignment vertical="center" wrapText="1"/>
      <protection/>
    </xf>
    <xf numFmtId="0" fontId="0" fillId="0" borderId="0" xfId="63" applyFill="1" applyAlignment="1" applyProtection="1">
      <alignment horizontal="center" vertical="center"/>
      <protection/>
    </xf>
    <xf numFmtId="49" fontId="0" fillId="0" borderId="0" xfId="63" applyNumberFormat="1" applyFont="1" applyFill="1" applyAlignment="1" applyProtection="1">
      <alignment horizontal="center" vertical="center"/>
      <protection/>
    </xf>
    <xf numFmtId="176" fontId="13" fillId="0" borderId="12" xfId="63" applyNumberFormat="1" applyFont="1" applyFill="1" applyBorder="1" applyAlignment="1" applyProtection="1">
      <alignment horizontal="center" vertical="center"/>
      <protection/>
    </xf>
    <xf numFmtId="178" fontId="13" fillId="0" borderId="64" xfId="63" applyNumberFormat="1" applyFont="1" applyFill="1" applyBorder="1" applyAlignment="1" applyProtection="1">
      <alignment vertical="center"/>
      <protection locked="0"/>
    </xf>
    <xf numFmtId="178" fontId="13" fillId="0" borderId="27" xfId="63" applyNumberFormat="1" applyFont="1" applyFill="1" applyBorder="1" applyAlignment="1" applyProtection="1">
      <alignment vertical="center"/>
      <protection locked="0"/>
    </xf>
    <xf numFmtId="178" fontId="12" fillId="0" borderId="27" xfId="63" applyNumberFormat="1" applyFont="1" applyFill="1" applyBorder="1" applyAlignment="1" applyProtection="1">
      <alignment vertical="center"/>
      <protection/>
    </xf>
    <xf numFmtId="178" fontId="12" fillId="0" borderId="27" xfId="63" applyNumberFormat="1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vertical="center"/>
      <protection/>
    </xf>
    <xf numFmtId="0" fontId="12" fillId="0" borderId="21" xfId="63" applyFont="1" applyFill="1" applyBorder="1" applyAlignment="1" applyProtection="1">
      <alignment horizontal="left" vertical="center" wrapText="1"/>
      <protection/>
    </xf>
    <xf numFmtId="178" fontId="12" fillId="0" borderId="58" xfId="63" applyNumberFormat="1" applyFont="1" applyFill="1" applyBorder="1" applyAlignment="1" applyProtection="1">
      <alignment vertical="center"/>
      <protection/>
    </xf>
    <xf numFmtId="0" fontId="25" fillId="0" borderId="0" xfId="64" applyFont="1" applyFill="1" applyAlignment="1" applyProtection="1">
      <alignment/>
      <protection/>
    </xf>
    <xf numFmtId="0" fontId="11" fillId="0" borderId="0" xfId="63" applyFont="1" applyFill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left" vertical="top" wrapText="1"/>
      <protection locked="0"/>
    </xf>
    <xf numFmtId="9" fontId="39" fillId="0" borderId="12" xfId="72" applyFont="1" applyBorder="1" applyAlignment="1" applyProtection="1">
      <alignment horizontal="center" vertical="center" wrapText="1"/>
      <protection locked="0"/>
    </xf>
    <xf numFmtId="168" fontId="39" fillId="0" borderId="12" xfId="42" applyNumberFormat="1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9" fontId="39" fillId="0" borderId="11" xfId="72" applyFont="1" applyBorder="1" applyAlignment="1" applyProtection="1">
      <alignment horizontal="center" vertical="center" wrapText="1"/>
      <protection locked="0"/>
    </xf>
    <xf numFmtId="168" fontId="39" fillId="0" borderId="11" xfId="42" applyNumberFormat="1" applyFont="1" applyBorder="1" applyAlignment="1" applyProtection="1">
      <alignment horizontal="center" vertical="center" wrapText="1"/>
      <protection locked="0"/>
    </xf>
    <xf numFmtId="168" fontId="39" fillId="0" borderId="27" xfId="42" applyNumberFormat="1" applyFont="1" applyBorder="1" applyAlignment="1" applyProtection="1">
      <alignment horizontal="center" vertical="top" wrapText="1"/>
      <protection locked="0"/>
    </xf>
    <xf numFmtId="0" fontId="39" fillId="0" borderId="15" xfId="0" applyFont="1" applyBorder="1" applyAlignment="1" applyProtection="1">
      <alignment horizontal="left" vertical="top" wrapText="1"/>
      <protection locked="0"/>
    </xf>
    <xf numFmtId="9" fontId="39" fillId="0" borderId="15" xfId="72" applyFont="1" applyBorder="1" applyAlignment="1" applyProtection="1">
      <alignment horizontal="center" vertical="center" wrapText="1"/>
      <protection locked="0"/>
    </xf>
    <xf numFmtId="168" fontId="39" fillId="0" borderId="15" xfId="42" applyNumberFormat="1" applyFont="1" applyBorder="1" applyAlignment="1" applyProtection="1">
      <alignment horizontal="center" vertical="center" wrapText="1"/>
      <protection locked="0"/>
    </xf>
    <xf numFmtId="168" fontId="39" fillId="0" borderId="28" xfId="42" applyNumberFormat="1" applyFont="1" applyBorder="1" applyAlignment="1" applyProtection="1">
      <alignment horizontal="center" vertical="top" wrapText="1"/>
      <protection locked="0"/>
    </xf>
    <xf numFmtId="0" fontId="37" fillId="35" borderId="23" xfId="0" applyFont="1" applyFill="1" applyBorder="1" applyAlignment="1" applyProtection="1">
      <alignment horizontal="center" vertical="top" wrapText="1"/>
      <protection/>
    </xf>
    <xf numFmtId="168" fontId="39" fillId="0" borderId="23" xfId="42" applyNumberFormat="1" applyFont="1" applyBorder="1" applyAlignment="1" applyProtection="1">
      <alignment horizontal="center" vertical="center" wrapText="1"/>
      <protection/>
    </xf>
    <xf numFmtId="168" fontId="39" fillId="0" borderId="26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1" fillId="0" borderId="29" xfId="0" applyFont="1" applyFill="1" applyBorder="1" applyAlignment="1">
      <alignment horizontal="left" vertical="center" indent="5"/>
    </xf>
    <xf numFmtId="166" fontId="20" fillId="0" borderId="31" xfId="62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2" applyFont="1" applyFill="1" applyBorder="1" applyAlignment="1" applyProtection="1">
      <alignment horizontal="center" vertical="center" wrapText="1"/>
      <protection locked="0"/>
    </xf>
    <xf numFmtId="0" fontId="12" fillId="0" borderId="22" xfId="62" applyFont="1" applyFill="1" applyBorder="1" applyAlignment="1" applyProtection="1">
      <alignment horizontal="center" vertical="center" wrapText="1"/>
      <protection locked="0"/>
    </xf>
    <xf numFmtId="0" fontId="12" fillId="0" borderId="23" xfId="62" applyFont="1" applyFill="1" applyBorder="1" applyAlignment="1" applyProtection="1">
      <alignment horizontal="center" vertical="center" wrapText="1"/>
      <protection locked="0"/>
    </xf>
    <xf numFmtId="0" fontId="12" fillId="0" borderId="26" xfId="62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63" xfId="0" applyNumberFormat="1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 vertical="center"/>
      <protection locked="0"/>
    </xf>
    <xf numFmtId="166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0" fontId="25" fillId="0" borderId="0" xfId="64" applyFill="1" applyProtection="1">
      <alignment/>
      <protection locked="0"/>
    </xf>
    <xf numFmtId="0" fontId="30" fillId="0" borderId="0" xfId="64" applyFont="1" applyFill="1" applyProtection="1">
      <alignment/>
      <protection locked="0"/>
    </xf>
    <xf numFmtId="0" fontId="26" fillId="0" borderId="21" xfId="64" applyFont="1" applyFill="1" applyBorder="1" applyAlignment="1" applyProtection="1">
      <alignment horizontal="center" vertical="center" wrapText="1"/>
      <protection locked="0"/>
    </xf>
    <xf numFmtId="0" fontId="26" fillId="0" borderId="29" xfId="64" applyFont="1" applyFill="1" applyBorder="1" applyAlignment="1" applyProtection="1">
      <alignment horizontal="center" vertical="center" wrapText="1"/>
      <protection locked="0"/>
    </xf>
    <xf numFmtId="0" fontId="26" fillId="0" borderId="58" xfId="64" applyFont="1" applyFill="1" applyBorder="1" applyAlignment="1" applyProtection="1">
      <alignment horizontal="center" vertical="center" wrapText="1"/>
      <protection locked="0"/>
    </xf>
    <xf numFmtId="0" fontId="0" fillId="0" borderId="0" xfId="63" applyFill="1" applyAlignment="1" applyProtection="1">
      <alignment vertical="center" wrapText="1"/>
      <protection locked="0"/>
    </xf>
    <xf numFmtId="0" fontId="11" fillId="0" borderId="0" xfId="63" applyFont="1" applyFill="1" applyAlignment="1" applyProtection="1">
      <alignment horizontal="center" vertical="center"/>
      <protection locked="0"/>
    </xf>
    <xf numFmtId="0" fontId="0" fillId="0" borderId="0" xfId="63" applyFill="1" applyAlignment="1" applyProtection="1">
      <alignment vertical="center"/>
      <protection locked="0"/>
    </xf>
    <xf numFmtId="49" fontId="12" fillId="0" borderId="21" xfId="63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3" applyNumberFormat="1" applyFont="1" applyFill="1" applyBorder="1" applyAlignment="1" applyProtection="1">
      <alignment horizontal="center" vertical="center"/>
      <protection locked="0"/>
    </xf>
    <xf numFmtId="49" fontId="12" fillId="0" borderId="58" xfId="63" applyNumberFormat="1" applyFont="1" applyFill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top" wrapText="1"/>
      <protection/>
    </xf>
    <xf numFmtId="0" fontId="42" fillId="0" borderId="17" xfId="0" applyFont="1" applyBorder="1" applyAlignment="1" applyProtection="1">
      <alignment horizontal="center" vertical="top" wrapText="1"/>
      <protection/>
    </xf>
    <xf numFmtId="0" fontId="42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26" xfId="0" applyFont="1" applyBorder="1" applyAlignment="1" applyProtection="1">
      <alignment horizontal="center" vertical="center" wrapText="1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28" xfId="0" applyNumberFormat="1" applyFont="1" applyFill="1" applyBorder="1" applyAlignment="1" applyProtection="1">
      <alignment horizontal="right" vertical="center"/>
      <protection locked="0"/>
    </xf>
    <xf numFmtId="179" fontId="0" fillId="0" borderId="58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/>
    </xf>
    <xf numFmtId="0" fontId="100" fillId="0" borderId="0" xfId="0" applyFont="1" applyAlignment="1">
      <alignment/>
    </xf>
    <xf numFmtId="0" fontId="100" fillId="0" borderId="0" xfId="0" applyFont="1" applyAlignment="1">
      <alignment horizontal="justify" vertical="top" wrapText="1"/>
    </xf>
    <xf numFmtId="0" fontId="101" fillId="36" borderId="0" xfId="0" applyFont="1" applyFill="1" applyAlignment="1">
      <alignment horizontal="center" vertical="center"/>
    </xf>
    <xf numFmtId="0" fontId="101" fillId="36" borderId="0" xfId="0" applyFont="1" applyFill="1" applyAlignment="1">
      <alignment horizontal="center" vertical="top" wrapText="1"/>
    </xf>
    <xf numFmtId="0" fontId="43" fillId="0" borderId="0" xfId="0" applyFont="1" applyAlignment="1">
      <alignment/>
    </xf>
    <xf numFmtId="0" fontId="89" fillId="0" borderId="0" xfId="46" applyAlignment="1" applyProtection="1">
      <alignment/>
      <protection/>
    </xf>
    <xf numFmtId="166" fontId="102" fillId="0" borderId="0" xfId="0" applyNumberFormat="1" applyFont="1" applyFill="1" applyAlignment="1" applyProtection="1">
      <alignment horizontal="right" vertical="center" wrapText="1" indent="1"/>
      <protection/>
    </xf>
    <xf numFmtId="166" fontId="103" fillId="0" borderId="0" xfId="62" applyNumberFormat="1" applyFont="1" applyFill="1" applyProtection="1">
      <alignment/>
      <protection/>
    </xf>
    <xf numFmtId="166" fontId="103" fillId="0" borderId="0" xfId="62" applyNumberFormat="1" applyFont="1" applyFill="1" applyAlignment="1" applyProtection="1">
      <alignment horizontal="right" vertical="center" indent="1"/>
      <protection/>
    </xf>
    <xf numFmtId="0" fontId="27" fillId="0" borderId="0" xfId="0" applyFont="1" applyAlignment="1" applyProtection="1">
      <alignment horizontal="right" vertical="top"/>
      <protection locked="0"/>
    </xf>
    <xf numFmtId="0" fontId="45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69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69" xfId="0" applyFill="1" applyBorder="1" applyAlignment="1">
      <alignment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0" fontId="0" fillId="0" borderId="71" xfId="0" applyFill="1" applyBorder="1" applyAlignment="1">
      <alignment/>
    </xf>
    <xf numFmtId="0" fontId="16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64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8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0" fillId="0" borderId="0" xfId="60" applyNumberFormat="1" applyAlignment="1">
      <alignment vertical="center" wrapText="1"/>
      <protection/>
    </xf>
    <xf numFmtId="166" fontId="12" fillId="0" borderId="43" xfId="60" applyNumberFormat="1" applyFont="1" applyBorder="1" applyAlignment="1">
      <alignment horizontal="center" vertical="center" wrapText="1"/>
      <protection/>
    </xf>
    <xf numFmtId="3" fontId="13" fillId="0" borderId="73" xfId="60" applyNumberFormat="1" applyFont="1" applyBorder="1" applyAlignment="1" applyProtection="1">
      <alignment horizontal="right" vertical="center" wrapText="1"/>
      <protection locked="0"/>
    </xf>
    <xf numFmtId="3" fontId="13" fillId="0" borderId="40" xfId="60" applyNumberFormat="1" applyFont="1" applyBorder="1" applyAlignment="1" applyProtection="1">
      <alignment horizontal="right" vertical="center" wrapText="1"/>
      <protection locked="0"/>
    </xf>
    <xf numFmtId="3" fontId="13" fillId="0" borderId="74" xfId="60" applyNumberFormat="1" applyFont="1" applyBorder="1" applyAlignment="1" applyProtection="1">
      <alignment horizontal="right" vertical="center" wrapText="1"/>
      <protection locked="0"/>
    </xf>
    <xf numFmtId="3" fontId="13" fillId="0" borderId="75" xfId="60" applyNumberFormat="1" applyFont="1" applyBorder="1" applyAlignment="1" applyProtection="1">
      <alignment horizontal="right" vertical="center" wrapText="1"/>
      <protection locked="0"/>
    </xf>
    <xf numFmtId="166" fontId="12" fillId="0" borderId="43" xfId="60" applyNumberFormat="1" applyFont="1" applyBorder="1" applyAlignment="1">
      <alignment horizontal="right" vertical="center" wrapText="1"/>
      <protection/>
    </xf>
    <xf numFmtId="166" fontId="8" fillId="0" borderId="0" xfId="60" applyNumberFormat="1" applyFont="1" applyAlignment="1" applyProtection="1">
      <alignment vertical="center" wrapText="1"/>
      <protection locked="0"/>
    </xf>
    <xf numFmtId="166" fontId="12" fillId="0" borderId="43" xfId="60" applyNumberFormat="1" applyFont="1" applyBorder="1" applyAlignment="1">
      <alignment horizontal="center" vertical="center" wrapText="1"/>
      <protection/>
    </xf>
    <xf numFmtId="166" fontId="6" fillId="0" borderId="43" xfId="60" applyNumberFormat="1" applyFont="1" applyBorder="1" applyAlignment="1">
      <alignment horizontal="center" vertical="center" wrapText="1"/>
      <protection/>
    </xf>
    <xf numFmtId="166" fontId="50" fillId="0" borderId="76" xfId="60" applyNumberFormat="1" applyFont="1" applyBorder="1" applyAlignment="1">
      <alignment horizontal="center" vertical="center"/>
      <protection/>
    </xf>
    <xf numFmtId="166" fontId="50" fillId="0" borderId="43" xfId="60" applyNumberFormat="1" applyFont="1" applyBorder="1" applyAlignment="1">
      <alignment horizontal="center" vertical="center"/>
      <protection/>
    </xf>
    <xf numFmtId="166" fontId="50" fillId="0" borderId="77" xfId="60" applyNumberFormat="1" applyFont="1" applyBorder="1" applyAlignment="1">
      <alignment horizontal="center" vertical="center"/>
      <protection/>
    </xf>
    <xf numFmtId="166" fontId="50" fillId="0" borderId="43" xfId="60" applyNumberFormat="1" applyFont="1" applyBorder="1" applyAlignment="1">
      <alignment horizontal="center" vertical="center" wrapText="1"/>
      <protection/>
    </xf>
    <xf numFmtId="166" fontId="50" fillId="0" borderId="77" xfId="60" applyNumberFormat="1" applyFont="1" applyBorder="1" applyAlignment="1">
      <alignment horizontal="center" vertical="center" wrapText="1"/>
      <protection/>
    </xf>
    <xf numFmtId="49" fontId="13" fillId="0" borderId="78" xfId="60" applyNumberFormat="1" applyFont="1" applyBorder="1" applyAlignment="1">
      <alignment horizontal="left" vertical="center"/>
      <protection/>
    </xf>
    <xf numFmtId="49" fontId="18" fillId="0" borderId="79" xfId="60" applyNumberFormat="1" applyFont="1" applyBorder="1" applyAlignment="1" quotePrefix="1">
      <alignment horizontal="left" vertical="center"/>
      <protection/>
    </xf>
    <xf numFmtId="49" fontId="13" fillId="0" borderId="79" xfId="60" applyNumberFormat="1" applyFont="1" applyBorder="1" applyAlignment="1">
      <alignment horizontal="left" vertical="center"/>
      <protection/>
    </xf>
    <xf numFmtId="49" fontId="12" fillId="0" borderId="59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75" fontId="12" fillId="0" borderId="43" xfId="60" applyNumberFormat="1" applyFont="1" applyBorder="1" applyAlignment="1">
      <alignment horizontal="left" vertical="center" wrapText="1"/>
      <protection/>
    </xf>
    <xf numFmtId="175" fontId="26" fillId="0" borderId="0" xfId="60" applyNumberFormat="1" applyFont="1" applyAlignment="1" applyProtection="1">
      <alignment horizontal="left" vertical="center" wrapText="1"/>
      <protection locked="0"/>
    </xf>
    <xf numFmtId="0" fontId="104" fillId="0" borderId="0" xfId="0" applyFont="1" applyAlignment="1">
      <alignment/>
    </xf>
    <xf numFmtId="166" fontId="3" fillId="0" borderId="0" xfId="60" applyNumberFormat="1" applyFont="1" applyBorder="1" applyAlignment="1">
      <alignment horizontal="left" vertical="center" wrapText="1"/>
      <protection/>
    </xf>
    <xf numFmtId="166" fontId="12" fillId="0" borderId="0" xfId="60" applyNumberFormat="1" applyFont="1" applyBorder="1" applyAlignment="1">
      <alignment horizontal="right" vertical="center" wrapText="1"/>
      <protection/>
    </xf>
    <xf numFmtId="166" fontId="13" fillId="0" borderId="69" xfId="60" applyNumberFormat="1" applyFont="1" applyBorder="1" applyAlignment="1" applyProtection="1">
      <alignment horizontal="right" vertical="center" indent="1"/>
      <protection locked="0"/>
    </xf>
    <xf numFmtId="166" fontId="13" fillId="0" borderId="69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73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73" xfId="60" applyNumberFormat="1" applyFont="1" applyBorder="1" applyAlignment="1">
      <alignment horizontal="right" vertical="center" wrapText="1" indent="1"/>
      <protection/>
    </xf>
    <xf numFmtId="166" fontId="18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>
      <alignment horizontal="right" vertical="center" wrapText="1" indent="1"/>
      <protection/>
    </xf>
    <xf numFmtId="166" fontId="12" fillId="0" borderId="43" xfId="60" applyNumberFormat="1" applyFont="1" applyBorder="1" applyAlignment="1">
      <alignment horizontal="right" vertical="center" indent="1"/>
      <protection/>
    </xf>
    <xf numFmtId="166" fontId="12" fillId="0" borderId="43" xfId="60" applyNumberFormat="1" applyFont="1" applyBorder="1" applyAlignment="1">
      <alignment horizontal="right" vertical="center" wrapText="1" indent="1"/>
      <protection/>
    </xf>
    <xf numFmtId="166" fontId="13" fillId="0" borderId="75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74" xfId="60" applyNumberFormat="1" applyFont="1" applyBorder="1" applyAlignment="1">
      <alignment horizontal="right" vertical="center" wrapText="1" indent="1"/>
      <protection/>
    </xf>
    <xf numFmtId="166" fontId="12" fillId="0" borderId="69" xfId="60" applyNumberFormat="1" applyFont="1" applyBorder="1" applyAlignment="1" applyProtection="1">
      <alignment horizontal="right" vertical="center" wrapText="1" indent="1"/>
      <protection locked="0"/>
    </xf>
    <xf numFmtId="166" fontId="40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69" xfId="60" applyNumberFormat="1" applyFont="1" applyBorder="1" applyAlignment="1" applyProtection="1">
      <alignment horizontal="right" vertical="center" indent="1"/>
      <protection/>
    </xf>
    <xf numFmtId="166" fontId="18" fillId="0" borderId="41" xfId="60" applyNumberFormat="1" applyFont="1" applyBorder="1" applyAlignment="1" applyProtection="1">
      <alignment horizontal="right" vertical="center" indent="1"/>
      <protection/>
    </xf>
    <xf numFmtId="166" fontId="13" fillId="0" borderId="41" xfId="60" applyNumberFormat="1" applyFont="1" applyBorder="1" applyAlignment="1" applyProtection="1">
      <alignment horizontal="right" vertical="center" indent="1"/>
      <protection/>
    </xf>
    <xf numFmtId="166" fontId="12" fillId="0" borderId="43" xfId="60" applyNumberFormat="1" applyFont="1" applyBorder="1" applyAlignment="1" applyProtection="1">
      <alignment horizontal="right" vertical="center" indent="1"/>
      <protection/>
    </xf>
    <xf numFmtId="166" fontId="13" fillId="0" borderId="75" xfId="60" applyNumberFormat="1" applyFont="1" applyBorder="1" applyAlignment="1" applyProtection="1">
      <alignment horizontal="right" vertical="center" indent="1"/>
      <protection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10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8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62" applyFont="1" applyFill="1" applyBorder="1" applyAlignment="1" applyProtection="1">
      <alignment horizontal="left" vertical="center" wrapText="1" indent="1"/>
      <protection/>
    </xf>
    <xf numFmtId="0" fontId="13" fillId="0" borderId="23" xfId="62" applyFont="1" applyFill="1" applyBorder="1" applyAlignment="1" applyProtection="1">
      <alignment horizontal="left" vertical="center" wrapText="1"/>
      <protection/>
    </xf>
    <xf numFmtId="166" fontId="13" fillId="0" borderId="23" xfId="62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2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8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0" fontId="16" fillId="0" borderId="84" xfId="0" applyFont="1" applyFill="1" applyBorder="1" applyAlignment="1" applyProtection="1">
      <alignment horizontal="left" vertical="center" wrapText="1"/>
      <protection locked="0"/>
    </xf>
    <xf numFmtId="3" fontId="16" fillId="0" borderId="8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0" applyFont="1" applyFill="1" applyBorder="1" applyAlignment="1">
      <alignment/>
    </xf>
    <xf numFmtId="0" fontId="17" fillId="0" borderId="79" xfId="0" applyFont="1" applyFill="1" applyBorder="1" applyAlignment="1" applyProtection="1">
      <alignment horizontal="left" vertical="center" wrapText="1"/>
      <protection locked="0"/>
    </xf>
    <xf numFmtId="3" fontId="17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/>
    </xf>
    <xf numFmtId="0" fontId="3" fillId="0" borderId="82" xfId="0" applyFont="1" applyFill="1" applyBorder="1" applyAlignment="1">
      <alignment/>
    </xf>
    <xf numFmtId="0" fontId="0" fillId="0" borderId="77" xfId="0" applyFill="1" applyBorder="1" applyAlignment="1" applyProtection="1">
      <alignment vertical="center"/>
      <protection/>
    </xf>
    <xf numFmtId="0" fontId="15" fillId="0" borderId="76" xfId="0" applyFont="1" applyFill="1" applyBorder="1" applyAlignment="1" applyProtection="1">
      <alignment vertical="center" wrapText="1"/>
      <protection/>
    </xf>
    <xf numFmtId="166" fontId="15" fillId="0" borderId="77" xfId="0" applyNumberFormat="1" applyFont="1" applyFill="1" applyBorder="1" applyAlignment="1" applyProtection="1">
      <alignment vertical="center" wrapText="1"/>
      <protection/>
    </xf>
    <xf numFmtId="0" fontId="17" fillId="0" borderId="85" xfId="0" applyFont="1" applyFill="1" applyBorder="1" applyAlignment="1" applyProtection="1">
      <alignment horizontal="left" vertical="center" wrapText="1"/>
      <protection locked="0"/>
    </xf>
    <xf numFmtId="3" fontId="17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6" xfId="0" applyFill="1" applyBorder="1" applyAlignment="1">
      <alignment/>
    </xf>
    <xf numFmtId="175" fontId="12" fillId="0" borderId="0" xfId="60" applyNumberFormat="1" applyFont="1" applyBorder="1" applyAlignment="1">
      <alignment horizontal="left" vertical="center" wrapText="1"/>
      <protection/>
    </xf>
    <xf numFmtId="166" fontId="12" fillId="0" borderId="0" xfId="60" applyNumberFormat="1" applyFont="1" applyBorder="1" applyAlignment="1" applyProtection="1">
      <alignment horizontal="right" vertical="center" indent="1"/>
      <protection/>
    </xf>
    <xf numFmtId="166" fontId="12" fillId="0" borderId="0" xfId="60" applyNumberFormat="1" applyFont="1" applyBorder="1" applyAlignment="1">
      <alignment horizontal="right" vertical="center" indent="1"/>
      <protection/>
    </xf>
    <xf numFmtId="166" fontId="12" fillId="0" borderId="0" xfId="60" applyNumberFormat="1" applyFont="1" applyBorder="1" applyAlignment="1">
      <alignment horizontal="right" vertical="center" wrapText="1" indent="1"/>
      <protection/>
    </xf>
    <xf numFmtId="0" fontId="48" fillId="0" borderId="0" xfId="60" applyFont="1" applyAlignment="1">
      <alignment vertical="top" textRotation="180"/>
      <protection/>
    </xf>
    <xf numFmtId="166" fontId="0" fillId="0" borderId="17" xfId="0" applyNumberFormat="1" applyFill="1" applyBorder="1" applyAlignment="1" applyProtection="1">
      <alignment horizontal="left" vertical="center" wrapText="1"/>
      <protection locked="0"/>
    </xf>
    <xf numFmtId="166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1" xfId="0" applyNumberFormat="1" applyFont="1" applyFill="1" applyBorder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7" xfId="0" applyNumberFormat="1" applyFont="1" applyFill="1" applyBorder="1" applyAlignment="1" applyProtection="1">
      <alignment vertical="center" wrapText="1"/>
      <protection/>
    </xf>
    <xf numFmtId="166" fontId="1" fillId="0" borderId="15" xfId="0" applyNumberFormat="1" applyFont="1" applyFill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8" xfId="0" applyNumberFormat="1" applyFont="1" applyFill="1" applyBorder="1" applyAlignment="1" applyProtection="1">
      <alignment vertical="center" wrapText="1"/>
      <protection/>
    </xf>
    <xf numFmtId="166" fontId="3" fillId="0" borderId="23" xfId="0" applyNumberFormat="1" applyFont="1" applyFill="1" applyBorder="1" applyAlignment="1" applyProtection="1">
      <alignment vertical="center" wrapText="1"/>
      <protection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166" fontId="3" fillId="0" borderId="26" xfId="0" applyNumberFormat="1" applyFont="1" applyFill="1" applyBorder="1" applyAlignment="1" applyProtection="1">
      <alignment vertical="center" wrapText="1"/>
      <protection/>
    </xf>
    <xf numFmtId="166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 applyProtection="1">
      <alignment horizontal="left" vertical="center" indent="1"/>
      <protection locked="0"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41" xfId="0" applyFont="1" applyFill="1" applyBorder="1" applyAlignment="1" applyProtection="1">
      <alignment horizontal="left" vertical="center" wrapText="1"/>
      <protection locked="0"/>
    </xf>
    <xf numFmtId="3" fontId="17" fillId="0" borderId="36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0" xfId="0" applyNumberFormat="1" applyFont="1" applyBorder="1" applyAlignment="1">
      <alignment horizontal="right" vertical="center" wrapText="1" indent="1"/>
    </xf>
    <xf numFmtId="166" fontId="12" fillId="0" borderId="17" xfId="0" applyNumberFormat="1" applyFont="1" applyBorder="1" applyAlignment="1">
      <alignment horizontal="right" vertical="center" wrapText="1" indent="1"/>
    </xf>
    <xf numFmtId="1" fontId="3" fillId="33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vertical="center" wrapText="1"/>
    </xf>
    <xf numFmtId="166" fontId="6" fillId="0" borderId="39" xfId="0" applyNumberFormat="1" applyFont="1" applyBorder="1" applyAlignment="1">
      <alignment vertical="center" wrapText="1"/>
    </xf>
    <xf numFmtId="166" fontId="6" fillId="0" borderId="41" xfId="0" applyNumberFormat="1" applyFont="1" applyBorder="1" applyAlignment="1">
      <alignment vertical="center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66" fontId="0" fillId="0" borderId="11" xfId="0" applyNumberFormat="1" applyBorder="1" applyAlignment="1" applyProtection="1">
      <alignment vertical="center" wrapText="1"/>
      <protection locked="0"/>
    </xf>
    <xf numFmtId="166" fontId="0" fillId="0" borderId="39" xfId="0" applyNumberFormat="1" applyBorder="1" applyAlignment="1" applyProtection="1">
      <alignment vertical="center" wrapText="1"/>
      <protection locked="0"/>
    </xf>
    <xf numFmtId="166" fontId="0" fillId="0" borderId="41" xfId="0" applyNumberFormat="1" applyBorder="1" applyAlignment="1">
      <alignment vertical="center" wrapText="1"/>
    </xf>
    <xf numFmtId="166" fontId="0" fillId="0" borderId="11" xfId="0" applyNumberFormat="1" applyBorder="1" applyAlignment="1">
      <alignment vertical="center" wrapText="1"/>
    </xf>
    <xf numFmtId="166" fontId="0" fillId="0" borderId="39" xfId="0" applyNumberFormat="1" applyBorder="1" applyAlignment="1">
      <alignment vertical="center" wrapText="1"/>
    </xf>
    <xf numFmtId="166" fontId="12" fillId="0" borderId="38" xfId="0" applyNumberFormat="1" applyFont="1" applyBorder="1" applyAlignment="1">
      <alignment horizontal="right" vertical="center" wrapText="1" indent="1"/>
    </xf>
    <xf numFmtId="1" fontId="3" fillId="33" borderId="15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vertical="center" wrapText="1"/>
    </xf>
    <xf numFmtId="166" fontId="3" fillId="0" borderId="41" xfId="0" applyNumberFormat="1" applyFont="1" applyBorder="1" applyAlignment="1">
      <alignment vertical="center" wrapText="1"/>
    </xf>
    <xf numFmtId="166" fontId="6" fillId="0" borderId="65" xfId="0" applyNumberFormat="1" applyFont="1" applyBorder="1" applyAlignment="1">
      <alignment horizontal="centerContinuous" vertical="center"/>
    </xf>
    <xf numFmtId="166" fontId="6" fillId="0" borderId="8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88" xfId="0" applyNumberFormat="1" applyFont="1" applyBorder="1" applyAlignment="1">
      <alignment horizontal="center" vertical="center"/>
    </xf>
    <xf numFmtId="166" fontId="6" fillId="0" borderId="63" xfId="0" applyNumberFormat="1" applyFont="1" applyBorder="1" applyAlignment="1">
      <alignment horizontal="center" vertical="center"/>
    </xf>
    <xf numFmtId="166" fontId="6" fillId="0" borderId="58" xfId="0" applyNumberFormat="1" applyFont="1" applyBorder="1" applyAlignment="1">
      <alignment horizontal="center" vertical="center" wrapText="1"/>
    </xf>
    <xf numFmtId="166" fontId="12" fillId="0" borderId="59" xfId="0" applyNumberFormat="1" applyFont="1" applyBorder="1" applyAlignment="1">
      <alignment horizontal="center" vertical="center" wrapText="1"/>
    </xf>
    <xf numFmtId="166" fontId="12" fillId="0" borderId="23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44" xfId="0" applyNumberFormat="1" applyFont="1" applyBorder="1" applyAlignment="1">
      <alignment horizontal="center" vertical="center" wrapText="1"/>
    </xf>
    <xf numFmtId="166" fontId="12" fillId="0" borderId="22" xfId="0" applyNumberFormat="1" applyFont="1" applyBorder="1" applyAlignment="1">
      <alignment horizontal="right" vertical="center" wrapText="1" indent="1"/>
    </xf>
    <xf numFmtId="166" fontId="6" fillId="0" borderId="23" xfId="0" applyNumberFormat="1" applyFont="1" applyBorder="1" applyAlignment="1">
      <alignment horizontal="left" vertical="center" wrapText="1" indent="1"/>
    </xf>
    <xf numFmtId="1" fontId="13" fillId="33" borderId="53" xfId="0" applyNumberFormat="1" applyFont="1" applyFill="1" applyBorder="1" applyAlignment="1">
      <alignment vertical="center" wrapText="1"/>
    </xf>
    <xf numFmtId="166" fontId="6" fillId="0" borderId="23" xfId="0" applyNumberFormat="1" applyFont="1" applyBorder="1" applyAlignment="1">
      <alignment vertical="center" wrapText="1"/>
    </xf>
    <xf numFmtId="166" fontId="3" fillId="0" borderId="43" xfId="0" applyNumberFormat="1" applyFont="1" applyBorder="1" applyAlignment="1">
      <alignment vertical="center" wrapText="1"/>
    </xf>
    <xf numFmtId="166" fontId="3" fillId="0" borderId="13" xfId="0" applyNumberFormat="1" applyFont="1" applyBorder="1" applyAlignment="1">
      <alignment horizontal="center" vertical="top" wrapText="1"/>
    </xf>
    <xf numFmtId="166" fontId="3" fillId="0" borderId="11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3" xfId="0" applyNumberFormat="1" applyFont="1" applyBorder="1" applyAlignment="1">
      <alignment vertical="center" wrapText="1"/>
    </xf>
    <xf numFmtId="166" fontId="3" fillId="0" borderId="73" xfId="0" applyNumberFormat="1" applyFont="1" applyBorder="1" applyAlignment="1">
      <alignment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81" fontId="39" fillId="0" borderId="64" xfId="42" applyNumberFormat="1" applyFont="1" applyBorder="1" applyAlignment="1" applyProtection="1">
      <alignment horizontal="center" vertical="top" wrapText="1"/>
      <protection locked="0"/>
    </xf>
    <xf numFmtId="0" fontId="105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6" fillId="0" borderId="89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6" fillId="0" borderId="45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Alignment="1" applyProtection="1">
      <alignment horizontal="center"/>
      <protection/>
    </xf>
    <xf numFmtId="166" fontId="5" fillId="0" borderId="0" xfId="62" applyNumberFormat="1" applyFont="1" applyFill="1" applyBorder="1" applyAlignment="1" applyProtection="1">
      <alignment horizontal="center" vertical="center"/>
      <protection locked="0"/>
    </xf>
    <xf numFmtId="166" fontId="5" fillId="0" borderId="0" xfId="62" applyNumberFormat="1" applyFont="1" applyFill="1" applyBorder="1" applyAlignment="1" applyProtection="1">
      <alignment horizontal="center" vertical="center"/>
      <protection/>
    </xf>
    <xf numFmtId="166" fontId="20" fillId="0" borderId="31" xfId="62" applyNumberFormat="1" applyFont="1" applyFill="1" applyBorder="1" applyAlignment="1" applyProtection="1">
      <alignment horizontal="left" vertical="center"/>
      <protection locked="0"/>
    </xf>
    <xf numFmtId="166" fontId="20" fillId="0" borderId="31" xfId="62" applyNumberFormat="1" applyFont="1" applyFill="1" applyBorder="1" applyAlignment="1" applyProtection="1">
      <alignment horizontal="left"/>
      <protection/>
    </xf>
    <xf numFmtId="0" fontId="8" fillId="0" borderId="0" xfId="62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2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2" applyFont="1" applyFill="1" applyAlignment="1" applyProtection="1">
      <alignment horizontal="center" vertical="center"/>
      <protection locked="0"/>
    </xf>
    <xf numFmtId="166" fontId="20" fillId="0" borderId="31" xfId="62" applyNumberFormat="1" applyFont="1" applyFill="1" applyBorder="1" applyAlignment="1" applyProtection="1">
      <alignment horizontal="left" vertical="center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38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0" fontId="6" fillId="0" borderId="32" xfId="62" applyFont="1" applyFill="1" applyBorder="1" applyAlignment="1" applyProtection="1">
      <alignment horizontal="center" vertical="center" wrapText="1"/>
      <protection/>
    </xf>
    <xf numFmtId="166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6" fontId="106" fillId="0" borderId="6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48" fillId="0" borderId="0" xfId="60" applyFont="1" applyAlignment="1">
      <alignment horizontal="center" vertical="center" textRotation="180"/>
      <protection/>
    </xf>
    <xf numFmtId="0" fontId="48" fillId="0" borderId="0" xfId="60" applyFont="1" applyAlignment="1">
      <alignment horizontal="center" vertical="top" textRotation="180"/>
      <protection/>
    </xf>
    <xf numFmtId="0" fontId="8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5" fontId="5" fillId="0" borderId="0" xfId="60" applyNumberFormat="1" applyFont="1" applyAlignment="1" applyProtection="1">
      <alignment horizontal="center" vertical="center" wrapText="1"/>
      <protection locked="0"/>
    </xf>
    <xf numFmtId="166" fontId="4" fillId="0" borderId="31" xfId="60" applyNumberFormat="1" applyFont="1" applyBorder="1" applyAlignment="1">
      <alignment horizontal="right" vertical="center"/>
      <protection/>
    </xf>
    <xf numFmtId="166" fontId="3" fillId="0" borderId="59" xfId="60" applyNumberFormat="1" applyFont="1" applyBorder="1" applyAlignment="1">
      <alignment horizontal="center" vertical="center" wrapText="1"/>
      <protection/>
    </xf>
    <xf numFmtId="166" fontId="3" fillId="0" borderId="56" xfId="60" applyNumberFormat="1" applyFont="1" applyBorder="1" applyAlignment="1">
      <alignment horizontal="center" vertical="center" wrapText="1"/>
      <protection/>
    </xf>
    <xf numFmtId="166" fontId="3" fillId="0" borderId="34" xfId="60" applyNumberFormat="1" applyFont="1" applyBorder="1" applyAlignment="1">
      <alignment horizontal="center" vertical="center" wrapText="1"/>
      <protection/>
    </xf>
    <xf numFmtId="166" fontId="0" fillId="0" borderId="78" xfId="60" applyNumberFormat="1" applyBorder="1" applyAlignment="1" applyProtection="1">
      <alignment horizontal="left" vertical="center" wrapText="1"/>
      <protection locked="0"/>
    </xf>
    <xf numFmtId="166" fontId="0" fillId="0" borderId="87" xfId="60" applyNumberFormat="1" applyBorder="1" applyAlignment="1" applyProtection="1">
      <alignment horizontal="left" vertical="center" wrapText="1"/>
      <protection locked="0"/>
    </xf>
    <xf numFmtId="166" fontId="0" fillId="0" borderId="48" xfId="60" applyNumberFormat="1" applyBorder="1" applyAlignment="1" applyProtection="1">
      <alignment horizontal="left" vertical="center" wrapText="1"/>
      <protection locked="0"/>
    </xf>
    <xf numFmtId="166" fontId="0" fillId="0" borderId="90" xfId="60" applyNumberFormat="1" applyBorder="1" applyAlignment="1" applyProtection="1">
      <alignment horizontal="left" vertical="center" wrapText="1"/>
      <protection locked="0"/>
    </xf>
    <xf numFmtId="166" fontId="0" fillId="0" borderId="91" xfId="60" applyNumberFormat="1" applyBorder="1" applyAlignment="1" applyProtection="1">
      <alignment horizontal="left" vertical="center" wrapText="1"/>
      <protection locked="0"/>
    </xf>
    <xf numFmtId="166" fontId="0" fillId="0" borderId="49" xfId="60" applyNumberFormat="1" applyBorder="1" applyAlignment="1" applyProtection="1">
      <alignment horizontal="left" vertical="center" wrapText="1"/>
      <protection locked="0"/>
    </xf>
    <xf numFmtId="166" fontId="3" fillId="0" borderId="59" xfId="60" applyNumberFormat="1" applyFont="1" applyBorder="1" applyAlignment="1">
      <alignment horizontal="left" vertical="center" wrapText="1"/>
      <protection/>
    </xf>
    <xf numFmtId="166" fontId="3" fillId="0" borderId="56" xfId="60" applyNumberFormat="1" applyFont="1" applyBorder="1" applyAlignment="1">
      <alignment horizontal="left" vertical="center" wrapText="1"/>
      <protection/>
    </xf>
    <xf numFmtId="166" fontId="3" fillId="0" borderId="34" xfId="60" applyNumberFormat="1" applyFont="1" applyBorder="1" applyAlignment="1">
      <alignment horizontal="left" vertical="center" wrapText="1"/>
      <protection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166" fontId="4" fillId="0" borderId="31" xfId="60" applyNumberFormat="1" applyFont="1" applyBorder="1" applyAlignment="1" applyProtection="1">
      <alignment horizontal="right" vertical="center"/>
      <protection locked="0"/>
    </xf>
    <xf numFmtId="166" fontId="6" fillId="0" borderId="68" xfId="60" applyNumberFormat="1" applyFont="1" applyBorder="1" applyAlignment="1">
      <alignment horizontal="center" vertical="center"/>
      <protection/>
    </xf>
    <xf numFmtId="166" fontId="6" fillId="0" borderId="42" xfId="60" applyNumberFormat="1" applyFont="1" applyBorder="1" applyAlignment="1">
      <alignment horizontal="center" vertical="center"/>
      <protection/>
    </xf>
    <xf numFmtId="166" fontId="6" fillId="0" borderId="76" xfId="60" applyNumberFormat="1" applyFont="1" applyBorder="1" applyAlignment="1">
      <alignment horizontal="center" vertical="center"/>
      <protection/>
    </xf>
    <xf numFmtId="166" fontId="6" fillId="0" borderId="68" xfId="60" applyNumberFormat="1" applyFont="1" applyBorder="1" applyAlignment="1">
      <alignment horizontal="center" vertical="center" wrapText="1"/>
      <protection/>
    </xf>
    <xf numFmtId="166" fontId="6" fillId="0" borderId="61" xfId="60" applyNumberFormat="1" applyFont="1" applyBorder="1" applyAlignment="1">
      <alignment horizontal="center" vertical="center" wrapText="1"/>
      <protection/>
    </xf>
    <xf numFmtId="0" fontId="0" fillId="0" borderId="61" xfId="60" applyBorder="1" applyAlignment="1">
      <alignment horizontal="center" vertical="center" wrapText="1"/>
      <protection/>
    </xf>
    <xf numFmtId="0" fontId="0" fillId="0" borderId="47" xfId="60" applyBorder="1" applyAlignment="1">
      <alignment horizontal="center" vertical="center" wrapText="1"/>
      <protection/>
    </xf>
    <xf numFmtId="166" fontId="3" fillId="0" borderId="69" xfId="60" applyNumberFormat="1" applyFont="1" applyBorder="1" applyAlignment="1">
      <alignment horizontal="center" vertical="center" wrapText="1"/>
      <protection/>
    </xf>
    <xf numFmtId="166" fontId="3" fillId="0" borderId="44" xfId="60" applyNumberFormat="1" applyFont="1" applyBorder="1" applyAlignment="1">
      <alignment horizontal="center" vertical="center"/>
      <protection/>
    </xf>
    <xf numFmtId="0" fontId="107" fillId="0" borderId="77" xfId="0" applyFont="1" applyBorder="1" applyAlignment="1">
      <alignment horizontal="center" vertical="center"/>
    </xf>
    <xf numFmtId="166" fontId="6" fillId="0" borderId="59" xfId="60" applyNumberFormat="1" applyFont="1" applyBorder="1" applyAlignment="1">
      <alignment horizontal="center" vertical="center" wrapText="1"/>
      <protection/>
    </xf>
    <xf numFmtId="0" fontId="0" fillId="0" borderId="56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66" fontId="6" fillId="0" borderId="69" xfId="60" applyNumberFormat="1" applyFont="1" applyBorder="1" applyAlignment="1">
      <alignment horizontal="center" vertical="center" wrapText="1"/>
      <protection/>
    </xf>
    <xf numFmtId="0" fontId="108" fillId="0" borderId="77" xfId="0" applyFont="1" applyBorder="1" applyAlignment="1">
      <alignment horizontal="center" vertical="center" wrapText="1"/>
    </xf>
    <xf numFmtId="166" fontId="12" fillId="0" borderId="59" xfId="60" applyNumberFormat="1" applyFont="1" applyBorder="1" applyAlignment="1" applyProtection="1">
      <alignment horizontal="center" vertical="center" wrapText="1"/>
      <protection/>
    </xf>
    <xf numFmtId="166" fontId="12" fillId="0" borderId="56" xfId="60" applyNumberFormat="1" applyFont="1" applyBorder="1" applyAlignment="1" applyProtection="1">
      <alignment horizontal="center" vertical="center" wrapText="1"/>
      <protection/>
    </xf>
    <xf numFmtId="0" fontId="0" fillId="0" borderId="34" xfId="60" applyBorder="1" applyAlignment="1" applyProtection="1">
      <alignment horizontal="center" vertical="center"/>
      <protection/>
    </xf>
    <xf numFmtId="0" fontId="0" fillId="0" borderId="56" xfId="60" applyBorder="1" applyAlignment="1" applyProtection="1">
      <alignment horizontal="center" vertical="center"/>
      <protection/>
    </xf>
    <xf numFmtId="175" fontId="26" fillId="0" borderId="61" xfId="60" applyNumberFormat="1" applyFont="1" applyBorder="1" applyAlignment="1" applyProtection="1">
      <alignment horizontal="left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59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/>
    </xf>
    <xf numFmtId="0" fontId="6" fillId="0" borderId="20" xfId="62" applyFont="1" applyFill="1" applyBorder="1" applyAlignment="1" applyProtection="1">
      <alignment horizontal="center" vertical="center" wrapText="1"/>
      <protection/>
    </xf>
    <xf numFmtId="0" fontId="6" fillId="0" borderId="21" xfId="62" applyFont="1" applyFill="1" applyBorder="1" applyAlignment="1" applyProtection="1">
      <alignment horizontal="center" vertical="center" wrapText="1"/>
      <protection/>
    </xf>
    <xf numFmtId="0" fontId="6" fillId="0" borderId="29" xfId="62" applyFont="1" applyFill="1" applyBorder="1" applyAlignment="1" applyProtection="1">
      <alignment horizontal="center" vertical="center" wrapText="1"/>
      <protection/>
    </xf>
    <xf numFmtId="166" fontId="6" fillId="0" borderId="13" xfId="62" applyNumberFormat="1" applyFont="1" applyFill="1" applyBorder="1" applyAlignment="1" applyProtection="1">
      <alignment horizontal="center" vertical="center"/>
      <protection/>
    </xf>
    <xf numFmtId="166" fontId="6" fillId="0" borderId="45" xfId="62" applyNumberFormat="1" applyFont="1" applyFill="1" applyBorder="1" applyAlignment="1" applyProtection="1">
      <alignment horizontal="center" vertical="center"/>
      <protection/>
    </xf>
    <xf numFmtId="0" fontId="6" fillId="0" borderId="20" xfId="62" applyFont="1" applyFill="1" applyBorder="1" applyAlignment="1" applyProtection="1">
      <alignment horizontal="center" vertical="center" wrapText="1"/>
      <protection locked="0"/>
    </xf>
    <xf numFmtId="0" fontId="6" fillId="0" borderId="21" xfId="62" applyFont="1" applyFill="1" applyBorder="1" applyAlignment="1" applyProtection="1">
      <alignment horizontal="center" vertical="center" wrapText="1"/>
      <protection locked="0"/>
    </xf>
    <xf numFmtId="0" fontId="6" fillId="0" borderId="13" xfId="62" applyFont="1" applyFill="1" applyBorder="1" applyAlignment="1" applyProtection="1">
      <alignment horizontal="center" vertical="center" wrapText="1"/>
      <protection locked="0"/>
    </xf>
    <xf numFmtId="0" fontId="6" fillId="0" borderId="29" xfId="62" applyFont="1" applyFill="1" applyBorder="1" applyAlignment="1" applyProtection="1">
      <alignment horizontal="center" vertical="center" wrapText="1"/>
      <protection locked="0"/>
    </xf>
    <xf numFmtId="0" fontId="6" fillId="0" borderId="25" xfId="62" applyFont="1" applyFill="1" applyBorder="1" applyAlignment="1" applyProtection="1">
      <alignment horizontal="center" vertical="center" wrapText="1"/>
      <protection locked="0"/>
    </xf>
    <xf numFmtId="0" fontId="6" fillId="0" borderId="32" xfId="62" applyFont="1" applyFill="1" applyBorder="1" applyAlignment="1" applyProtection="1">
      <alignment horizontal="center" vertical="center" wrapText="1"/>
      <protection locked="0"/>
    </xf>
    <xf numFmtId="166" fontId="6" fillId="0" borderId="13" xfId="62" applyNumberFormat="1" applyFont="1" applyFill="1" applyBorder="1" applyAlignment="1" applyProtection="1">
      <alignment horizontal="center" vertical="center"/>
      <protection locked="0"/>
    </xf>
    <xf numFmtId="166" fontId="6" fillId="0" borderId="45" xfId="6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Border="1" applyAlignment="1">
      <alignment horizontal="center" vertical="center" wrapText="1"/>
    </xf>
    <xf numFmtId="166" fontId="6" fillId="0" borderId="38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32" xfId="0" applyNumberFormat="1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9" xfId="0" applyNumberFormat="1" applyFont="1" applyFill="1" applyBorder="1" applyAlignment="1" applyProtection="1">
      <alignment horizontal="center" vertical="center"/>
      <protection locked="0"/>
    </xf>
    <xf numFmtId="166" fontId="6" fillId="0" borderId="77" xfId="0" applyNumberFormat="1" applyFont="1" applyFill="1" applyBorder="1" applyAlignment="1" applyProtection="1">
      <alignment horizontal="center" vertical="center"/>
      <protection locked="0"/>
    </xf>
    <xf numFmtId="166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 applyProtection="1">
      <alignment horizontal="left" vertical="center" wrapText="1"/>
      <protection/>
    </xf>
    <xf numFmtId="0" fontId="6" fillId="0" borderId="61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12" fillId="0" borderId="59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3" fillId="0" borderId="59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59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5" fillId="0" borderId="0" xfId="64" applyFont="1" applyFill="1" applyAlignment="1" applyProtection="1">
      <alignment horizontal="left"/>
      <protection/>
    </xf>
    <xf numFmtId="0" fontId="27" fillId="0" borderId="0" xfId="64" applyFont="1" applyFill="1" applyAlignment="1" applyProtection="1">
      <alignment horizontal="right"/>
      <protection locked="0"/>
    </xf>
    <xf numFmtId="0" fontId="29" fillId="0" borderId="0" xfId="64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9" fillId="0" borderId="0" xfId="64" applyFont="1" applyFill="1" applyAlignment="1" applyProtection="1">
      <alignment horizontal="center" vertical="center" wrapText="1"/>
      <protection locked="0"/>
    </xf>
    <xf numFmtId="0" fontId="29" fillId="0" borderId="0" xfId="64" applyFont="1" applyFill="1" applyAlignment="1" applyProtection="1">
      <alignment horizontal="center" vertical="center"/>
      <protection locked="0"/>
    </xf>
    <xf numFmtId="0" fontId="31" fillId="0" borderId="0" xfId="64" applyFont="1" applyFill="1" applyBorder="1" applyAlignment="1" applyProtection="1">
      <alignment horizontal="right"/>
      <protection locked="0"/>
    </xf>
    <xf numFmtId="0" fontId="32" fillId="0" borderId="24" xfId="64" applyFont="1" applyFill="1" applyBorder="1" applyAlignment="1" applyProtection="1">
      <alignment horizontal="center" vertical="center" wrapText="1"/>
      <protection locked="0"/>
    </xf>
    <xf numFmtId="0" fontId="32" fillId="0" borderId="16" xfId="64" applyFont="1" applyFill="1" applyBorder="1" applyAlignment="1" applyProtection="1">
      <alignment horizontal="center" vertical="center" wrapText="1"/>
      <protection locked="0"/>
    </xf>
    <xf numFmtId="0" fontId="32" fillId="0" borderId="18" xfId="64" applyFont="1" applyFill="1" applyBorder="1" applyAlignment="1" applyProtection="1">
      <alignment horizontal="center" vertical="center" wrapText="1"/>
      <protection locked="0"/>
    </xf>
    <xf numFmtId="0" fontId="20" fillId="0" borderId="25" xfId="63" applyFont="1" applyFill="1" applyBorder="1" applyAlignment="1" applyProtection="1">
      <alignment horizontal="center" vertical="center" textRotation="90"/>
      <protection locked="0"/>
    </xf>
    <xf numFmtId="0" fontId="20" fillId="0" borderId="10" xfId="63" applyFont="1" applyFill="1" applyBorder="1" applyAlignment="1" applyProtection="1">
      <alignment horizontal="center" vertical="center" textRotation="90"/>
      <protection locked="0"/>
    </xf>
    <xf numFmtId="0" fontId="20" fillId="0" borderId="12" xfId="63" applyFont="1" applyFill="1" applyBorder="1" applyAlignment="1" applyProtection="1">
      <alignment horizontal="center" vertical="center" textRotation="90"/>
      <protection locked="0"/>
    </xf>
    <xf numFmtId="0" fontId="31" fillId="0" borderId="13" xfId="64" applyFont="1" applyFill="1" applyBorder="1" applyAlignment="1" applyProtection="1">
      <alignment horizontal="center" vertical="center" wrapText="1"/>
      <protection locked="0"/>
    </xf>
    <xf numFmtId="0" fontId="31" fillId="0" borderId="11" xfId="64" applyFont="1" applyFill="1" applyBorder="1" applyAlignment="1" applyProtection="1">
      <alignment horizontal="center" vertical="center" wrapText="1"/>
      <protection locked="0"/>
    </xf>
    <xf numFmtId="0" fontId="31" fillId="0" borderId="67" xfId="64" applyFont="1" applyFill="1" applyBorder="1" applyAlignment="1" applyProtection="1">
      <alignment horizontal="center" vertical="center" wrapText="1"/>
      <protection locked="0"/>
    </xf>
    <xf numFmtId="0" fontId="31" fillId="0" borderId="64" xfId="64" applyFont="1" applyFill="1" applyBorder="1" applyAlignment="1" applyProtection="1">
      <alignment horizontal="center" vertical="center" wrapText="1"/>
      <protection locked="0"/>
    </xf>
    <xf numFmtId="0" fontId="31" fillId="0" borderId="11" xfId="64" applyFont="1" applyFill="1" applyBorder="1" applyAlignment="1" applyProtection="1">
      <alignment horizontal="center" wrapText="1"/>
      <protection locked="0"/>
    </xf>
    <xf numFmtId="0" fontId="31" fillId="0" borderId="27" xfId="64" applyFont="1" applyFill="1" applyBorder="1" applyAlignment="1" applyProtection="1">
      <alignment horizontal="center" wrapText="1"/>
      <protection locked="0"/>
    </xf>
    <xf numFmtId="0" fontId="25" fillId="0" borderId="0" xfId="64" applyFont="1" applyFill="1" applyAlignment="1" applyProtection="1">
      <alignment horizontal="center"/>
      <protection/>
    </xf>
    <xf numFmtId="0" fontId="8" fillId="0" borderId="0" xfId="63" applyFont="1" applyFill="1" applyAlignment="1" applyProtection="1">
      <alignment horizontal="right" vertical="center" wrapText="1"/>
      <protection locked="0"/>
    </xf>
    <xf numFmtId="0" fontId="0" fillId="0" borderId="0" xfId="63" applyFill="1" applyAlignment="1" applyProtection="1">
      <alignment horizontal="right" vertical="center" wrapText="1"/>
      <protection locked="0"/>
    </xf>
    <xf numFmtId="0" fontId="5" fillId="0" borderId="0" xfId="63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3" applyFont="1" applyFill="1" applyAlignment="1" applyProtection="1">
      <alignment horizontal="center" vertical="center" wrapText="1"/>
      <protection locked="0"/>
    </xf>
    <xf numFmtId="0" fontId="20" fillId="0" borderId="0" xfId="63" applyFont="1" applyFill="1" applyBorder="1" applyAlignment="1" applyProtection="1">
      <alignment horizontal="right" vertical="center"/>
      <protection locked="0"/>
    </xf>
    <xf numFmtId="0" fontId="5" fillId="0" borderId="20" xfId="63" applyFont="1" applyFill="1" applyBorder="1" applyAlignment="1" applyProtection="1">
      <alignment horizontal="center" vertical="center" wrapText="1"/>
      <protection locked="0"/>
    </xf>
    <xf numFmtId="0" fontId="5" fillId="0" borderId="17" xfId="63" applyFont="1" applyFill="1" applyBorder="1" applyAlignment="1" applyProtection="1">
      <alignment horizontal="center" vertical="center" wrapText="1"/>
      <protection locked="0"/>
    </xf>
    <xf numFmtId="0" fontId="20" fillId="0" borderId="13" xfId="63" applyFont="1" applyFill="1" applyBorder="1" applyAlignment="1" applyProtection="1">
      <alignment horizontal="center" vertical="center" textRotation="90"/>
      <protection locked="0"/>
    </xf>
    <xf numFmtId="0" fontId="20" fillId="0" borderId="11" xfId="63" applyFont="1" applyFill="1" applyBorder="1" applyAlignment="1" applyProtection="1">
      <alignment horizontal="center" vertical="center" textRotation="90"/>
      <protection locked="0"/>
    </xf>
    <xf numFmtId="0" fontId="4" fillId="0" borderId="45" xfId="63" applyFont="1" applyFill="1" applyBorder="1" applyAlignment="1" applyProtection="1">
      <alignment horizontal="center" vertical="center" wrapText="1"/>
      <protection locked="0"/>
    </xf>
    <xf numFmtId="0" fontId="4" fillId="0" borderId="27" xfId="63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textRotation="180"/>
      <protection locked="0"/>
    </xf>
    <xf numFmtId="0" fontId="37" fillId="0" borderId="22" xfId="0" applyFont="1" applyBorder="1" applyAlignment="1" applyProtection="1">
      <alignment wrapText="1"/>
      <protection/>
    </xf>
    <xf numFmtId="0" fontId="37" fillId="0" borderId="23" xfId="0" applyFont="1" applyBorder="1" applyAlignment="1" applyProtection="1">
      <alignment wrapText="1"/>
      <protection/>
    </xf>
    <xf numFmtId="0" fontId="37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_KVRENMUNKA" xfId="62"/>
    <cellStyle name="Normál_VAGYONK" xfId="63"/>
    <cellStyle name="Normál_VAGYONKIM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  <cellStyle name="Százalék 2" xfId="72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77475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17</xdr:row>
      <xdr:rowOff>28575</xdr:rowOff>
    </xdr:from>
    <xdr:to>
      <xdr:col>22</xdr:col>
      <xdr:colOff>342900</xdr:colOff>
      <xdr:row>23</xdr:row>
      <xdr:rowOff>161925</xdr:rowOff>
    </xdr:to>
    <xdr:sp>
      <xdr:nvSpPr>
        <xdr:cNvPr id="5" name="Téglalap 5"/>
        <xdr:cNvSpPr>
          <a:spLocks/>
        </xdr:cNvSpPr>
      </xdr:nvSpPr>
      <xdr:spPr>
        <a:xfrm>
          <a:off x="10277475" y="3048000"/>
          <a:ext cx="6315075" cy="1219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16">
      <selection activeCell="C36" sqref="C36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1" ht="12.75">
      <c r="A1" s="652">
        <v>2019</v>
      </c>
    </row>
    <row r="2" spans="1:3" ht="18.75">
      <c r="A2" s="771" t="s">
        <v>749</v>
      </c>
      <c r="B2" s="771"/>
      <c r="C2" s="771"/>
    </row>
    <row r="3" spans="1:3" ht="15">
      <c r="A3" s="581"/>
      <c r="B3" s="582"/>
      <c r="C3" s="581"/>
    </row>
    <row r="4" spans="1:3" ht="14.25">
      <c r="A4" s="583" t="s">
        <v>750</v>
      </c>
      <c r="B4" s="584" t="s">
        <v>751</v>
      </c>
      <c r="C4" s="583" t="s">
        <v>752</v>
      </c>
    </row>
    <row r="5" spans="1:3" ht="12.75">
      <c r="A5" s="585"/>
      <c r="B5" s="585"/>
      <c r="C5" s="585"/>
    </row>
    <row r="6" spans="1:3" ht="18.75">
      <c r="A6" s="772" t="s">
        <v>784</v>
      </c>
      <c r="B6" s="772"/>
      <c r="C6" s="772"/>
    </row>
    <row r="7" spans="1:3" ht="12.75">
      <c r="A7" s="585" t="s">
        <v>753</v>
      </c>
      <c r="B7" s="585" t="s">
        <v>754</v>
      </c>
      <c r="C7" s="58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585" t="s">
        <v>755</v>
      </c>
      <c r="B8" s="585" t="s">
        <v>792</v>
      </c>
      <c r="C8" s="58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585" t="s">
        <v>756</v>
      </c>
      <c r="B9" s="585" t="str">
        <f>CONCATENATE(LOWER('Z_1.1.sz.mell.'!A3))</f>
        <v>2019. évi zárszámadásának pénzügyi mérlege</v>
      </c>
      <c r="C9" s="58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585" t="s">
        <v>757</v>
      </c>
      <c r="B10" s="585" t="str">
        <f>'Z_1.2.sz.mell.'!A3</f>
        <v>2019. ÉVI ZÁRSZÁMADÁS</v>
      </c>
      <c r="C10" s="58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585" t="s">
        <v>758</v>
      </c>
      <c r="B11" s="585" t="str">
        <f>'Z_1.3.sz.mell.'!A3</f>
        <v>2019. ÉVI ZÁRSZÁMADÁS</v>
      </c>
      <c r="C11" s="58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585" t="s">
        <v>759</v>
      </c>
      <c r="B12" s="585" t="str">
        <f>'Z_1.4.sz.mell.'!A3</f>
        <v>2019. ÉVI ZÁRSZÁMADÁS</v>
      </c>
      <c r="C12" s="58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585" t="s">
        <v>511</v>
      </c>
      <c r="B13" s="585" t="s">
        <v>760</v>
      </c>
      <c r="C13" s="58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585" t="s">
        <v>424</v>
      </c>
      <c r="B14" s="585" t="s">
        <v>761</v>
      </c>
      <c r="C14" s="58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585" t="s">
        <v>762</v>
      </c>
      <c r="B15" s="585" t="s">
        <v>763</v>
      </c>
      <c r="C15" s="58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585" t="s">
        <v>764</v>
      </c>
      <c r="B16" s="585" t="s">
        <v>765</v>
      </c>
      <c r="C16" s="58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585" t="s">
        <v>766</v>
      </c>
      <c r="B17" s="585" t="s">
        <v>767</v>
      </c>
      <c r="C17" s="58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585" t="s">
        <v>768</v>
      </c>
      <c r="B18" s="585" t="str">
        <f>'Z_5.sz.mell.'!A9</f>
        <v>Európai uniós támogatással megvalósuló projektek</v>
      </c>
      <c r="C18" s="58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585" t="s">
        <v>519</v>
      </c>
      <c r="B19" s="585" t="s">
        <v>769</v>
      </c>
      <c r="C19" s="58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585" t="s">
        <v>451</v>
      </c>
      <c r="B20" s="585" t="s">
        <v>770</v>
      </c>
      <c r="C20" s="58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585" t="s">
        <v>452</v>
      </c>
      <c r="B21" s="585" t="s">
        <v>323</v>
      </c>
      <c r="C21" s="58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585" t="s">
        <v>771</v>
      </c>
      <c r="B22" s="585" t="s">
        <v>772</v>
      </c>
      <c r="C22" s="58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585" t="s">
        <v>773</v>
      </c>
      <c r="B23" s="585" t="str">
        <f>Z_ALAPADATOK!A11</f>
        <v>Besenyszögi Közös Önkormányzati Hivatal</v>
      </c>
      <c r="C23" s="58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585" t="s">
        <v>774</v>
      </c>
      <c r="B24" t="str">
        <f>Z_ALAPADATOK!B13</f>
        <v>Wesniczky Antal Művelődési Ház és Könyvtár</v>
      </c>
      <c r="C24" s="58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585" t="s">
        <v>775</v>
      </c>
      <c r="B25" t="str">
        <f>Z_ALAPADATOK!B15</f>
        <v>Besenyszögi Eszterlánc Óvoda</v>
      </c>
      <c r="C25" s="586" t="str">
        <f ca="1">HYPERLINK(SUBSTITUTE(CELL("address",'Óvodák összesen'!A1),"'",""),SUBSTITUTE(MID(CELL("address",'Óvodák összesen'!A1),SEARCH("]",CELL("address",'Óvodák összesen'!A1),1)+1,LEN(CELL("address",'Óvodák összesen'!A1))-SEARCH("]",CELL("address",'Óvodák összesen'!A1),1)),"'",""))</f>
        <v>Óvodák összesen!$A$1</v>
      </c>
    </row>
    <row r="26" spans="1:3" ht="12.75">
      <c r="A26" s="585" t="s">
        <v>776</v>
      </c>
      <c r="B26" t="str">
        <f>Z_ALAPADATOK!B17</f>
        <v>3 kvi név</v>
      </c>
      <c r="C26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85" t="s">
        <v>777</v>
      </c>
      <c r="B27" t="str">
        <f>Z_ALAPADATOK!B19</f>
        <v>4 kvi név</v>
      </c>
      <c r="C27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85" t="s">
        <v>778</v>
      </c>
      <c r="B28" t="str">
        <f>Z_ALAPADATOK!B21</f>
        <v>5 kvi név</v>
      </c>
      <c r="C28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85" t="s">
        <v>779</v>
      </c>
      <c r="B29" t="str">
        <f>Z_ALAPADATOK!B23</f>
        <v>6 kvi név</v>
      </c>
      <c r="C29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85" t="s">
        <v>780</v>
      </c>
      <c r="B30" t="str">
        <f>Z_ALAPADATOK!B25</f>
        <v>7 kvi név</v>
      </c>
      <c r="C30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85" t="s">
        <v>781</v>
      </c>
      <c r="B31" t="str">
        <f>Z_ALAPADATOK!B27</f>
        <v>8 kvi név</v>
      </c>
      <c r="C31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85" t="s">
        <v>782</v>
      </c>
      <c r="B32" t="str">
        <f>Z_ALAPADATOK!B29</f>
        <v>9 kvi név</v>
      </c>
      <c r="C32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85" t="s">
        <v>783</v>
      </c>
      <c r="B33" t="str">
        <f>Z_ALAPADATOK!B31</f>
        <v>10 kvi név</v>
      </c>
      <c r="C33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85" t="s">
        <v>807</v>
      </c>
      <c r="B34" t="str">
        <f>PROPER('Z_7.sz.mell'!A3)</f>
        <v>Költségvetési Szervek Maradványának Alakulása</v>
      </c>
      <c r="C34" s="58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585" t="s">
        <v>808</v>
      </c>
      <c r="B35" t="str">
        <f>'Z_8.sz.mell'!B1</f>
        <v>2019. évi általános működés és ágazati feladatok támogatásának alakulása jogcímenként</v>
      </c>
      <c r="C35" s="58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585" t="s">
        <v>731</v>
      </c>
      <c r="B36" t="str">
        <f>CONCATENATE(PROPER('Z_1.tájékoztató_t.'!A2)," ",LOWER('Z_1.tájékoztató_t.'!A3))</f>
        <v>Besenyszög Város Önkormányzata 2019. évi zárszámadásának pénzügyi mérlege</v>
      </c>
      <c r="C36" s="586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585" t="s">
        <v>733</v>
      </c>
      <c r="B37" t="str">
        <f>'Z_2.tájékoztató_t.'!A1</f>
        <v>Többéves kihatással járó döntésekből származó kötzelezettségek célok szerinti, évenkénti bontásban</v>
      </c>
      <c r="C37" s="586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585" t="s">
        <v>734</v>
      </c>
      <c r="B38" t="str">
        <f>'Z_3.tájékoztató_t.'!A1</f>
        <v>Az önkormányzat által nyújtott hitel és kölcsön alakulása lejárat és eszközök szerinti bontásban</v>
      </c>
      <c r="C38" s="586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585" t="s">
        <v>735</v>
      </c>
      <c r="B39" t="str">
        <f>'Z_4.tájékoztató_t.'!A1</f>
        <v>Adósság állomány alakulása lejárat, eszközök, bel- és külföldi hitelezők szerinti bontásban
2019. december 31-én</v>
      </c>
      <c r="C39" s="586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585" t="s">
        <v>736</v>
      </c>
      <c r="B40" t="str">
        <f>'Z_5.tájékoztató_t.'!A3</f>
        <v>Az önkormányzat által adott közvetett támogatások</v>
      </c>
      <c r="C40" s="586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585" t="s">
        <v>740</v>
      </c>
      <c r="B41" t="str">
        <f>CONCATENATE(PROPER('Z_6.tájékoztató_t.'!A3)," ",LOWER('Z_6.tájékoztató_t.'!A4))</f>
        <v>K I M U T A T Á S a 2019. évi céljelleggel juttatott támogatások felhasználásáról</v>
      </c>
      <c r="C41" s="586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585" t="s">
        <v>742</v>
      </c>
      <c r="B42" t="str">
        <f>CONCATENATE(PROPER('Z_7.1.tájékoztató_t.'!A2)," ",'Z_7.1.tájékoztató_t.'!A3)</f>
        <v>Vagyonkimutatás a könyvviteli mérlegben értékkel szerplő eszközökről</v>
      </c>
      <c r="C42" s="586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585" t="s">
        <v>745</v>
      </c>
      <c r="B43" t="str">
        <f>CONCATENATE(PROPER('Z_7.2.tájékoztató_t.'!A3)," ",'Z_7.2.tájékoztató_t.'!A4)</f>
        <v>Vagyonkimutatás a könyvviteli mérlegben értékkel szereplő forrásokról</v>
      </c>
      <c r="C43" s="586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585" t="s">
        <v>746</v>
      </c>
      <c r="B44" t="e">
        <f>CONCATENATE(PROPER(#REF!)," ",#REF!)</f>
        <v>#REF!</v>
      </c>
      <c r="C44" s="5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ht="12.75">
      <c r="A45" s="585" t="s">
        <v>747</v>
      </c>
      <c r="B45" t="str">
        <f>CONCATENATE('Z_8.tájékoztató_t.'!A2,'Z_8.tájékoztató_t.'!A3)</f>
        <v>Besenyszög Város Önkormányzata tulajdonában álló gazdálkodó szervezetek működéséből származókötelezettségek és részesedések alakulása 2019. évben</v>
      </c>
      <c r="C45" s="586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585" t="s">
        <v>748</v>
      </c>
      <c r="B46" t="s">
        <v>785</v>
      </c>
      <c r="C46" s="586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16" sqref="G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5" t="s">
        <v>515</v>
      </c>
      <c r="B1" s="79"/>
      <c r="C1" s="79"/>
      <c r="D1" s="79"/>
      <c r="E1" s="276" t="s">
        <v>103</v>
      </c>
    </row>
    <row r="2" spans="1:5" ht="12.75">
      <c r="A2" s="79"/>
      <c r="B2" s="79"/>
      <c r="C2" s="79"/>
      <c r="D2" s="79"/>
      <c r="E2" s="79"/>
    </row>
    <row r="3" spans="1:5" ht="12.75">
      <c r="A3" s="277"/>
      <c r="B3" s="278"/>
      <c r="C3" s="277"/>
      <c r="D3" s="279"/>
      <c r="E3" s="278"/>
    </row>
    <row r="4" spans="1:5" ht="15.75">
      <c r="A4" s="81" t="str">
        <f>+Z_ÖSSZEFÜGGÉSEK!A6</f>
        <v>2019. évi eredeti előirányzat BEVÉTELEK</v>
      </c>
      <c r="B4" s="280"/>
      <c r="C4" s="281"/>
      <c r="D4" s="279"/>
      <c r="E4" s="278"/>
    </row>
    <row r="5" spans="1:5" ht="12.75">
      <c r="A5" s="277"/>
      <c r="B5" s="278"/>
      <c r="C5" s="277"/>
      <c r="D5" s="279"/>
      <c r="E5" s="278"/>
    </row>
    <row r="6" spans="1:5" ht="12.75">
      <c r="A6" s="277" t="s">
        <v>456</v>
      </c>
      <c r="B6" s="278">
        <f>+'Z_1.1.sz.mell.'!C68</f>
        <v>478493054</v>
      </c>
      <c r="C6" s="277" t="s">
        <v>425</v>
      </c>
      <c r="D6" s="279">
        <f>+'Z_2.1.sz.mell'!C18+'Z_2.2.sz.mell'!C17</f>
        <v>478493054</v>
      </c>
      <c r="E6" s="278">
        <f>+B6-D6</f>
        <v>0</v>
      </c>
    </row>
    <row r="7" spans="1:5" ht="12.75">
      <c r="A7" s="277" t="s">
        <v>472</v>
      </c>
      <c r="B7" s="278">
        <f>+'Z_1.1.sz.mell.'!C92</f>
        <v>1282323191</v>
      </c>
      <c r="C7" s="277" t="s">
        <v>431</v>
      </c>
      <c r="D7" s="279">
        <f>+'Z_2.1.sz.mell'!C29+'Z_2.2.sz.mell'!C30</f>
        <v>1282323191</v>
      </c>
      <c r="E7" s="278">
        <f>+B7-D7</f>
        <v>0</v>
      </c>
    </row>
    <row r="8" spans="1:5" ht="12.75">
      <c r="A8" s="277" t="s">
        <v>473</v>
      </c>
      <c r="B8" s="278">
        <f>+'Z_1.1.sz.mell.'!C93</f>
        <v>1760816245</v>
      </c>
      <c r="C8" s="277" t="s">
        <v>432</v>
      </c>
      <c r="D8" s="279">
        <f>+'Z_2.1.sz.mell'!C30+'Z_2.2.sz.mell'!C31</f>
        <v>1760816245</v>
      </c>
      <c r="E8" s="278">
        <f>+B8-D8</f>
        <v>0</v>
      </c>
    </row>
    <row r="9" spans="1:5" ht="12.75">
      <c r="A9" s="277"/>
      <c r="B9" s="278"/>
      <c r="C9" s="277"/>
      <c r="D9" s="279"/>
      <c r="E9" s="278"/>
    </row>
    <row r="10" spans="1:5" ht="15.75">
      <c r="A10" s="81" t="str">
        <f>+Z_ÖSSZEFÜGGÉSEK!A13</f>
        <v>2019. évi módosított előirányzat BEVÉTELEK</v>
      </c>
      <c r="B10" s="280"/>
      <c r="C10" s="281"/>
      <c r="D10" s="279"/>
      <c r="E10" s="278"/>
    </row>
    <row r="11" spans="1:5" ht="12.75">
      <c r="A11" s="277"/>
      <c r="B11" s="278"/>
      <c r="C11" s="277"/>
      <c r="D11" s="279"/>
      <c r="E11" s="278"/>
    </row>
    <row r="12" spans="1:5" ht="12.75">
      <c r="A12" s="277" t="s">
        <v>457</v>
      </c>
      <c r="B12" s="278">
        <f>+'Z_1.1.sz.mell.'!D68</f>
        <v>908013420</v>
      </c>
      <c r="C12" s="277" t="s">
        <v>426</v>
      </c>
      <c r="D12" s="279">
        <f>+'Z_2.1.sz.mell'!D18+'Z_2.2.sz.mell'!D17</f>
        <v>908013420</v>
      </c>
      <c r="E12" s="278">
        <f>+B12-D12</f>
        <v>0</v>
      </c>
    </row>
    <row r="13" spans="1:5" ht="12.75">
      <c r="A13" s="277" t="s">
        <v>458</v>
      </c>
      <c r="B13" s="278">
        <f>+'Z_1.1.sz.mell.'!D92</f>
        <v>1173660617</v>
      </c>
      <c r="C13" s="277" t="s">
        <v>433</v>
      </c>
      <c r="D13" s="279">
        <f>+'Z_2.1.sz.mell'!D29+'Z_2.2.sz.mell'!D30</f>
        <v>1173660617</v>
      </c>
      <c r="E13" s="278">
        <f>+B13-D13</f>
        <v>0</v>
      </c>
    </row>
    <row r="14" spans="1:5" ht="12.75">
      <c r="A14" s="277" t="s">
        <v>459</v>
      </c>
      <c r="B14" s="278">
        <f>+'Z_1.1.sz.mell.'!D93</f>
        <v>2081674037</v>
      </c>
      <c r="C14" s="277" t="s">
        <v>434</v>
      </c>
      <c r="D14" s="279">
        <f>+'Z_2.1.sz.mell'!D30+'Z_2.2.sz.mell'!D31</f>
        <v>2081674037</v>
      </c>
      <c r="E14" s="278">
        <f>+B14-D14</f>
        <v>0</v>
      </c>
    </row>
    <row r="15" spans="1:5" ht="12.75">
      <c r="A15" s="277"/>
      <c r="B15" s="278"/>
      <c r="C15" s="277"/>
      <c r="D15" s="279"/>
      <c r="E15" s="278"/>
    </row>
    <row r="16" spans="1:5" ht="14.25">
      <c r="A16" s="282" t="str">
        <f>+Z_ÖSSZEFÜGGÉSEK!A19</f>
        <v>2019.évi teljesített BEVÉTELEK</v>
      </c>
      <c r="B16" s="80"/>
      <c r="C16" s="281"/>
      <c r="D16" s="279"/>
      <c r="E16" s="278"/>
    </row>
    <row r="17" spans="1:5" ht="12.75">
      <c r="A17" s="277"/>
      <c r="B17" s="278"/>
      <c r="C17" s="277"/>
      <c r="D17" s="279"/>
      <c r="E17" s="278"/>
    </row>
    <row r="18" spans="1:5" ht="12.75">
      <c r="A18" s="277" t="s">
        <v>460</v>
      </c>
      <c r="B18" s="278">
        <f>+'Z_1.1.sz.mell.'!E68</f>
        <v>978850816</v>
      </c>
      <c r="C18" s="277" t="s">
        <v>427</v>
      </c>
      <c r="D18" s="279">
        <f>+'Z_2.1.sz.mell'!E18+'Z_2.2.sz.mell'!E17</f>
        <v>978850816</v>
      </c>
      <c r="E18" s="278">
        <f>+B18-D18</f>
        <v>0</v>
      </c>
    </row>
    <row r="19" spans="1:5" ht="12.75">
      <c r="A19" s="277" t="s">
        <v>461</v>
      </c>
      <c r="B19" s="278">
        <f>+'Z_1.1.sz.mell.'!E92</f>
        <v>1183144253</v>
      </c>
      <c r="C19" s="277" t="s">
        <v>435</v>
      </c>
      <c r="D19" s="279">
        <f>+'Z_2.1.sz.mell'!E29+'Z_2.2.sz.mell'!E30</f>
        <v>1183144253</v>
      </c>
      <c r="E19" s="278">
        <f>+B19-D19</f>
        <v>0</v>
      </c>
    </row>
    <row r="20" spans="1:5" ht="12.75">
      <c r="A20" s="277" t="s">
        <v>462</v>
      </c>
      <c r="B20" s="278">
        <f>+'Z_1.1.sz.mell.'!E93</f>
        <v>2161995069</v>
      </c>
      <c r="C20" s="277" t="s">
        <v>436</v>
      </c>
      <c r="D20" s="279">
        <f>+'Z_2.1.sz.mell'!E30+'Z_2.2.sz.mell'!E31</f>
        <v>2161995069</v>
      </c>
      <c r="E20" s="278">
        <f>+B20-D20</f>
        <v>0</v>
      </c>
    </row>
    <row r="21" spans="1:5" ht="12.75">
      <c r="A21" s="277"/>
      <c r="B21" s="278"/>
      <c r="C21" s="277"/>
      <c r="D21" s="279"/>
      <c r="E21" s="278"/>
    </row>
    <row r="22" spans="1:5" ht="15.75">
      <c r="A22" s="81" t="str">
        <f>+Z_ÖSSZEFÜGGÉSEK!A25</f>
        <v>2019. évi eredeti előirányzat KIADÁSOK</v>
      </c>
      <c r="B22" s="280"/>
      <c r="C22" s="281"/>
      <c r="D22" s="279"/>
      <c r="E22" s="278"/>
    </row>
    <row r="23" spans="1:5" ht="12.75">
      <c r="A23" s="277"/>
      <c r="B23" s="278"/>
      <c r="C23" s="277"/>
      <c r="D23" s="279"/>
      <c r="E23" s="278"/>
    </row>
    <row r="24" spans="1:5" ht="12.75">
      <c r="A24" s="277" t="s">
        <v>474</v>
      </c>
      <c r="B24" s="278">
        <f>+'Z_1.1.sz.mell.'!C135</f>
        <v>1752233214</v>
      </c>
      <c r="C24" s="277" t="s">
        <v>428</v>
      </c>
      <c r="D24" s="279">
        <f>+'Z_2.1.sz.mell'!G18+'Z_2.2.sz.mell'!G17</f>
        <v>1752233214</v>
      </c>
      <c r="E24" s="278">
        <f>+B24-D24</f>
        <v>0</v>
      </c>
    </row>
    <row r="25" spans="1:5" ht="12.75">
      <c r="A25" s="277" t="s">
        <v>464</v>
      </c>
      <c r="B25" s="278">
        <f>+'Z_1.1.sz.mell.'!C160</f>
        <v>8583031</v>
      </c>
      <c r="C25" s="277" t="s">
        <v>437</v>
      </c>
      <c r="D25" s="279">
        <f>+'Z_2.1.sz.mell'!G29+'Z_2.2.sz.mell'!G30</f>
        <v>8583031</v>
      </c>
      <c r="E25" s="278">
        <f>+B25-D25</f>
        <v>0</v>
      </c>
    </row>
    <row r="26" spans="1:5" ht="12.75">
      <c r="A26" s="277" t="s">
        <v>465</v>
      </c>
      <c r="B26" s="278">
        <f>+'Z_1.1.sz.mell.'!C161</f>
        <v>1760816245</v>
      </c>
      <c r="C26" s="277" t="s">
        <v>438</v>
      </c>
      <c r="D26" s="279">
        <f>+'Z_2.1.sz.mell'!G30+'Z_2.2.sz.mell'!G31</f>
        <v>1760816245</v>
      </c>
      <c r="E26" s="278">
        <f>+B26-D26</f>
        <v>0</v>
      </c>
    </row>
    <row r="27" spans="1:5" ht="12.75">
      <c r="A27" s="277"/>
      <c r="B27" s="278"/>
      <c r="C27" s="277"/>
      <c r="D27" s="279"/>
      <c r="E27" s="278"/>
    </row>
    <row r="28" spans="1:5" ht="15.75">
      <c r="A28" s="81" t="str">
        <f>+Z_ÖSSZEFÜGGÉSEK!A31</f>
        <v>2019. évi módosított előirányzat KIADÁSOK</v>
      </c>
      <c r="B28" s="280"/>
      <c r="C28" s="281"/>
      <c r="D28" s="279"/>
      <c r="E28" s="278"/>
    </row>
    <row r="29" spans="1:5" ht="12.75">
      <c r="A29" s="277"/>
      <c r="B29" s="278"/>
      <c r="C29" s="277"/>
      <c r="D29" s="279"/>
      <c r="E29" s="278"/>
    </row>
    <row r="30" spans="1:5" ht="12.75">
      <c r="A30" s="277" t="s">
        <v>466</v>
      </c>
      <c r="B30" s="278">
        <f>+'Z_1.1.sz.mell.'!D135</f>
        <v>1770882233</v>
      </c>
      <c r="C30" s="277" t="s">
        <v>429</v>
      </c>
      <c r="D30" s="279">
        <f>+'Z_2.1.sz.mell'!H18+'Z_2.2.sz.mell'!H17</f>
        <v>1770882233</v>
      </c>
      <c r="E30" s="278">
        <f>+B30-D30</f>
        <v>0</v>
      </c>
    </row>
    <row r="31" spans="1:5" ht="12.75">
      <c r="A31" s="277" t="s">
        <v>467</v>
      </c>
      <c r="B31" s="278">
        <f>+'Z_1.1.sz.mell.'!D160</f>
        <v>310791804</v>
      </c>
      <c r="C31" s="277" t="s">
        <v>439</v>
      </c>
      <c r="D31" s="279">
        <f>+'Z_2.1.sz.mell'!H29+'Z_2.2.sz.mell'!H30</f>
        <v>310791804</v>
      </c>
      <c r="E31" s="278">
        <f>+B31-D31</f>
        <v>0</v>
      </c>
    </row>
    <row r="32" spans="1:5" ht="12.75">
      <c r="A32" s="277" t="s">
        <v>468</v>
      </c>
      <c r="B32" s="278">
        <f>+'Z_1.1.sz.mell.'!D161</f>
        <v>2081674037</v>
      </c>
      <c r="C32" s="277" t="s">
        <v>440</v>
      </c>
      <c r="D32" s="279">
        <f>+'Z_2.1.sz.mell'!H30+'Z_2.2.sz.mell'!H31</f>
        <v>2081674037</v>
      </c>
      <c r="E32" s="278">
        <f>+B32-D32</f>
        <v>0</v>
      </c>
    </row>
    <row r="33" spans="1:5" ht="12.75">
      <c r="A33" s="277"/>
      <c r="B33" s="278"/>
      <c r="C33" s="277"/>
      <c r="D33" s="279"/>
      <c r="E33" s="278"/>
    </row>
    <row r="34" spans="1:5" ht="15.75">
      <c r="A34" s="283" t="str">
        <f>+Z_ÖSSZEFÜGGÉSEK!A37</f>
        <v>2019.évi teljesített KIADÁSOK</v>
      </c>
      <c r="B34" s="280"/>
      <c r="C34" s="281"/>
      <c r="D34" s="279"/>
      <c r="E34" s="278"/>
    </row>
    <row r="35" spans="1:5" ht="12.75">
      <c r="A35" s="277"/>
      <c r="B35" s="278"/>
      <c r="C35" s="277"/>
      <c r="D35" s="279"/>
      <c r="E35" s="278"/>
    </row>
    <row r="36" spans="1:5" ht="12.75">
      <c r="A36" s="277" t="s">
        <v>469</v>
      </c>
      <c r="B36" s="278">
        <f>+'Z_1.1.sz.mell.'!E135</f>
        <v>895034066</v>
      </c>
      <c r="C36" s="277" t="s">
        <v>430</v>
      </c>
      <c r="D36" s="279">
        <f>+'Z_2.1.sz.mell'!I18+'Z_2.2.sz.mell'!I17</f>
        <v>895034066</v>
      </c>
      <c r="E36" s="278">
        <f>+B36-D36</f>
        <v>0</v>
      </c>
    </row>
    <row r="37" spans="1:5" ht="12.75">
      <c r="A37" s="277" t="s">
        <v>470</v>
      </c>
      <c r="B37" s="278">
        <f>+'Z_1.1.sz.mell.'!E160</f>
        <v>310791804</v>
      </c>
      <c r="C37" s="277" t="s">
        <v>441</v>
      </c>
      <c r="D37" s="279">
        <f>+'Z_2.1.sz.mell'!I29+'Z_2.2.sz.mell'!I30</f>
        <v>310791804</v>
      </c>
      <c r="E37" s="278">
        <f>+B37-D37</f>
        <v>0</v>
      </c>
    </row>
    <row r="38" spans="1:5" ht="12.75">
      <c r="A38" s="277" t="s">
        <v>475</v>
      </c>
      <c r="B38" s="278">
        <f>+'Z_1.1.sz.mell.'!E161</f>
        <v>1205825870</v>
      </c>
      <c r="C38" s="277" t="s">
        <v>442</v>
      </c>
      <c r="D38" s="279">
        <f>+'Z_2.1.sz.mell'!I30+'Z_2.2.sz.mell'!I31</f>
        <v>1205825870</v>
      </c>
      <c r="E38" s="278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">
      <selection activeCell="E7" sqref="E7:E13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9"/>
      <c r="B1" s="802" t="str">
        <f>CONCATENATE("3. melléklet ",Z_ALAPADATOK!A7," ",Z_ALAPADATOK!B7," ",Z_ALAPADATOK!C7," ",Z_ALAPADATOK!D7," ",Z_ALAPADATOK!E7," ",Z_ALAPADATOK!F7," ",Z_ALAPADATOK!G7," ",Z_ALAPADATOK!H7)</f>
        <v>3. melléklet a 9 / 2020. ( VII.10. ) önkormányzati rendelethez</v>
      </c>
      <c r="C1" s="803"/>
      <c r="D1" s="803"/>
      <c r="E1" s="803"/>
      <c r="F1" s="803"/>
      <c r="G1" s="803"/>
    </row>
    <row r="2" spans="1:7" ht="12.75">
      <c r="A2" s="339"/>
      <c r="B2" s="340"/>
      <c r="C2" s="340"/>
      <c r="D2" s="340"/>
      <c r="E2" s="340"/>
      <c r="F2" s="340"/>
      <c r="G2" s="340"/>
    </row>
    <row r="3" spans="1:7" ht="25.5" customHeight="1">
      <c r="A3" s="801" t="s">
        <v>516</v>
      </c>
      <c r="B3" s="801"/>
      <c r="C3" s="801"/>
      <c r="D3" s="801"/>
      <c r="E3" s="801"/>
      <c r="F3" s="801"/>
      <c r="G3" s="801"/>
    </row>
    <row r="4" spans="1:7" ht="22.5" customHeight="1" thickBot="1">
      <c r="A4" s="339"/>
      <c r="B4" s="340"/>
      <c r="C4" s="340"/>
      <c r="D4" s="340"/>
      <c r="E4" s="340"/>
      <c r="F4" s="340"/>
      <c r="G4" s="341" t="str">
        <f>'Z_2.2.sz.mell'!I2</f>
        <v> Forintban!</v>
      </c>
    </row>
    <row r="5" spans="1:7" s="29" customFormat="1" ht="44.25" customHeight="1" thickBot="1">
      <c r="A5" s="342" t="s">
        <v>47</v>
      </c>
      <c r="B5" s="312" t="s">
        <v>48</v>
      </c>
      <c r="C5" s="312" t="s">
        <v>49</v>
      </c>
      <c r="D5" s="312" t="str">
        <f>+CONCATENATE("Felhasználás   ",LEFT(Z_ÖSSZEFÜGGÉSEK!A6,4)-1,". XII. 31-ig")</f>
        <v>Felhasználás   2018. XII. 31-ig</v>
      </c>
      <c r="E5" s="312" t="str">
        <f>+CONCATENATE(LEFT(Z_ÖSSZEFÜGGÉSEK!A6,4),". évi",CHAR(10),"módosított előirányzat")</f>
        <v>2019. évi
módosított előirányzat</v>
      </c>
      <c r="F5" s="312" t="str">
        <f>+CONCATENATE("Teljesítés",CHAR(10),LEFT(Z_ÖSSZEFÜGGÉSEK!A6,4),". I. 1-től XII.31-ig")</f>
        <v>Teljesítés
2019. I. 1-től XII.31-ig</v>
      </c>
      <c r="G5" s="313" t="str">
        <f>+CONCATENATE("Összes teljesítés",CHAR(10),LEFT(Z_ÖSSZEFÜGGÉSEK!A6,4),". XII. 31-ig")</f>
        <v>Összes teljesítés
2019. XII. 31-ig</v>
      </c>
    </row>
    <row r="6" spans="1:7" s="33" customFormat="1" ht="12" customHeight="1" thickBot="1">
      <c r="A6" s="343" t="s">
        <v>385</v>
      </c>
      <c r="B6" s="344" t="s">
        <v>386</v>
      </c>
      <c r="C6" s="344" t="s">
        <v>387</v>
      </c>
      <c r="D6" s="344" t="s">
        <v>389</v>
      </c>
      <c r="E6" s="344" t="s">
        <v>388</v>
      </c>
      <c r="F6" s="344" t="s">
        <v>390</v>
      </c>
      <c r="G6" s="345" t="s">
        <v>443</v>
      </c>
    </row>
    <row r="7" spans="1:7" ht="15.75" customHeight="1">
      <c r="A7" s="224" t="s">
        <v>901</v>
      </c>
      <c r="B7" s="714">
        <v>250670046</v>
      </c>
      <c r="C7" s="715" t="s">
        <v>904</v>
      </c>
      <c r="D7" s="714">
        <v>9501136</v>
      </c>
      <c r="E7" s="714">
        <v>175284216</v>
      </c>
      <c r="F7" s="724">
        <v>512262</v>
      </c>
      <c r="G7" s="716">
        <f>D7+F7</f>
        <v>10013398</v>
      </c>
    </row>
    <row r="8" spans="1:7" ht="15.75" customHeight="1">
      <c r="A8" s="224" t="s">
        <v>903</v>
      </c>
      <c r="B8" s="714">
        <v>220995693</v>
      </c>
      <c r="C8" s="715" t="s">
        <v>904</v>
      </c>
      <c r="D8" s="714">
        <v>2920480</v>
      </c>
      <c r="E8" s="714">
        <v>114900520</v>
      </c>
      <c r="F8" s="724"/>
      <c r="G8" s="716">
        <f aca="true" t="shared" si="0" ref="G8:G24">D8+F8</f>
        <v>2920480</v>
      </c>
    </row>
    <row r="9" spans="1:7" ht="15.75" customHeight="1">
      <c r="A9" s="224" t="s">
        <v>905</v>
      </c>
      <c r="B9" s="714">
        <v>259426973</v>
      </c>
      <c r="C9" s="715" t="s">
        <v>904</v>
      </c>
      <c r="D9" s="714">
        <v>4635500</v>
      </c>
      <c r="E9" s="714">
        <v>164090767</v>
      </c>
      <c r="F9" s="724"/>
      <c r="G9" s="716">
        <f t="shared" si="0"/>
        <v>4635500</v>
      </c>
    </row>
    <row r="10" spans="1:7" ht="15.75" customHeight="1">
      <c r="A10" s="225" t="s">
        <v>906</v>
      </c>
      <c r="B10" s="714">
        <v>82589719</v>
      </c>
      <c r="C10" s="715" t="s">
        <v>904</v>
      </c>
      <c r="D10" s="714">
        <v>2354199</v>
      </c>
      <c r="E10" s="714">
        <v>75341204</v>
      </c>
      <c r="F10" s="724">
        <v>1016000</v>
      </c>
      <c r="G10" s="716">
        <f t="shared" si="0"/>
        <v>3370199</v>
      </c>
    </row>
    <row r="11" spans="1:7" ht="15.75" customHeight="1">
      <c r="A11" s="224" t="s">
        <v>907</v>
      </c>
      <c r="B11" s="714">
        <v>120022828</v>
      </c>
      <c r="C11" s="715" t="s">
        <v>904</v>
      </c>
      <c r="D11" s="714">
        <v>3429000</v>
      </c>
      <c r="E11" s="714">
        <v>106341576</v>
      </c>
      <c r="F11" s="724"/>
      <c r="G11" s="716">
        <f t="shared" si="0"/>
        <v>3429000</v>
      </c>
    </row>
    <row r="12" spans="1:7" ht="15.75" customHeight="1">
      <c r="A12" s="712" t="s">
        <v>908</v>
      </c>
      <c r="B12" s="714">
        <v>102273684</v>
      </c>
      <c r="C12" s="715" t="s">
        <v>910</v>
      </c>
      <c r="D12" s="714">
        <v>51982367</v>
      </c>
      <c r="E12" s="714">
        <v>53385906</v>
      </c>
      <c r="F12" s="724">
        <v>50291317</v>
      </c>
      <c r="G12" s="716">
        <f t="shared" si="0"/>
        <v>102273684</v>
      </c>
    </row>
    <row r="13" spans="1:7" ht="15.75" customHeight="1">
      <c r="A13" s="225" t="s">
        <v>909</v>
      </c>
      <c r="B13" s="714">
        <v>95946576</v>
      </c>
      <c r="C13" s="715" t="s">
        <v>904</v>
      </c>
      <c r="D13" s="714"/>
      <c r="E13" s="714">
        <v>100387544</v>
      </c>
      <c r="F13" s="724">
        <v>26006862</v>
      </c>
      <c r="G13" s="716">
        <f t="shared" si="0"/>
        <v>26006862</v>
      </c>
    </row>
    <row r="14" spans="1:7" ht="15.75" customHeight="1">
      <c r="A14" s="713" t="s">
        <v>931</v>
      </c>
      <c r="B14" s="714">
        <v>707673</v>
      </c>
      <c r="C14" s="715" t="s">
        <v>939</v>
      </c>
      <c r="D14" s="714"/>
      <c r="E14" s="714">
        <v>707673</v>
      </c>
      <c r="F14" s="724">
        <v>707673</v>
      </c>
      <c r="G14" s="716">
        <f t="shared" si="0"/>
        <v>707673</v>
      </c>
    </row>
    <row r="15" spans="1:7" ht="15.75" customHeight="1">
      <c r="A15" s="713" t="s">
        <v>925</v>
      </c>
      <c r="B15" s="714">
        <v>13740000</v>
      </c>
      <c r="C15" s="715" t="s">
        <v>939</v>
      </c>
      <c r="D15" s="714"/>
      <c r="E15" s="714">
        <v>13740000</v>
      </c>
      <c r="F15" s="724">
        <v>13740450</v>
      </c>
      <c r="G15" s="716">
        <f t="shared" si="0"/>
        <v>13740450</v>
      </c>
    </row>
    <row r="16" spans="1:7" ht="15.75" customHeight="1">
      <c r="A16" s="713" t="s">
        <v>927</v>
      </c>
      <c r="B16" s="714">
        <v>5715000</v>
      </c>
      <c r="C16" s="715" t="s">
        <v>938</v>
      </c>
      <c r="D16" s="714"/>
      <c r="E16" s="714">
        <v>7000000</v>
      </c>
      <c r="F16" s="724">
        <v>2286000</v>
      </c>
      <c r="G16" s="716">
        <f t="shared" si="0"/>
        <v>2286000</v>
      </c>
    </row>
    <row r="17" spans="1:7" ht="15.75" customHeight="1">
      <c r="A17" s="713" t="s">
        <v>928</v>
      </c>
      <c r="B17" s="714">
        <v>32229828</v>
      </c>
      <c r="C17" s="715" t="s">
        <v>939</v>
      </c>
      <c r="D17" s="714"/>
      <c r="E17" s="714">
        <v>32229828</v>
      </c>
      <c r="F17" s="724">
        <v>32229828</v>
      </c>
      <c r="G17" s="716">
        <f t="shared" si="0"/>
        <v>32229828</v>
      </c>
    </row>
    <row r="18" spans="1:7" ht="15.75" customHeight="1">
      <c r="A18" s="713" t="s">
        <v>929</v>
      </c>
      <c r="B18" s="714">
        <v>600000</v>
      </c>
      <c r="C18" s="715" t="s">
        <v>939</v>
      </c>
      <c r="D18" s="714"/>
      <c r="E18" s="714">
        <v>600000</v>
      </c>
      <c r="F18" s="724">
        <v>600000</v>
      </c>
      <c r="G18" s="716">
        <f t="shared" si="0"/>
        <v>600000</v>
      </c>
    </row>
    <row r="19" spans="1:7" ht="15.75" customHeight="1">
      <c r="A19" s="713" t="s">
        <v>932</v>
      </c>
      <c r="B19" s="714">
        <v>852254</v>
      </c>
      <c r="C19" s="715" t="s">
        <v>939</v>
      </c>
      <c r="D19" s="714"/>
      <c r="E19" s="714">
        <v>852254</v>
      </c>
      <c r="F19" s="724">
        <v>852254</v>
      </c>
      <c r="G19" s="716">
        <f t="shared" si="0"/>
        <v>852254</v>
      </c>
    </row>
    <row r="20" spans="1:7" ht="15.75" customHeight="1">
      <c r="A20" s="713" t="s">
        <v>933</v>
      </c>
      <c r="B20" s="714">
        <v>981850</v>
      </c>
      <c r="C20" s="715" t="s">
        <v>939</v>
      </c>
      <c r="D20" s="714"/>
      <c r="E20" s="714">
        <v>981850</v>
      </c>
      <c r="F20" s="714">
        <v>981850</v>
      </c>
      <c r="G20" s="716">
        <f t="shared" si="0"/>
        <v>981850</v>
      </c>
    </row>
    <row r="21" spans="1:7" ht="15.75" customHeight="1">
      <c r="A21" s="713" t="s">
        <v>940</v>
      </c>
      <c r="B21" s="714">
        <v>1187874</v>
      </c>
      <c r="C21" s="715" t="s">
        <v>939</v>
      </c>
      <c r="D21" s="714"/>
      <c r="E21" s="714">
        <v>2517010</v>
      </c>
      <c r="F21" s="714">
        <v>1187874</v>
      </c>
      <c r="G21" s="716">
        <f t="shared" si="0"/>
        <v>1187874</v>
      </c>
    </row>
    <row r="22" spans="1:7" ht="15.75" customHeight="1">
      <c r="A22" s="713" t="s">
        <v>941</v>
      </c>
      <c r="B22" s="714">
        <v>413780</v>
      </c>
      <c r="C22" s="715" t="s">
        <v>939</v>
      </c>
      <c r="D22" s="714"/>
      <c r="E22" s="714">
        <v>413780</v>
      </c>
      <c r="F22" s="714">
        <v>413780</v>
      </c>
      <c r="G22" s="716">
        <f t="shared" si="0"/>
        <v>413780</v>
      </c>
    </row>
    <row r="23" spans="1:7" ht="15.75" customHeight="1">
      <c r="A23" s="713" t="s">
        <v>942</v>
      </c>
      <c r="B23" s="714">
        <v>270275</v>
      </c>
      <c r="C23" s="715" t="s">
        <v>939</v>
      </c>
      <c r="D23" s="714"/>
      <c r="E23" s="714">
        <v>290795</v>
      </c>
      <c r="F23" s="714">
        <v>270275</v>
      </c>
      <c r="G23" s="716">
        <f t="shared" si="0"/>
        <v>270275</v>
      </c>
    </row>
    <row r="24" spans="1:7" ht="15.75" customHeight="1" thickBot="1">
      <c r="A24" s="723"/>
      <c r="B24" s="717"/>
      <c r="C24" s="718"/>
      <c r="D24" s="717"/>
      <c r="E24" s="717"/>
      <c r="F24" s="717"/>
      <c r="G24" s="719">
        <f t="shared" si="0"/>
        <v>0</v>
      </c>
    </row>
    <row r="25" spans="1:7" s="37" customFormat="1" ht="18" customHeight="1" thickBot="1">
      <c r="A25" s="72" t="s">
        <v>46</v>
      </c>
      <c r="B25" s="720">
        <f>SUM(B7:B24)</f>
        <v>1188624053</v>
      </c>
      <c r="C25" s="721"/>
      <c r="D25" s="720">
        <f>SUM(D7:D24)</f>
        <v>74822682</v>
      </c>
      <c r="E25" s="720">
        <f>SUM(E7:E24)</f>
        <v>849064923</v>
      </c>
      <c r="F25" s="720">
        <f>SUM(F7:F24)</f>
        <v>131096425</v>
      </c>
      <c r="G25" s="722">
        <f>SUM(G7:G24)</f>
        <v>205919107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4">
      <selection activeCell="F7" sqref="F7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87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39"/>
      <c r="B1" s="802" t="str">
        <f>CONCATENATE("4. melléklet ",Z_ALAPADATOK!A7," ",Z_ALAPADATOK!B7," ",Z_ALAPADATOK!C7," ",Z_ALAPADATOK!D7," ",Z_ALAPADATOK!E7," ",Z_ALAPADATOK!F7," ",Z_ALAPADATOK!G7," ",Z_ALAPADATOK!H7)</f>
        <v>4. melléklet a 9 / 2020. ( VII.10. ) önkormányzati rendelethez</v>
      </c>
      <c r="C1" s="802"/>
      <c r="D1" s="802"/>
      <c r="E1" s="802"/>
      <c r="F1" s="802"/>
      <c r="G1" s="802"/>
    </row>
    <row r="2" spans="1:7" ht="12.75">
      <c r="A2" s="339"/>
      <c r="B2" s="340"/>
      <c r="C2" s="340"/>
      <c r="D2" s="340"/>
      <c r="E2" s="340"/>
      <c r="F2" s="340"/>
      <c r="G2" s="340"/>
    </row>
    <row r="3" spans="1:7" ht="24.75" customHeight="1">
      <c r="A3" s="801" t="s">
        <v>517</v>
      </c>
      <c r="B3" s="801"/>
      <c r="C3" s="801"/>
      <c r="D3" s="801"/>
      <c r="E3" s="801"/>
      <c r="F3" s="801"/>
      <c r="G3" s="801"/>
    </row>
    <row r="4" spans="1:7" ht="23.25" customHeight="1" thickBot="1">
      <c r="A4" s="339"/>
      <c r="B4" s="340"/>
      <c r="C4" s="340"/>
      <c r="D4" s="340"/>
      <c r="E4" s="340"/>
      <c r="F4" s="340"/>
      <c r="G4" s="341" t="str">
        <f>'Z_3.sz.mell.'!G4</f>
        <v> Forintban!</v>
      </c>
    </row>
    <row r="5" spans="1:7" s="29" customFormat="1" ht="48.75" customHeight="1" thickBot="1">
      <c r="A5" s="342" t="s">
        <v>50</v>
      </c>
      <c r="B5" s="312" t="s">
        <v>48</v>
      </c>
      <c r="C5" s="312" t="s">
        <v>49</v>
      </c>
      <c r="D5" s="312" t="str">
        <f>+'Z_3.sz.mell.'!D5</f>
        <v>Felhasználás   2018. XII. 31-ig</v>
      </c>
      <c r="E5" s="312" t="str">
        <f>+CONCATENATE(LEFT(Z_ÖSSZEFÜGGÉSEK!A6,4),". évi",CHAR(10),"módosított előirányzat")</f>
        <v>2019. évi
módosított előirányzat</v>
      </c>
      <c r="F5" s="312" t="str">
        <f>+CONCATENATE("Teljesítés",CHAR(10),LEFT(Z_ÖSSZEFÜGGÉSEK!A6,4),". I. 1-től XII. 31-ig")</f>
        <v>Teljesítés
2019. I. 1-től XII. 31-ig</v>
      </c>
      <c r="G5" s="313" t="str">
        <f>+CONCATENATE("Összes teljesítés",CHAR(10),LEFT(Z_ÖSSZEFÜGGÉSEK!A6,4),". XII. 31-ig")</f>
        <v>Összes teljesítés
2019. XII. 31-ig</v>
      </c>
    </row>
    <row r="6" spans="1:7" s="33" customFormat="1" ht="15" customHeight="1" thickBot="1">
      <c r="A6" s="343" t="s">
        <v>385</v>
      </c>
      <c r="B6" s="344" t="s">
        <v>386</v>
      </c>
      <c r="C6" s="344" t="s">
        <v>387</v>
      </c>
      <c r="D6" s="344" t="s">
        <v>389</v>
      </c>
      <c r="E6" s="344" t="s">
        <v>388</v>
      </c>
      <c r="F6" s="344" t="s">
        <v>390</v>
      </c>
      <c r="G6" s="345" t="s">
        <v>443</v>
      </c>
    </row>
    <row r="7" spans="1:7" ht="15.75" customHeight="1">
      <c r="A7" s="38" t="s">
        <v>911</v>
      </c>
      <c r="B7" s="39">
        <v>135247627</v>
      </c>
      <c r="C7" s="226" t="s">
        <v>902</v>
      </c>
      <c r="D7" s="39">
        <v>5080000</v>
      </c>
      <c r="E7" s="39">
        <v>97316378</v>
      </c>
      <c r="F7" s="39">
        <v>75079679</v>
      </c>
      <c r="G7" s="40">
        <f>D7+F7</f>
        <v>80159679</v>
      </c>
    </row>
    <row r="8" spans="1:7" ht="15.75" customHeight="1">
      <c r="A8" s="38" t="s">
        <v>926</v>
      </c>
      <c r="B8" s="39">
        <v>750000</v>
      </c>
      <c r="C8" s="226" t="s">
        <v>939</v>
      </c>
      <c r="D8" s="39"/>
      <c r="E8" s="39">
        <v>750000</v>
      </c>
      <c r="F8" s="39">
        <v>750000</v>
      </c>
      <c r="G8" s="40">
        <f aca="true" t="shared" si="0" ref="G8:G25">D8+F8</f>
        <v>750000</v>
      </c>
    </row>
    <row r="9" spans="1:7" ht="15.75" customHeight="1">
      <c r="A9" s="38" t="s">
        <v>943</v>
      </c>
      <c r="B9" s="39">
        <v>7714126</v>
      </c>
      <c r="C9" s="226" t="s">
        <v>975</v>
      </c>
      <c r="D9" s="39"/>
      <c r="E9" s="39">
        <v>444500</v>
      </c>
      <c r="F9" s="39">
        <v>444500</v>
      </c>
      <c r="G9" s="40">
        <f t="shared" si="0"/>
        <v>444500</v>
      </c>
    </row>
    <row r="10" spans="1:7" ht="15.75" customHeight="1">
      <c r="A10" s="38" t="s">
        <v>934</v>
      </c>
      <c r="B10" s="39">
        <v>17828434</v>
      </c>
      <c r="C10" s="226" t="s">
        <v>944</v>
      </c>
      <c r="D10" s="39">
        <v>4699000</v>
      </c>
      <c r="E10" s="39">
        <v>15809000</v>
      </c>
      <c r="F10" s="39">
        <v>13129434</v>
      </c>
      <c r="G10" s="40">
        <f t="shared" si="0"/>
        <v>17828434</v>
      </c>
    </row>
    <row r="11" spans="1:7" ht="15.75" customHeight="1">
      <c r="A11" s="38" t="s">
        <v>936</v>
      </c>
      <c r="B11" s="39">
        <v>1300000</v>
      </c>
      <c r="C11" s="226" t="s">
        <v>939</v>
      </c>
      <c r="D11" s="39"/>
      <c r="E11" s="39">
        <v>1300000</v>
      </c>
      <c r="F11" s="39">
        <v>1300000</v>
      </c>
      <c r="G11" s="40">
        <f t="shared" si="0"/>
        <v>1300000</v>
      </c>
    </row>
    <row r="12" spans="1:7" ht="15.75" customHeight="1">
      <c r="A12" s="38" t="s">
        <v>935</v>
      </c>
      <c r="B12" s="39">
        <v>2631490</v>
      </c>
      <c r="C12" s="226" t="s">
        <v>939</v>
      </c>
      <c r="D12" s="39"/>
      <c r="E12" s="39">
        <v>2631490</v>
      </c>
      <c r="F12" s="39">
        <v>2631490</v>
      </c>
      <c r="G12" s="40">
        <f t="shared" si="0"/>
        <v>2631490</v>
      </c>
    </row>
    <row r="13" spans="1:7" ht="15.75" customHeight="1">
      <c r="A13" s="38" t="s">
        <v>937</v>
      </c>
      <c r="B13" s="39"/>
      <c r="C13" s="226"/>
      <c r="D13" s="39"/>
      <c r="E13" s="39">
        <v>1500000</v>
      </c>
      <c r="F13" s="39"/>
      <c r="G13" s="40">
        <f t="shared" si="0"/>
        <v>0</v>
      </c>
    </row>
    <row r="14" spans="1:7" ht="15.75" customHeight="1">
      <c r="A14" s="38" t="s">
        <v>930</v>
      </c>
      <c r="B14" s="39">
        <v>1224182</v>
      </c>
      <c r="C14" s="226" t="s">
        <v>939</v>
      </c>
      <c r="D14" s="39"/>
      <c r="E14" s="39">
        <v>1774000</v>
      </c>
      <c r="F14" s="39">
        <v>1224182</v>
      </c>
      <c r="G14" s="40">
        <f t="shared" si="0"/>
        <v>1224182</v>
      </c>
    </row>
    <row r="15" spans="1:7" ht="15.75" customHeight="1">
      <c r="A15" s="38"/>
      <c r="B15" s="39"/>
      <c r="C15" s="226"/>
      <c r="D15" s="39"/>
      <c r="E15" s="39"/>
      <c r="F15" s="39"/>
      <c r="G15" s="40">
        <f t="shared" si="0"/>
        <v>0</v>
      </c>
    </row>
    <row r="16" spans="1:7" ht="15.75" customHeight="1">
      <c r="A16" s="38"/>
      <c r="B16" s="39"/>
      <c r="C16" s="226"/>
      <c r="D16" s="39"/>
      <c r="E16" s="39"/>
      <c r="F16" s="39"/>
      <c r="G16" s="40">
        <f t="shared" si="0"/>
        <v>0</v>
      </c>
    </row>
    <row r="17" spans="1:7" ht="15.75" customHeight="1">
      <c r="A17" s="38"/>
      <c r="B17" s="39"/>
      <c r="C17" s="226"/>
      <c r="D17" s="39"/>
      <c r="E17" s="39"/>
      <c r="F17" s="39"/>
      <c r="G17" s="40">
        <f t="shared" si="0"/>
        <v>0</v>
      </c>
    </row>
    <row r="18" spans="1:7" ht="15.75" customHeight="1">
      <c r="A18" s="38"/>
      <c r="B18" s="39"/>
      <c r="C18" s="226"/>
      <c r="D18" s="39"/>
      <c r="E18" s="39"/>
      <c r="F18" s="39"/>
      <c r="G18" s="40">
        <f t="shared" si="0"/>
        <v>0</v>
      </c>
    </row>
    <row r="19" spans="1:7" ht="15.75" customHeight="1">
      <c r="A19" s="38"/>
      <c r="B19" s="39"/>
      <c r="C19" s="226"/>
      <c r="D19" s="39"/>
      <c r="E19" s="39"/>
      <c r="F19" s="39"/>
      <c r="G19" s="40">
        <f t="shared" si="0"/>
        <v>0</v>
      </c>
    </row>
    <row r="20" spans="1:7" ht="15.75" customHeight="1">
      <c r="A20" s="38"/>
      <c r="B20" s="39"/>
      <c r="C20" s="226"/>
      <c r="D20" s="39"/>
      <c r="E20" s="39"/>
      <c r="F20" s="39"/>
      <c r="G20" s="40">
        <f t="shared" si="0"/>
        <v>0</v>
      </c>
    </row>
    <row r="21" spans="1:7" ht="15.75" customHeight="1">
      <c r="A21" s="38"/>
      <c r="B21" s="39"/>
      <c r="C21" s="226"/>
      <c r="D21" s="39"/>
      <c r="E21" s="39"/>
      <c r="F21" s="39"/>
      <c r="G21" s="40">
        <f t="shared" si="0"/>
        <v>0</v>
      </c>
    </row>
    <row r="22" spans="1:7" ht="15.75" customHeight="1">
      <c r="A22" s="38"/>
      <c r="B22" s="39"/>
      <c r="C22" s="226"/>
      <c r="D22" s="39"/>
      <c r="E22" s="39"/>
      <c r="F22" s="39"/>
      <c r="G22" s="40">
        <f t="shared" si="0"/>
        <v>0</v>
      </c>
    </row>
    <row r="23" spans="1:7" ht="15.75" customHeight="1">
      <c r="A23" s="38"/>
      <c r="B23" s="39"/>
      <c r="C23" s="226"/>
      <c r="D23" s="39"/>
      <c r="E23" s="39"/>
      <c r="F23" s="39"/>
      <c r="G23" s="40">
        <f t="shared" si="0"/>
        <v>0</v>
      </c>
    </row>
    <row r="24" spans="1:7" ht="15.75" customHeight="1">
      <c r="A24" s="38"/>
      <c r="B24" s="39"/>
      <c r="C24" s="226"/>
      <c r="D24" s="39"/>
      <c r="E24" s="39"/>
      <c r="F24" s="39"/>
      <c r="G24" s="40">
        <f t="shared" si="0"/>
        <v>0</v>
      </c>
    </row>
    <row r="25" spans="1:7" ht="15.75" customHeight="1" thickBot="1">
      <c r="A25" s="41"/>
      <c r="B25" s="42"/>
      <c r="C25" s="227"/>
      <c r="D25" s="42"/>
      <c r="E25" s="42"/>
      <c r="F25" s="42"/>
      <c r="G25" s="43">
        <f t="shared" si="0"/>
        <v>0</v>
      </c>
    </row>
    <row r="26" spans="1:7" s="37" customFormat="1" ht="18" customHeight="1" thickBot="1">
      <c r="A26" s="72" t="s">
        <v>46</v>
      </c>
      <c r="B26" s="73">
        <f>SUM(B7:B25)</f>
        <v>166695859</v>
      </c>
      <c r="C26" s="54"/>
      <c r="D26" s="73">
        <f>SUM(D7:D25)</f>
        <v>9779000</v>
      </c>
      <c r="E26" s="73">
        <f>SUM(E7:E25)</f>
        <v>121525368</v>
      </c>
      <c r="F26" s="73">
        <f>SUM(F7:F25)</f>
        <v>94559285</v>
      </c>
      <c r="G26" s="44">
        <f>SUM(G7:G25)</f>
        <v>104338285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3"/>
  <sheetViews>
    <sheetView tabSelected="1" zoomScale="120" zoomScaleNormal="120" zoomScaleSheetLayoutView="100" workbookViewId="0" topLeftCell="A49">
      <selection activeCell="J56" sqref="J56:J77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806"/>
      <c r="B1" s="806"/>
      <c r="C1" s="806"/>
      <c r="D1" s="806"/>
      <c r="E1" s="806"/>
      <c r="F1" s="806"/>
      <c r="G1" s="806"/>
      <c r="H1" s="806"/>
      <c r="I1" s="806"/>
      <c r="J1" s="804" t="s">
        <v>924</v>
      </c>
    </row>
    <row r="2" spans="1:10" ht="15.75">
      <c r="A2" s="809" t="s">
        <v>827</v>
      </c>
      <c r="B2" s="809"/>
      <c r="C2" s="809"/>
      <c r="D2" s="809"/>
      <c r="E2" s="809"/>
      <c r="F2" s="809"/>
      <c r="G2" s="809"/>
      <c r="H2" s="809"/>
      <c r="I2" s="809"/>
      <c r="J2" s="804"/>
    </row>
    <row r="3" spans="1:10" ht="14.25" thickBot="1">
      <c r="A3" s="628"/>
      <c r="B3" s="628"/>
      <c r="C3" s="628"/>
      <c r="D3" s="628"/>
      <c r="E3" s="628"/>
      <c r="F3" s="628"/>
      <c r="G3" s="628"/>
      <c r="H3" s="810" t="str">
        <f>H13</f>
        <v>Forintban!</v>
      </c>
      <c r="I3" s="810"/>
      <c r="J3" s="804"/>
    </row>
    <row r="4" spans="1:10" ht="42.75" thickBot="1">
      <c r="A4" s="811" t="s">
        <v>89</v>
      </c>
      <c r="B4" s="812"/>
      <c r="C4" s="812"/>
      <c r="D4" s="812"/>
      <c r="E4" s="812"/>
      <c r="F4" s="813"/>
      <c r="G4" s="629" t="s">
        <v>448</v>
      </c>
      <c r="H4" s="629" t="s">
        <v>447</v>
      </c>
      <c r="I4" s="629" t="str">
        <f>CONCATENATE("Összes teljesítés ",Z_TARTALOMJEGYZÉK!A1,". XII.31 -ig")</f>
        <v>Összes teljesítés 2019. XII.31 -ig</v>
      </c>
      <c r="J4" s="804"/>
    </row>
    <row r="5" spans="1:10" ht="12.75">
      <c r="A5" s="814"/>
      <c r="B5" s="815"/>
      <c r="C5" s="815"/>
      <c r="D5" s="815"/>
      <c r="E5" s="815"/>
      <c r="F5" s="816"/>
      <c r="G5" s="630">
        <v>0</v>
      </c>
      <c r="H5" s="631">
        <v>0</v>
      </c>
      <c r="I5" s="631">
        <v>0</v>
      </c>
      <c r="J5" s="804"/>
    </row>
    <row r="6" spans="1:10" ht="13.5" thickBot="1">
      <c r="A6" s="817"/>
      <c r="B6" s="818"/>
      <c r="C6" s="818"/>
      <c r="D6" s="818"/>
      <c r="E6" s="818"/>
      <c r="F6" s="819"/>
      <c r="G6" s="632"/>
      <c r="H6" s="633"/>
      <c r="I6" s="633"/>
      <c r="J6" s="804"/>
    </row>
    <row r="7" spans="1:10" ht="13.5" thickBot="1">
      <c r="A7" s="820" t="s">
        <v>512</v>
      </c>
      <c r="B7" s="821"/>
      <c r="C7" s="821"/>
      <c r="D7" s="821"/>
      <c r="E7" s="821"/>
      <c r="F7" s="822"/>
      <c r="G7" s="634">
        <f>SUM(G5:G6)</f>
        <v>0</v>
      </c>
      <c r="H7" s="634">
        <f>SUM(H5:H6)</f>
        <v>0</v>
      </c>
      <c r="I7" s="634">
        <f>SUM(I5:I6)</f>
        <v>0</v>
      </c>
      <c r="J7" s="804"/>
    </row>
    <row r="8" spans="1:10" ht="12.75">
      <c r="A8" s="653"/>
      <c r="B8" s="653"/>
      <c r="C8" s="653"/>
      <c r="D8" s="653"/>
      <c r="E8" s="653"/>
      <c r="F8" s="653"/>
      <c r="G8" s="654"/>
      <c r="H8" s="654"/>
      <c r="I8" s="654"/>
      <c r="J8" s="804"/>
    </row>
    <row r="9" spans="1:10" ht="15.75">
      <c r="A9" s="807" t="s">
        <v>518</v>
      </c>
      <c r="B9" s="807"/>
      <c r="C9" s="807"/>
      <c r="D9" s="807"/>
      <c r="E9" s="807"/>
      <c r="F9" s="807"/>
      <c r="G9" s="807"/>
      <c r="H9" s="807"/>
      <c r="I9" s="807"/>
      <c r="J9" s="804"/>
    </row>
    <row r="10" spans="1:10" ht="15.75">
      <c r="A10" s="808" t="s">
        <v>824</v>
      </c>
      <c r="B10" s="807"/>
      <c r="C10" s="807"/>
      <c r="D10" s="807"/>
      <c r="E10" s="807"/>
      <c r="F10" s="807"/>
      <c r="G10" s="807"/>
      <c r="H10" s="807"/>
      <c r="I10" s="807"/>
      <c r="J10" s="804"/>
    </row>
    <row r="11" spans="1:10" ht="15.75">
      <c r="A11" s="627"/>
      <c r="B11" s="626"/>
      <c r="C11" s="626"/>
      <c r="D11" s="626"/>
      <c r="E11" s="626"/>
      <c r="F11" s="626"/>
      <c r="G11" s="626"/>
      <c r="H11" s="626"/>
      <c r="I11" s="626"/>
      <c r="J11" s="804"/>
    </row>
    <row r="12" spans="1:10" ht="14.25">
      <c r="A12" s="823" t="s">
        <v>825</v>
      </c>
      <c r="B12" s="823"/>
      <c r="C12" s="824" t="s">
        <v>912</v>
      </c>
      <c r="D12" s="825"/>
      <c r="E12" s="825"/>
      <c r="F12" s="825"/>
      <c r="G12" s="825"/>
      <c r="H12" s="825"/>
      <c r="I12" s="825"/>
      <c r="J12" s="804"/>
    </row>
    <row r="13" spans="1:10" ht="15.75" thickBot="1">
      <c r="A13" s="635"/>
      <c r="B13" s="635"/>
      <c r="C13" s="635"/>
      <c r="D13" s="635"/>
      <c r="E13" s="635"/>
      <c r="F13" s="635"/>
      <c r="G13" s="635"/>
      <c r="H13" s="826" t="s">
        <v>810</v>
      </c>
      <c r="I13" s="826"/>
      <c r="J13" s="804"/>
    </row>
    <row r="14" spans="1:10" ht="13.5" thickBot="1">
      <c r="A14" s="827" t="s">
        <v>83</v>
      </c>
      <c r="B14" s="830" t="s">
        <v>444</v>
      </c>
      <c r="C14" s="831"/>
      <c r="D14" s="831"/>
      <c r="E14" s="831"/>
      <c r="F14" s="832"/>
      <c r="G14" s="832"/>
      <c r="H14" s="832"/>
      <c r="I14" s="833"/>
      <c r="J14" s="804"/>
    </row>
    <row r="15" spans="1:10" ht="13.5" thickBot="1">
      <c r="A15" s="828"/>
      <c r="B15" s="834" t="s">
        <v>832</v>
      </c>
      <c r="C15" s="837" t="s">
        <v>826</v>
      </c>
      <c r="D15" s="838"/>
      <c r="E15" s="838"/>
      <c r="F15" s="838"/>
      <c r="G15" s="838"/>
      <c r="H15" s="838"/>
      <c r="I15" s="839"/>
      <c r="J15" s="804"/>
    </row>
    <row r="16" spans="1:10" ht="48.75" thickBot="1">
      <c r="A16" s="828"/>
      <c r="B16" s="835"/>
      <c r="C16" s="840" t="str">
        <f>CONCATENATE(Z_TARTALOMJEGYZÉK!$A$1,".  előtti forrás, kiadás")</f>
        <v>2019.  előtti forrás, kiadás</v>
      </c>
      <c r="D16" s="636" t="s">
        <v>446</v>
      </c>
      <c r="E16" s="636" t="s">
        <v>447</v>
      </c>
      <c r="F16" s="637" t="str">
        <f>CONCATENATE("Összes teljesítés ",Z_TARTALOMJEGYZÉK!$A$1,". XII.31 -ig")</f>
        <v>Összes teljesítés 2019. XII.31 -ig</v>
      </c>
      <c r="G16" s="637" t="s">
        <v>446</v>
      </c>
      <c r="H16" s="637" t="s">
        <v>447</v>
      </c>
      <c r="I16" s="637" t="str">
        <f>CONCATENATE("Összes teljesítés ",Z_TARTALOMJEGYZÉK!$A$1,". XII.31 -ig")</f>
        <v>Összes teljesítés 2019. XII.31 -ig</v>
      </c>
      <c r="J16" s="804"/>
    </row>
    <row r="17" spans="1:10" ht="11.25" customHeight="1" thickBot="1">
      <c r="A17" s="829"/>
      <c r="B17" s="836"/>
      <c r="C17" s="841"/>
      <c r="D17" s="842" t="str">
        <f>CONCATENATE(Z_TARTALOMJEGYZÉK!$A$1,". évi")</f>
        <v>2019. évi</v>
      </c>
      <c r="E17" s="843"/>
      <c r="F17" s="844"/>
      <c r="G17" s="842" t="str">
        <f>CONCATENATE(Z_TARTALOMJEGYZÉK!$A$1,". után")</f>
        <v>2019. után</v>
      </c>
      <c r="H17" s="845"/>
      <c r="I17" s="844"/>
      <c r="J17" s="804"/>
    </row>
    <row r="18" spans="1:10" ht="13.5" thickBot="1">
      <c r="A18" s="638" t="s">
        <v>385</v>
      </c>
      <c r="B18" s="639" t="s">
        <v>831</v>
      </c>
      <c r="C18" s="640" t="s">
        <v>387</v>
      </c>
      <c r="D18" s="641" t="s">
        <v>389</v>
      </c>
      <c r="E18" s="641" t="s">
        <v>388</v>
      </c>
      <c r="F18" s="640" t="s">
        <v>390</v>
      </c>
      <c r="G18" s="640" t="s">
        <v>391</v>
      </c>
      <c r="H18" s="640" t="s">
        <v>392</v>
      </c>
      <c r="I18" s="642" t="s">
        <v>830</v>
      </c>
      <c r="J18" s="804"/>
    </row>
    <row r="19" spans="1:10" ht="12.75">
      <c r="A19" s="643" t="s">
        <v>84</v>
      </c>
      <c r="B19" s="669">
        <v>1207491</v>
      </c>
      <c r="C19" s="655"/>
      <c r="D19" s="656"/>
      <c r="E19" s="656">
        <v>1207491</v>
      </c>
      <c r="F19" s="666">
        <v>1207491</v>
      </c>
      <c r="G19" s="656"/>
      <c r="H19" s="657"/>
      <c r="I19" s="658">
        <f aca="true" t="shared" si="0" ref="I19:I24">C19+F19</f>
        <v>1207491</v>
      </c>
      <c r="J19" s="804"/>
    </row>
    <row r="20" spans="1:10" ht="12.75">
      <c r="A20" s="644" t="s">
        <v>95</v>
      </c>
      <c r="B20" s="670">
        <f>C20+E20+H20</f>
        <v>0</v>
      </c>
      <c r="C20" s="659"/>
      <c r="D20" s="659"/>
      <c r="E20" s="660"/>
      <c r="F20" s="667"/>
      <c r="G20" s="659"/>
      <c r="H20" s="660"/>
      <c r="I20" s="661">
        <f t="shared" si="0"/>
        <v>0</v>
      </c>
      <c r="J20" s="804"/>
    </row>
    <row r="21" spans="1:10" ht="12.75">
      <c r="A21" s="645" t="s">
        <v>85</v>
      </c>
      <c r="B21" s="671">
        <f>C21+E21+H21</f>
        <v>110396273</v>
      </c>
      <c r="C21" s="660">
        <v>110396273</v>
      </c>
      <c r="D21" s="660"/>
      <c r="E21" s="660"/>
      <c r="F21" s="668"/>
      <c r="G21" s="660"/>
      <c r="H21" s="660"/>
      <c r="I21" s="661">
        <f t="shared" si="0"/>
        <v>110396273</v>
      </c>
      <c r="J21" s="804"/>
    </row>
    <row r="22" spans="1:10" ht="12.75">
      <c r="A22" s="645" t="s">
        <v>96</v>
      </c>
      <c r="B22" s="671">
        <f>C22+E22+H22</f>
        <v>0</v>
      </c>
      <c r="C22" s="660"/>
      <c r="D22" s="660"/>
      <c r="E22" s="660"/>
      <c r="F22" s="668"/>
      <c r="G22" s="660"/>
      <c r="H22" s="660"/>
      <c r="I22" s="661">
        <f t="shared" si="0"/>
        <v>0</v>
      </c>
      <c r="J22" s="804"/>
    </row>
    <row r="23" spans="1:10" ht="12.75">
      <c r="A23" s="645" t="s">
        <v>86</v>
      </c>
      <c r="B23" s="671">
        <f>C23+E23+H23</f>
        <v>0</v>
      </c>
      <c r="C23" s="660"/>
      <c r="D23" s="660"/>
      <c r="E23" s="660"/>
      <c r="F23" s="668"/>
      <c r="G23" s="660"/>
      <c r="H23" s="660"/>
      <c r="I23" s="661">
        <f t="shared" si="0"/>
        <v>0</v>
      </c>
      <c r="J23" s="804"/>
    </row>
    <row r="24" spans="1:10" ht="13.5" thickBot="1">
      <c r="A24" s="645" t="s">
        <v>87</v>
      </c>
      <c r="B24" s="671">
        <f>C24+E24+H24</f>
        <v>0</v>
      </c>
      <c r="C24" s="660"/>
      <c r="D24" s="660"/>
      <c r="E24" s="660"/>
      <c r="F24" s="668"/>
      <c r="G24" s="660"/>
      <c r="H24" s="660"/>
      <c r="I24" s="661">
        <f t="shared" si="0"/>
        <v>0</v>
      </c>
      <c r="J24" s="804"/>
    </row>
    <row r="25" spans="1:10" ht="13.5" thickBot="1">
      <c r="A25" s="646" t="s">
        <v>88</v>
      </c>
      <c r="B25" s="672">
        <f aca="true" t="shared" si="1" ref="B25:I25">B19+SUM(B21:B24)</f>
        <v>111603764</v>
      </c>
      <c r="C25" s="662">
        <f t="shared" si="1"/>
        <v>110396273</v>
      </c>
      <c r="D25" s="662">
        <f t="shared" si="1"/>
        <v>0</v>
      </c>
      <c r="E25" s="662">
        <f t="shared" si="1"/>
        <v>1207491</v>
      </c>
      <c r="F25" s="662">
        <f t="shared" si="1"/>
        <v>1207491</v>
      </c>
      <c r="G25" s="662">
        <f t="shared" si="1"/>
        <v>0</v>
      </c>
      <c r="H25" s="662">
        <f t="shared" si="1"/>
        <v>0</v>
      </c>
      <c r="I25" s="663">
        <f t="shared" si="1"/>
        <v>111603764</v>
      </c>
      <c r="J25" s="804"/>
    </row>
    <row r="26" spans="1:10" ht="12.75">
      <c r="A26" s="647" t="s">
        <v>91</v>
      </c>
      <c r="B26" s="669">
        <f>C26+E26+H26</f>
        <v>705300</v>
      </c>
      <c r="C26" s="656"/>
      <c r="D26" s="656">
        <v>705300</v>
      </c>
      <c r="E26" s="656">
        <v>705300</v>
      </c>
      <c r="F26" s="656">
        <v>705300</v>
      </c>
      <c r="G26" s="656"/>
      <c r="H26" s="656"/>
      <c r="I26" s="658">
        <f>C26+F26</f>
        <v>705300</v>
      </c>
      <c r="J26" s="804"/>
    </row>
    <row r="27" spans="1:10" ht="12.75">
      <c r="A27" s="648" t="s">
        <v>92</v>
      </c>
      <c r="B27" s="671">
        <f>C27+E27+H27</f>
        <v>102273684</v>
      </c>
      <c r="C27" s="660">
        <v>51982367</v>
      </c>
      <c r="D27" s="660">
        <v>50291317</v>
      </c>
      <c r="E27" s="660">
        <v>50291317</v>
      </c>
      <c r="F27" s="660">
        <v>50291317</v>
      </c>
      <c r="G27" s="660"/>
      <c r="H27" s="660"/>
      <c r="I27" s="661">
        <f>C27+F27</f>
        <v>102273684</v>
      </c>
      <c r="J27" s="804"/>
    </row>
    <row r="28" spans="1:10" ht="12.75">
      <c r="A28" s="648" t="s">
        <v>93</v>
      </c>
      <c r="B28" s="671">
        <v>8624780</v>
      </c>
      <c r="C28" s="660">
        <v>5745000</v>
      </c>
      <c r="D28" s="660">
        <v>2771920</v>
      </c>
      <c r="E28" s="660">
        <v>2879780</v>
      </c>
      <c r="F28" s="660">
        <v>2879780</v>
      </c>
      <c r="G28" s="660"/>
      <c r="H28" s="660"/>
      <c r="I28" s="661">
        <f>C28+F28</f>
        <v>8624780</v>
      </c>
      <c r="J28" s="804"/>
    </row>
    <row r="29" spans="1:10" ht="12.75">
      <c r="A29" s="648" t="s">
        <v>94</v>
      </c>
      <c r="B29" s="671">
        <f>C29+E29+H29</f>
        <v>0</v>
      </c>
      <c r="C29" s="660"/>
      <c r="D29" s="660"/>
      <c r="E29" s="660"/>
      <c r="F29" s="660"/>
      <c r="G29" s="660"/>
      <c r="H29" s="660"/>
      <c r="I29" s="661">
        <f>C29+F29</f>
        <v>0</v>
      </c>
      <c r="J29" s="804"/>
    </row>
    <row r="30" spans="1:10" ht="13.5" thickBot="1">
      <c r="A30" s="649"/>
      <c r="B30" s="673">
        <f>C30+E30+H30</f>
        <v>0</v>
      </c>
      <c r="C30" s="664"/>
      <c r="D30" s="664"/>
      <c r="E30" s="660"/>
      <c r="F30" s="664"/>
      <c r="G30" s="664"/>
      <c r="H30" s="660"/>
      <c r="I30" s="665">
        <f>C30+F30</f>
        <v>0</v>
      </c>
      <c r="J30" s="804"/>
    </row>
    <row r="31" spans="1:10" ht="13.5" thickBot="1">
      <c r="A31" s="650" t="s">
        <v>74</v>
      </c>
      <c r="B31" s="672">
        <f aca="true" t="shared" si="2" ref="B31:I31">SUM(B26:B30)</f>
        <v>111603764</v>
      </c>
      <c r="C31" s="662">
        <f t="shared" si="2"/>
        <v>57727367</v>
      </c>
      <c r="D31" s="662">
        <f t="shared" si="2"/>
        <v>53768537</v>
      </c>
      <c r="E31" s="662">
        <f t="shared" si="2"/>
        <v>53876397</v>
      </c>
      <c r="F31" s="662">
        <f t="shared" si="2"/>
        <v>53876397</v>
      </c>
      <c r="G31" s="662">
        <f t="shared" si="2"/>
        <v>0</v>
      </c>
      <c r="H31" s="662">
        <f t="shared" si="2"/>
        <v>0</v>
      </c>
      <c r="I31" s="663">
        <f t="shared" si="2"/>
        <v>111603764</v>
      </c>
      <c r="J31" s="804"/>
    </row>
    <row r="32" spans="1:10" ht="12.75">
      <c r="A32" s="846" t="s">
        <v>513</v>
      </c>
      <c r="B32" s="846"/>
      <c r="C32" s="846"/>
      <c r="D32" s="846"/>
      <c r="E32" s="846"/>
      <c r="F32" s="846"/>
      <c r="G32" s="846"/>
      <c r="H32" s="846"/>
      <c r="I32" s="846"/>
      <c r="J32" s="804"/>
    </row>
    <row r="33" spans="1:10" ht="12.75">
      <c r="A33" s="651"/>
      <c r="B33" s="651"/>
      <c r="C33" s="651"/>
      <c r="D33" s="651"/>
      <c r="E33" s="651"/>
      <c r="F33" s="651"/>
      <c r="G33" s="651"/>
      <c r="H33" s="651"/>
      <c r="I33" s="651"/>
      <c r="J33" s="804"/>
    </row>
    <row r="34" spans="1:10" ht="14.25" customHeight="1">
      <c r="A34" s="823" t="s">
        <v>828</v>
      </c>
      <c r="B34" s="823"/>
      <c r="C34" s="824" t="s">
        <v>913</v>
      </c>
      <c r="D34" s="825"/>
      <c r="E34" s="825"/>
      <c r="F34" s="825"/>
      <c r="G34" s="825"/>
      <c r="H34" s="825"/>
      <c r="I34" s="825"/>
      <c r="J34" s="804" t="s">
        <v>924</v>
      </c>
    </row>
    <row r="35" spans="1:10" ht="15.75" thickBot="1">
      <c r="A35" s="635"/>
      <c r="B35" s="635"/>
      <c r="C35" s="635"/>
      <c r="D35" s="635"/>
      <c r="E35" s="635"/>
      <c r="F35" s="635"/>
      <c r="G35" s="635"/>
      <c r="H35" s="826" t="s">
        <v>810</v>
      </c>
      <c r="I35" s="826"/>
      <c r="J35" s="804"/>
    </row>
    <row r="36" spans="1:10" ht="13.5" customHeight="1" thickBot="1">
      <c r="A36" s="827" t="s">
        <v>83</v>
      </c>
      <c r="B36" s="830" t="s">
        <v>444</v>
      </c>
      <c r="C36" s="831"/>
      <c r="D36" s="831"/>
      <c r="E36" s="831"/>
      <c r="F36" s="832"/>
      <c r="G36" s="832"/>
      <c r="H36" s="832"/>
      <c r="I36" s="833"/>
      <c r="J36" s="804"/>
    </row>
    <row r="37" spans="1:10" ht="13.5" customHeight="1" thickBot="1">
      <c r="A37" s="828"/>
      <c r="B37" s="834" t="str">
        <f>B15</f>
        <v>Módosítás utáni összes forrás, kiadás</v>
      </c>
      <c r="C37" s="837" t="s">
        <v>826</v>
      </c>
      <c r="D37" s="838"/>
      <c r="E37" s="838"/>
      <c r="F37" s="838"/>
      <c r="G37" s="838"/>
      <c r="H37" s="838"/>
      <c r="I37" s="839"/>
      <c r="J37" s="804"/>
    </row>
    <row r="38" spans="1:10" ht="48.75" thickBot="1">
      <c r="A38" s="828"/>
      <c r="B38" s="835"/>
      <c r="C38" s="840" t="str">
        <f>CONCATENATE(Z_TARTALOMJEGYZÉK!$A$1,".  előtti forrás, kiadás")</f>
        <v>2019.  előtti forrás, kiadás</v>
      </c>
      <c r="D38" s="636" t="s">
        <v>446</v>
      </c>
      <c r="E38" s="636" t="s">
        <v>447</v>
      </c>
      <c r="F38" s="637" t="str">
        <f>CONCATENATE("Összes teljesítés ",Z_TARTALOMJEGYZÉK!$A$1,". XII.31 -ig")</f>
        <v>Összes teljesítés 2019. XII.31 -ig</v>
      </c>
      <c r="G38" s="637" t="s">
        <v>446</v>
      </c>
      <c r="H38" s="637" t="s">
        <v>447</v>
      </c>
      <c r="I38" s="637" t="str">
        <f>CONCATENATE("Összes teljesítés ",Z_TARTALOMJEGYZÉK!$A$1,". XII.31 -ig")</f>
        <v>Összes teljesítés 2019. XII.31 -ig</v>
      </c>
      <c r="J38" s="804"/>
    </row>
    <row r="39" spans="1:10" ht="13.5" thickBot="1">
      <c r="A39" s="829"/>
      <c r="B39" s="836"/>
      <c r="C39" s="841"/>
      <c r="D39" s="842" t="str">
        <f>CONCATENATE(Z_TARTALOMJEGYZÉK!$A$1,". évi")</f>
        <v>2019. évi</v>
      </c>
      <c r="E39" s="843"/>
      <c r="F39" s="844"/>
      <c r="G39" s="842" t="str">
        <f>CONCATENATE(Z_TARTALOMJEGYZÉK!$A$1,". után")</f>
        <v>2019. után</v>
      </c>
      <c r="H39" s="845"/>
      <c r="I39" s="844"/>
      <c r="J39" s="804"/>
    </row>
    <row r="40" spans="1:10" ht="13.5" thickBot="1">
      <c r="A40" s="638" t="s">
        <v>385</v>
      </c>
      <c r="B40" s="639" t="s">
        <v>831</v>
      </c>
      <c r="C40" s="640" t="s">
        <v>387</v>
      </c>
      <c r="D40" s="641" t="s">
        <v>389</v>
      </c>
      <c r="E40" s="641" t="s">
        <v>388</v>
      </c>
      <c r="F40" s="640" t="s">
        <v>390</v>
      </c>
      <c r="G40" s="640" t="s">
        <v>391</v>
      </c>
      <c r="H40" s="640" t="s">
        <v>392</v>
      </c>
      <c r="I40" s="642" t="s">
        <v>830</v>
      </c>
      <c r="J40" s="804"/>
    </row>
    <row r="41" spans="1:10" ht="12.75">
      <c r="A41" s="643" t="s">
        <v>84</v>
      </c>
      <c r="B41" s="669">
        <f aca="true" t="shared" si="3" ref="B41:B46">C41+E41+H41</f>
        <v>110480</v>
      </c>
      <c r="C41" s="655">
        <v>110480</v>
      </c>
      <c r="D41" s="656"/>
      <c r="E41" s="656"/>
      <c r="F41" s="666"/>
      <c r="G41" s="656"/>
      <c r="H41" s="657"/>
      <c r="I41" s="658">
        <f aca="true" t="shared" si="4" ref="I41:I46">C41+F41</f>
        <v>110480</v>
      </c>
      <c r="J41" s="804"/>
    </row>
    <row r="42" spans="1:10" ht="12.75">
      <c r="A42" s="644" t="s">
        <v>95</v>
      </c>
      <c r="B42" s="670">
        <f t="shared" si="3"/>
        <v>0</v>
      </c>
      <c r="C42" s="659"/>
      <c r="D42" s="659"/>
      <c r="E42" s="660"/>
      <c r="F42" s="667"/>
      <c r="G42" s="659"/>
      <c r="H42" s="660"/>
      <c r="I42" s="661">
        <f t="shared" si="4"/>
        <v>0</v>
      </c>
      <c r="J42" s="804"/>
    </row>
    <row r="43" spans="1:10" ht="12.75">
      <c r="A43" s="645" t="s">
        <v>85</v>
      </c>
      <c r="B43" s="671">
        <f t="shared" si="3"/>
        <v>100387544</v>
      </c>
      <c r="C43" s="660">
        <v>100387544</v>
      </c>
      <c r="D43" s="660"/>
      <c r="E43" s="660"/>
      <c r="F43" s="668"/>
      <c r="G43" s="660"/>
      <c r="H43" s="660"/>
      <c r="I43" s="661">
        <f t="shared" si="4"/>
        <v>100387544</v>
      </c>
      <c r="J43" s="804"/>
    </row>
    <row r="44" spans="1:10" ht="12.75">
      <c r="A44" s="645" t="s">
        <v>96</v>
      </c>
      <c r="B44" s="671">
        <f t="shared" si="3"/>
        <v>0</v>
      </c>
      <c r="C44" s="660"/>
      <c r="D44" s="660"/>
      <c r="E44" s="660"/>
      <c r="F44" s="668"/>
      <c r="G44" s="660"/>
      <c r="H44" s="660"/>
      <c r="I44" s="661">
        <f t="shared" si="4"/>
        <v>0</v>
      </c>
      <c r="J44" s="804"/>
    </row>
    <row r="45" spans="1:10" ht="12.75">
      <c r="A45" s="645" t="s">
        <v>86</v>
      </c>
      <c r="B45" s="671">
        <f t="shared" si="3"/>
        <v>0</v>
      </c>
      <c r="C45" s="660"/>
      <c r="D45" s="660"/>
      <c r="E45" s="660"/>
      <c r="F45" s="668"/>
      <c r="G45" s="660"/>
      <c r="H45" s="660"/>
      <c r="I45" s="661">
        <f t="shared" si="4"/>
        <v>0</v>
      </c>
      <c r="J45" s="804"/>
    </row>
    <row r="46" spans="1:10" ht="13.5" thickBot="1">
      <c r="A46" s="645" t="s">
        <v>87</v>
      </c>
      <c r="B46" s="671">
        <f t="shared" si="3"/>
        <v>0</v>
      </c>
      <c r="C46" s="660"/>
      <c r="D46" s="660"/>
      <c r="E46" s="660"/>
      <c r="F46" s="668"/>
      <c r="G46" s="660"/>
      <c r="H46" s="660"/>
      <c r="I46" s="661">
        <f t="shared" si="4"/>
        <v>0</v>
      </c>
      <c r="J46" s="804"/>
    </row>
    <row r="47" spans="1:10" ht="13.5" thickBot="1">
      <c r="A47" s="646" t="s">
        <v>88</v>
      </c>
      <c r="B47" s="672">
        <f aca="true" t="shared" si="5" ref="B47:I47">B41+SUM(B43:B46)</f>
        <v>100498024</v>
      </c>
      <c r="C47" s="662">
        <f t="shared" si="5"/>
        <v>100498024</v>
      </c>
      <c r="D47" s="662">
        <f t="shared" si="5"/>
        <v>0</v>
      </c>
      <c r="E47" s="662">
        <f t="shared" si="5"/>
        <v>0</v>
      </c>
      <c r="F47" s="662">
        <f t="shared" si="5"/>
        <v>0</v>
      </c>
      <c r="G47" s="662">
        <f t="shared" si="5"/>
        <v>0</v>
      </c>
      <c r="H47" s="662">
        <f t="shared" si="5"/>
        <v>0</v>
      </c>
      <c r="I47" s="663">
        <f t="shared" si="5"/>
        <v>100498024</v>
      </c>
      <c r="J47" s="804"/>
    </row>
    <row r="48" spans="1:10" ht="12.75">
      <c r="A48" s="647" t="s">
        <v>91</v>
      </c>
      <c r="B48" s="669">
        <f>C48+E48+H48</f>
        <v>0</v>
      </c>
      <c r="C48" s="656"/>
      <c r="D48" s="656"/>
      <c r="E48" s="656"/>
      <c r="F48" s="656"/>
      <c r="G48" s="656"/>
      <c r="H48" s="656"/>
      <c r="I48" s="658">
        <f>C48+F48</f>
        <v>0</v>
      </c>
      <c r="J48" s="804"/>
    </row>
    <row r="49" spans="1:10" ht="12.75">
      <c r="A49" s="648" t="s">
        <v>92</v>
      </c>
      <c r="B49" s="671">
        <f>C49+E49+H49</f>
        <v>95946576</v>
      </c>
      <c r="C49" s="660"/>
      <c r="D49" s="660">
        <v>25944948</v>
      </c>
      <c r="E49" s="660">
        <v>25944948</v>
      </c>
      <c r="F49" s="660">
        <v>25944948</v>
      </c>
      <c r="G49" s="660">
        <v>70001628</v>
      </c>
      <c r="H49" s="660">
        <v>70001628</v>
      </c>
      <c r="I49" s="661">
        <f>C49+F49</f>
        <v>25944948</v>
      </c>
      <c r="J49" s="804"/>
    </row>
    <row r="50" spans="1:10" ht="12.75">
      <c r="A50" s="648" t="s">
        <v>93</v>
      </c>
      <c r="B50" s="671">
        <f>C50+E50+H50</f>
        <v>4440968</v>
      </c>
      <c r="C50" s="660"/>
      <c r="D50" s="660">
        <v>1619250</v>
      </c>
      <c r="E50" s="660">
        <v>1619250</v>
      </c>
      <c r="F50" s="660">
        <v>1619250</v>
      </c>
      <c r="G50" s="660">
        <v>2821718</v>
      </c>
      <c r="H50" s="660">
        <v>2821718</v>
      </c>
      <c r="I50" s="661">
        <f>C50+F50</f>
        <v>1619250</v>
      </c>
      <c r="J50" s="804"/>
    </row>
    <row r="51" spans="1:10" ht="12.75">
      <c r="A51" s="648" t="s">
        <v>94</v>
      </c>
      <c r="B51" s="671">
        <f>C51+E51+H51</f>
        <v>110480</v>
      </c>
      <c r="C51" s="660"/>
      <c r="D51" s="660">
        <v>110480</v>
      </c>
      <c r="E51" s="660">
        <v>110480</v>
      </c>
      <c r="F51" s="660">
        <v>110480</v>
      </c>
      <c r="G51" s="660"/>
      <c r="H51" s="660"/>
      <c r="I51" s="661">
        <f>C51+F51</f>
        <v>110480</v>
      </c>
      <c r="J51" s="804"/>
    </row>
    <row r="52" spans="1:10" ht="13.5" thickBot="1">
      <c r="A52" s="649"/>
      <c r="B52" s="673">
        <f>C52+E52+H52</f>
        <v>0</v>
      </c>
      <c r="C52" s="664"/>
      <c r="D52" s="664"/>
      <c r="E52" s="660"/>
      <c r="F52" s="664"/>
      <c r="G52" s="664"/>
      <c r="H52" s="660"/>
      <c r="I52" s="665">
        <f>C52+F52</f>
        <v>0</v>
      </c>
      <c r="J52" s="804"/>
    </row>
    <row r="53" spans="1:10" ht="13.5" thickBot="1">
      <c r="A53" s="650" t="s">
        <v>74</v>
      </c>
      <c r="B53" s="672">
        <f aca="true" t="shared" si="6" ref="B53:I53">SUM(B48:B52)</f>
        <v>100498024</v>
      </c>
      <c r="C53" s="662">
        <f t="shared" si="6"/>
        <v>0</v>
      </c>
      <c r="D53" s="662">
        <f t="shared" si="6"/>
        <v>27674678</v>
      </c>
      <c r="E53" s="662">
        <f t="shared" si="6"/>
        <v>27674678</v>
      </c>
      <c r="F53" s="662">
        <f t="shared" si="6"/>
        <v>27674678</v>
      </c>
      <c r="G53" s="662">
        <f t="shared" si="6"/>
        <v>72823346</v>
      </c>
      <c r="H53" s="662">
        <f t="shared" si="6"/>
        <v>72823346</v>
      </c>
      <c r="I53" s="663">
        <f t="shared" si="6"/>
        <v>27674678</v>
      </c>
      <c r="J53" s="804"/>
    </row>
    <row r="54" ht="12.75">
      <c r="J54" s="804"/>
    </row>
    <row r="55" ht="12.75">
      <c r="J55" s="804"/>
    </row>
    <row r="56" spans="1:10" ht="14.25">
      <c r="A56" s="823" t="s">
        <v>828</v>
      </c>
      <c r="B56" s="823"/>
      <c r="C56" s="824" t="s">
        <v>914</v>
      </c>
      <c r="D56" s="825"/>
      <c r="E56" s="825"/>
      <c r="F56" s="825"/>
      <c r="G56" s="825"/>
      <c r="H56" s="825"/>
      <c r="I56" s="825"/>
      <c r="J56" s="804" t="s">
        <v>1001</v>
      </c>
    </row>
    <row r="57" spans="1:10" ht="15.75" thickBot="1">
      <c r="A57" s="635"/>
      <c r="B57" s="635"/>
      <c r="C57" s="635"/>
      <c r="D57" s="635"/>
      <c r="E57" s="635"/>
      <c r="F57" s="635"/>
      <c r="G57" s="635"/>
      <c r="H57" s="826" t="s">
        <v>810</v>
      </c>
      <c r="I57" s="826"/>
      <c r="J57" s="804"/>
    </row>
    <row r="58" spans="1:10" ht="13.5" customHeight="1" thickBot="1">
      <c r="A58" s="827" t="s">
        <v>83</v>
      </c>
      <c r="B58" s="830" t="s">
        <v>444</v>
      </c>
      <c r="C58" s="831"/>
      <c r="D58" s="831"/>
      <c r="E58" s="831"/>
      <c r="F58" s="832"/>
      <c r="G58" s="832"/>
      <c r="H58" s="832"/>
      <c r="I58" s="833"/>
      <c r="J58" s="804"/>
    </row>
    <row r="59" spans="1:10" ht="13.5" customHeight="1" thickBot="1">
      <c r="A59" s="828"/>
      <c r="B59" s="834" t="str">
        <f>B37</f>
        <v>Módosítás utáni összes forrás, kiadás</v>
      </c>
      <c r="C59" s="837" t="s">
        <v>826</v>
      </c>
      <c r="D59" s="838"/>
      <c r="E59" s="838"/>
      <c r="F59" s="838"/>
      <c r="G59" s="838"/>
      <c r="H59" s="838"/>
      <c r="I59" s="839"/>
      <c r="J59" s="804"/>
    </row>
    <row r="60" spans="1:10" ht="48.75" customHeight="1" thickBot="1">
      <c r="A60" s="828"/>
      <c r="B60" s="835"/>
      <c r="C60" s="840" t="str">
        <f>CONCATENATE(Z_TARTALOMJEGYZÉK!$A$1,".  előtti forrás, kiadás")</f>
        <v>2019.  előtti forrás, kiadás</v>
      </c>
      <c r="D60" s="636" t="s">
        <v>446</v>
      </c>
      <c r="E60" s="636" t="s">
        <v>447</v>
      </c>
      <c r="F60" s="637" t="str">
        <f>CONCATENATE("Összes teljesítés ",Z_TARTALOMJEGYZÉK!$A$1,". XII.31 -ig")</f>
        <v>Összes teljesítés 2019. XII.31 -ig</v>
      </c>
      <c r="G60" s="637" t="s">
        <v>446</v>
      </c>
      <c r="H60" s="637" t="s">
        <v>447</v>
      </c>
      <c r="I60" s="637" t="str">
        <f>CONCATENATE("Összes teljesítés ",Z_TARTALOMJEGYZÉK!$A$1,". XII.31 -ig")</f>
        <v>Összes teljesítés 2019. XII.31 -ig</v>
      </c>
      <c r="J60" s="804"/>
    </row>
    <row r="61" spans="1:10" ht="13.5" thickBot="1">
      <c r="A61" s="829"/>
      <c r="B61" s="836"/>
      <c r="C61" s="841"/>
      <c r="D61" s="842" t="str">
        <f>CONCATENATE(Z_TARTALOMJEGYZÉK!$A$1,". évi")</f>
        <v>2019. évi</v>
      </c>
      <c r="E61" s="843"/>
      <c r="F61" s="844"/>
      <c r="G61" s="842" t="str">
        <f>CONCATENATE(Z_TARTALOMJEGYZÉK!$A$1,". után")</f>
        <v>2019. után</v>
      </c>
      <c r="H61" s="845"/>
      <c r="I61" s="844"/>
      <c r="J61" s="804"/>
    </row>
    <row r="62" spans="1:10" ht="13.5" thickBot="1">
      <c r="A62" s="638" t="s">
        <v>385</v>
      </c>
      <c r="B62" s="639" t="s">
        <v>831</v>
      </c>
      <c r="C62" s="640" t="s">
        <v>387</v>
      </c>
      <c r="D62" s="641" t="s">
        <v>389</v>
      </c>
      <c r="E62" s="641" t="s">
        <v>388</v>
      </c>
      <c r="F62" s="640" t="s">
        <v>390</v>
      </c>
      <c r="G62" s="640" t="s">
        <v>391</v>
      </c>
      <c r="H62" s="640" t="s">
        <v>392</v>
      </c>
      <c r="I62" s="642" t="s">
        <v>830</v>
      </c>
      <c r="J62" s="804"/>
    </row>
    <row r="63" spans="1:10" ht="12.75">
      <c r="A63" s="643" t="s">
        <v>84</v>
      </c>
      <c r="B63" s="669">
        <f aca="true" t="shared" si="7" ref="B63:B68">C63+E63+H63</f>
        <v>3695127</v>
      </c>
      <c r="C63" s="655"/>
      <c r="D63" s="656"/>
      <c r="E63" s="656"/>
      <c r="F63" s="666"/>
      <c r="G63" s="656"/>
      <c r="H63" s="657">
        <v>3695127</v>
      </c>
      <c r="I63" s="658">
        <f aca="true" t="shared" si="8" ref="I63:I68">C63+F63</f>
        <v>0</v>
      </c>
      <c r="J63" s="804"/>
    </row>
    <row r="64" spans="1:10" ht="12.75">
      <c r="A64" s="644" t="s">
        <v>95</v>
      </c>
      <c r="B64" s="670">
        <f t="shared" si="7"/>
        <v>0</v>
      </c>
      <c r="C64" s="659"/>
      <c r="D64" s="659"/>
      <c r="E64" s="660"/>
      <c r="F64" s="667"/>
      <c r="G64" s="659"/>
      <c r="H64" s="660"/>
      <c r="I64" s="661">
        <f t="shared" si="8"/>
        <v>0</v>
      </c>
      <c r="J64" s="804"/>
    </row>
    <row r="65" spans="1:10" ht="12.75">
      <c r="A65" s="645" t="s">
        <v>85</v>
      </c>
      <c r="B65" s="671">
        <f t="shared" si="7"/>
        <v>140000000</v>
      </c>
      <c r="C65" s="660">
        <v>140000000</v>
      </c>
      <c r="D65" s="660"/>
      <c r="E65" s="660"/>
      <c r="F65" s="668"/>
      <c r="G65" s="660"/>
      <c r="H65" s="660"/>
      <c r="I65" s="661">
        <f t="shared" si="8"/>
        <v>140000000</v>
      </c>
      <c r="J65" s="804"/>
    </row>
    <row r="66" spans="1:10" ht="12.75">
      <c r="A66" s="645" t="s">
        <v>96</v>
      </c>
      <c r="B66" s="671">
        <f t="shared" si="7"/>
        <v>0</v>
      </c>
      <c r="C66" s="660"/>
      <c r="D66" s="660"/>
      <c r="E66" s="660"/>
      <c r="F66" s="668"/>
      <c r="G66" s="660"/>
      <c r="H66" s="660"/>
      <c r="I66" s="661">
        <f t="shared" si="8"/>
        <v>0</v>
      </c>
      <c r="J66" s="804"/>
    </row>
    <row r="67" spans="1:10" ht="12.75">
      <c r="A67" s="645" t="s">
        <v>86</v>
      </c>
      <c r="B67" s="671">
        <f t="shared" si="7"/>
        <v>0</v>
      </c>
      <c r="C67" s="660"/>
      <c r="D67" s="660"/>
      <c r="E67" s="660"/>
      <c r="F67" s="668"/>
      <c r="G67" s="660"/>
      <c r="H67" s="660"/>
      <c r="I67" s="661">
        <f t="shared" si="8"/>
        <v>0</v>
      </c>
      <c r="J67" s="804"/>
    </row>
    <row r="68" spans="1:10" ht="13.5" thickBot="1">
      <c r="A68" s="645" t="s">
        <v>87</v>
      </c>
      <c r="B68" s="671">
        <f t="shared" si="7"/>
        <v>0</v>
      </c>
      <c r="C68" s="660"/>
      <c r="D68" s="660"/>
      <c r="E68" s="660"/>
      <c r="F68" s="668"/>
      <c r="G68" s="660"/>
      <c r="H68" s="660"/>
      <c r="I68" s="661">
        <f t="shared" si="8"/>
        <v>0</v>
      </c>
      <c r="J68" s="804"/>
    </row>
    <row r="69" spans="1:10" ht="13.5" thickBot="1">
      <c r="A69" s="646" t="s">
        <v>88</v>
      </c>
      <c r="B69" s="672">
        <f aca="true" t="shared" si="9" ref="B69:I69">B63+SUM(B65:B68)</f>
        <v>143695127</v>
      </c>
      <c r="C69" s="662">
        <f t="shared" si="9"/>
        <v>140000000</v>
      </c>
      <c r="D69" s="662">
        <f t="shared" si="9"/>
        <v>0</v>
      </c>
      <c r="E69" s="662">
        <f t="shared" si="9"/>
        <v>0</v>
      </c>
      <c r="F69" s="662">
        <f t="shared" si="9"/>
        <v>0</v>
      </c>
      <c r="G69" s="662">
        <f t="shared" si="9"/>
        <v>0</v>
      </c>
      <c r="H69" s="662">
        <f t="shared" si="9"/>
        <v>3695127</v>
      </c>
      <c r="I69" s="663">
        <f t="shared" si="9"/>
        <v>140000000</v>
      </c>
      <c r="J69" s="804"/>
    </row>
    <row r="70" spans="1:10" ht="12.75">
      <c r="A70" s="647" t="s">
        <v>91</v>
      </c>
      <c r="B70" s="669">
        <f>C70+E70+H70</f>
        <v>0</v>
      </c>
      <c r="C70" s="656"/>
      <c r="D70" s="656"/>
      <c r="E70" s="656"/>
      <c r="F70" s="656"/>
      <c r="G70" s="656"/>
      <c r="H70" s="656"/>
      <c r="I70" s="658">
        <f>C70+F70</f>
        <v>0</v>
      </c>
      <c r="J70" s="804"/>
    </row>
    <row r="71" spans="1:10" ht="12.75">
      <c r="A71" s="648" t="s">
        <v>92</v>
      </c>
      <c r="B71" s="671">
        <f>C71+E71+H71</f>
        <v>135247627</v>
      </c>
      <c r="C71" s="660">
        <v>5080000</v>
      </c>
      <c r="D71" s="660"/>
      <c r="E71" s="660">
        <v>94398693</v>
      </c>
      <c r="F71" s="660">
        <v>94398693</v>
      </c>
      <c r="G71" s="660"/>
      <c r="H71" s="660">
        <v>35768934</v>
      </c>
      <c r="I71" s="661">
        <f>C71+F71</f>
        <v>99478693</v>
      </c>
      <c r="J71" s="804"/>
    </row>
    <row r="72" spans="1:10" ht="12.75">
      <c r="A72" s="648" t="s">
        <v>93</v>
      </c>
      <c r="B72" s="671">
        <f>C72+E72+H72</f>
        <v>8307500</v>
      </c>
      <c r="C72" s="660">
        <v>2743200</v>
      </c>
      <c r="D72" s="660"/>
      <c r="E72" s="660">
        <v>3419475</v>
      </c>
      <c r="F72" s="660">
        <v>3419475</v>
      </c>
      <c r="G72" s="660"/>
      <c r="H72" s="660">
        <v>2144825</v>
      </c>
      <c r="I72" s="661">
        <f>C72+F72</f>
        <v>6162675</v>
      </c>
      <c r="J72" s="804"/>
    </row>
    <row r="73" spans="1:10" ht="12.75">
      <c r="A73" s="648" t="s">
        <v>94</v>
      </c>
      <c r="B73" s="671">
        <f>C73+E73+H73</f>
        <v>140000</v>
      </c>
      <c r="C73" s="660">
        <v>140000</v>
      </c>
      <c r="D73" s="660"/>
      <c r="E73" s="660"/>
      <c r="F73" s="660"/>
      <c r="G73" s="660"/>
      <c r="H73" s="660"/>
      <c r="I73" s="661">
        <f>C73+F73</f>
        <v>140000</v>
      </c>
      <c r="J73" s="804"/>
    </row>
    <row r="74" spans="1:10" ht="13.5" thickBot="1">
      <c r="A74" s="649"/>
      <c r="B74" s="673">
        <f>C74+E74+H74</f>
        <v>0</v>
      </c>
      <c r="C74" s="664"/>
      <c r="D74" s="664"/>
      <c r="E74" s="660"/>
      <c r="F74" s="664"/>
      <c r="G74" s="664"/>
      <c r="H74" s="660"/>
      <c r="I74" s="665">
        <f>C74+F74</f>
        <v>0</v>
      </c>
      <c r="J74" s="804"/>
    </row>
    <row r="75" spans="1:10" ht="13.5" thickBot="1">
      <c r="A75" s="650" t="s">
        <v>74</v>
      </c>
      <c r="B75" s="672">
        <f aca="true" t="shared" si="10" ref="B75:I75">SUM(B70:B74)</f>
        <v>143695127</v>
      </c>
      <c r="C75" s="662">
        <f t="shared" si="10"/>
        <v>7963200</v>
      </c>
      <c r="D75" s="662">
        <f t="shared" si="10"/>
        <v>0</v>
      </c>
      <c r="E75" s="662">
        <f t="shared" si="10"/>
        <v>97818168</v>
      </c>
      <c r="F75" s="662">
        <f t="shared" si="10"/>
        <v>97818168</v>
      </c>
      <c r="G75" s="662">
        <f t="shared" si="10"/>
        <v>0</v>
      </c>
      <c r="H75" s="662">
        <f t="shared" si="10"/>
        <v>37913759</v>
      </c>
      <c r="I75" s="663">
        <f t="shared" si="10"/>
        <v>105781368</v>
      </c>
      <c r="J75" s="804"/>
    </row>
    <row r="76" ht="12.75">
      <c r="J76" s="804"/>
    </row>
    <row r="77" ht="12.75">
      <c r="J77" s="804"/>
    </row>
    <row r="78" spans="1:10" ht="14.25">
      <c r="A78" s="823" t="s">
        <v>828</v>
      </c>
      <c r="B78" s="823"/>
      <c r="C78" s="824" t="s">
        <v>915</v>
      </c>
      <c r="D78" s="825"/>
      <c r="E78" s="825"/>
      <c r="F78" s="825"/>
      <c r="G78" s="825"/>
      <c r="H78" s="825"/>
      <c r="I78" s="825"/>
      <c r="J78" s="804" t="s">
        <v>924</v>
      </c>
    </row>
    <row r="79" spans="1:10" ht="15.75" thickBot="1">
      <c r="A79" s="635"/>
      <c r="B79" s="635"/>
      <c r="C79" s="635"/>
      <c r="D79" s="635"/>
      <c r="E79" s="635"/>
      <c r="F79" s="635"/>
      <c r="G79" s="635"/>
      <c r="H79" s="826" t="s">
        <v>810</v>
      </c>
      <c r="I79" s="826"/>
      <c r="J79" s="804"/>
    </row>
    <row r="80" spans="1:10" ht="13.5" customHeight="1" thickBot="1">
      <c r="A80" s="827" t="s">
        <v>83</v>
      </c>
      <c r="B80" s="830" t="s">
        <v>444</v>
      </c>
      <c r="C80" s="831"/>
      <c r="D80" s="831"/>
      <c r="E80" s="831"/>
      <c r="F80" s="832"/>
      <c r="G80" s="832"/>
      <c r="H80" s="832"/>
      <c r="I80" s="833"/>
      <c r="J80" s="804"/>
    </row>
    <row r="81" spans="1:10" ht="13.5" customHeight="1" thickBot="1">
      <c r="A81" s="828"/>
      <c r="B81" s="834" t="str">
        <f>B59</f>
        <v>Módosítás utáni összes forrás, kiadás</v>
      </c>
      <c r="C81" s="837" t="s">
        <v>826</v>
      </c>
      <c r="D81" s="838"/>
      <c r="E81" s="838"/>
      <c r="F81" s="838"/>
      <c r="G81" s="838"/>
      <c r="H81" s="838"/>
      <c r="I81" s="839"/>
      <c r="J81" s="804"/>
    </row>
    <row r="82" spans="1:10" ht="48.75" thickBot="1">
      <c r="A82" s="828"/>
      <c r="B82" s="835"/>
      <c r="C82" s="840" t="str">
        <f>CONCATENATE(Z_TARTALOMJEGYZÉK!$A$1,".  előtti forrás, kiadás")</f>
        <v>2019.  előtti forrás, kiadás</v>
      </c>
      <c r="D82" s="636" t="s">
        <v>446</v>
      </c>
      <c r="E82" s="636" t="s">
        <v>447</v>
      </c>
      <c r="F82" s="637" t="str">
        <f>CONCATENATE("Összes teljesítés ",Z_TARTALOMJEGYZÉK!$A$1,". XII.31 -ig")</f>
        <v>Összes teljesítés 2019. XII.31 -ig</v>
      </c>
      <c r="G82" s="637" t="s">
        <v>446</v>
      </c>
      <c r="H82" s="637" t="s">
        <v>447</v>
      </c>
      <c r="I82" s="637" t="str">
        <f>CONCATENATE("Összes teljesítés ",Z_TARTALOMJEGYZÉK!$A$1,". XII.31 -ig")</f>
        <v>Összes teljesítés 2019. XII.31 -ig</v>
      </c>
      <c r="J82" s="804"/>
    </row>
    <row r="83" spans="1:10" ht="13.5" thickBot="1">
      <c r="A83" s="829"/>
      <c r="B83" s="836"/>
      <c r="C83" s="841"/>
      <c r="D83" s="842" t="str">
        <f>CONCATENATE(Z_TARTALOMJEGYZÉK!$A$1,". évi")</f>
        <v>2019. évi</v>
      </c>
      <c r="E83" s="843"/>
      <c r="F83" s="844"/>
      <c r="G83" s="842" t="str">
        <f>CONCATENATE(Z_TARTALOMJEGYZÉK!$A$1,". után")</f>
        <v>2019. után</v>
      </c>
      <c r="H83" s="845"/>
      <c r="I83" s="844"/>
      <c r="J83" s="804"/>
    </row>
    <row r="84" spans="1:10" ht="13.5" thickBot="1">
      <c r="A84" s="638" t="s">
        <v>385</v>
      </c>
      <c r="B84" s="639" t="s">
        <v>831</v>
      </c>
      <c r="C84" s="640" t="s">
        <v>387</v>
      </c>
      <c r="D84" s="641" t="s">
        <v>389</v>
      </c>
      <c r="E84" s="641" t="s">
        <v>388</v>
      </c>
      <c r="F84" s="640" t="s">
        <v>390</v>
      </c>
      <c r="G84" s="640" t="s">
        <v>391</v>
      </c>
      <c r="H84" s="640" t="s">
        <v>392</v>
      </c>
      <c r="I84" s="642" t="s">
        <v>830</v>
      </c>
      <c r="J84" s="804"/>
    </row>
    <row r="85" spans="1:10" ht="12.75">
      <c r="A85" s="643" t="s">
        <v>84</v>
      </c>
      <c r="B85" s="669">
        <v>681000</v>
      </c>
      <c r="C85" s="655"/>
      <c r="D85" s="656"/>
      <c r="E85" s="656"/>
      <c r="F85" s="666">
        <v>481000</v>
      </c>
      <c r="G85" s="656"/>
      <c r="H85" s="657">
        <v>200000</v>
      </c>
      <c r="I85" s="661">
        <f aca="true" t="shared" si="11" ref="I85:I90">C85+F85</f>
        <v>481000</v>
      </c>
      <c r="J85" s="804"/>
    </row>
    <row r="86" spans="1:10" ht="12.75">
      <c r="A86" s="644" t="s">
        <v>95</v>
      </c>
      <c r="B86" s="670">
        <f>C86+E86+H86</f>
        <v>0</v>
      </c>
      <c r="C86" s="659"/>
      <c r="D86" s="659"/>
      <c r="E86" s="660"/>
      <c r="F86" s="667"/>
      <c r="G86" s="659"/>
      <c r="H86" s="660"/>
      <c r="I86" s="661">
        <f t="shared" si="11"/>
        <v>0</v>
      </c>
      <c r="J86" s="804"/>
    </row>
    <row r="87" spans="1:10" ht="12.75">
      <c r="A87" s="645" t="s">
        <v>85</v>
      </c>
      <c r="B87" s="671">
        <f>C87+E87+H87</f>
        <v>223931479</v>
      </c>
      <c r="C87" s="660">
        <v>183994265</v>
      </c>
      <c r="D87" s="660"/>
      <c r="E87" s="660"/>
      <c r="F87" s="668"/>
      <c r="G87" s="660"/>
      <c r="H87" s="660">
        <v>39937214</v>
      </c>
      <c r="I87" s="661">
        <f t="shared" si="11"/>
        <v>183994265</v>
      </c>
      <c r="J87" s="804"/>
    </row>
    <row r="88" spans="1:10" ht="12.75">
      <c r="A88" s="645" t="s">
        <v>96</v>
      </c>
      <c r="B88" s="671">
        <f>C88+E88+H88</f>
        <v>0</v>
      </c>
      <c r="C88" s="660"/>
      <c r="D88" s="660"/>
      <c r="E88" s="660"/>
      <c r="F88" s="668"/>
      <c r="G88" s="660"/>
      <c r="H88" s="660"/>
      <c r="I88" s="661">
        <f t="shared" si="11"/>
        <v>0</v>
      </c>
      <c r="J88" s="804"/>
    </row>
    <row r="89" spans="1:10" ht="12.75">
      <c r="A89" s="645" t="s">
        <v>86</v>
      </c>
      <c r="B89" s="671">
        <v>45677593</v>
      </c>
      <c r="C89" s="660"/>
      <c r="D89" s="660"/>
      <c r="E89" s="660"/>
      <c r="F89" s="668"/>
      <c r="G89" s="660"/>
      <c r="H89" s="660">
        <v>45677593</v>
      </c>
      <c r="I89" s="661">
        <f t="shared" si="11"/>
        <v>0</v>
      </c>
      <c r="J89" s="804"/>
    </row>
    <row r="90" spans="1:10" ht="13.5" thickBot="1">
      <c r="A90" s="645" t="s">
        <v>87</v>
      </c>
      <c r="B90" s="671">
        <f>C90+E90+H90</f>
        <v>0</v>
      </c>
      <c r="C90" s="660"/>
      <c r="D90" s="660"/>
      <c r="E90" s="660"/>
      <c r="F90" s="668"/>
      <c r="G90" s="660"/>
      <c r="H90" s="660"/>
      <c r="I90" s="661">
        <f t="shared" si="11"/>
        <v>0</v>
      </c>
      <c r="J90" s="804"/>
    </row>
    <row r="91" spans="1:10" ht="13.5" thickBot="1">
      <c r="A91" s="646" t="s">
        <v>88</v>
      </c>
      <c r="B91" s="672">
        <f aca="true" t="shared" si="12" ref="B91:I91">B85+SUM(B87:B90)</f>
        <v>270290072</v>
      </c>
      <c r="C91" s="662">
        <f t="shared" si="12"/>
        <v>183994265</v>
      </c>
      <c r="D91" s="662">
        <f t="shared" si="12"/>
        <v>0</v>
      </c>
      <c r="E91" s="662">
        <f t="shared" si="12"/>
        <v>0</v>
      </c>
      <c r="F91" s="662">
        <f t="shared" si="12"/>
        <v>481000</v>
      </c>
      <c r="G91" s="662">
        <f t="shared" si="12"/>
        <v>0</v>
      </c>
      <c r="H91" s="662">
        <f t="shared" si="12"/>
        <v>85814807</v>
      </c>
      <c r="I91" s="663">
        <f t="shared" si="12"/>
        <v>184475265</v>
      </c>
      <c r="J91" s="804"/>
    </row>
    <row r="92" spans="1:10" ht="12.75">
      <c r="A92" s="647" t="s">
        <v>91</v>
      </c>
      <c r="B92" s="669">
        <f>C92+E92+H92</f>
        <v>471100</v>
      </c>
      <c r="C92" s="656">
        <v>239600</v>
      </c>
      <c r="D92" s="656"/>
      <c r="E92" s="656"/>
      <c r="F92" s="656"/>
      <c r="G92" s="656"/>
      <c r="H92" s="656">
        <v>231500</v>
      </c>
      <c r="I92" s="658">
        <f>C92+F92</f>
        <v>239600</v>
      </c>
      <c r="J92" s="804"/>
    </row>
    <row r="93" spans="1:10" ht="12.75">
      <c r="A93" s="648" t="s">
        <v>92</v>
      </c>
      <c r="B93" s="671">
        <v>259426973</v>
      </c>
      <c r="C93" s="660">
        <v>4635500</v>
      </c>
      <c r="D93" s="660"/>
      <c r="E93" s="660"/>
      <c r="F93" s="660"/>
      <c r="G93" s="660"/>
      <c r="H93" s="660">
        <v>254791473</v>
      </c>
      <c r="I93" s="661">
        <f>C93+F93</f>
        <v>4635500</v>
      </c>
      <c r="J93" s="804"/>
    </row>
    <row r="94" spans="1:10" ht="12.75">
      <c r="A94" s="648" t="s">
        <v>93</v>
      </c>
      <c r="B94" s="671">
        <v>10091999</v>
      </c>
      <c r="C94" s="660">
        <v>4935200</v>
      </c>
      <c r="D94" s="660">
        <v>1476375</v>
      </c>
      <c r="E94" s="660">
        <v>1476375</v>
      </c>
      <c r="F94" s="660">
        <v>1476375</v>
      </c>
      <c r="G94" s="660"/>
      <c r="H94" s="660">
        <v>3680424</v>
      </c>
      <c r="I94" s="661">
        <f>C94+F94</f>
        <v>6411575</v>
      </c>
      <c r="J94" s="804"/>
    </row>
    <row r="95" spans="1:10" ht="12.75">
      <c r="A95" s="648" t="s">
        <v>94</v>
      </c>
      <c r="B95" s="671">
        <f>C95+E95+H95</f>
        <v>300000</v>
      </c>
      <c r="C95" s="660"/>
      <c r="D95" s="660">
        <v>100000</v>
      </c>
      <c r="E95" s="660">
        <v>100000</v>
      </c>
      <c r="F95" s="660">
        <v>100000</v>
      </c>
      <c r="G95" s="660"/>
      <c r="H95" s="660">
        <v>200000</v>
      </c>
      <c r="I95" s="661">
        <f>C95+F95</f>
        <v>100000</v>
      </c>
      <c r="J95" s="804"/>
    </row>
    <row r="96" spans="1:10" ht="13.5" thickBot="1">
      <c r="A96" s="649"/>
      <c r="B96" s="673">
        <f>C96+E96+H96</f>
        <v>0</v>
      </c>
      <c r="C96" s="664"/>
      <c r="D96" s="664"/>
      <c r="E96" s="660"/>
      <c r="F96" s="664"/>
      <c r="G96" s="664"/>
      <c r="H96" s="660"/>
      <c r="I96" s="665">
        <f>C96+F96</f>
        <v>0</v>
      </c>
      <c r="J96" s="804"/>
    </row>
    <row r="97" spans="1:10" ht="13.5" thickBot="1">
      <c r="A97" s="650" t="s">
        <v>74</v>
      </c>
      <c r="B97" s="672">
        <f aca="true" t="shared" si="13" ref="B97:I97">SUM(B92:B96)</f>
        <v>270290072</v>
      </c>
      <c r="C97" s="662">
        <f t="shared" si="13"/>
        <v>9810300</v>
      </c>
      <c r="D97" s="662">
        <f t="shared" si="13"/>
        <v>1576375</v>
      </c>
      <c r="E97" s="662">
        <f t="shared" si="13"/>
        <v>1576375</v>
      </c>
      <c r="F97" s="662">
        <f t="shared" si="13"/>
        <v>1576375</v>
      </c>
      <c r="G97" s="662">
        <f t="shared" si="13"/>
        <v>0</v>
      </c>
      <c r="H97" s="662">
        <f t="shared" si="13"/>
        <v>258903397</v>
      </c>
      <c r="I97" s="663">
        <f t="shared" si="13"/>
        <v>11386675</v>
      </c>
      <c r="J97" s="804"/>
    </row>
    <row r="98" ht="12.75">
      <c r="J98" s="804"/>
    </row>
    <row r="99" ht="12.75">
      <c r="J99" s="804"/>
    </row>
    <row r="100" spans="1:10" ht="14.25">
      <c r="A100" s="823" t="s">
        <v>828</v>
      </c>
      <c r="B100" s="823"/>
      <c r="C100" s="824" t="s">
        <v>916</v>
      </c>
      <c r="D100" s="825"/>
      <c r="E100" s="825"/>
      <c r="F100" s="825"/>
      <c r="G100" s="825"/>
      <c r="H100" s="825"/>
      <c r="I100" s="825"/>
      <c r="J100" s="804" t="s">
        <v>924</v>
      </c>
    </row>
    <row r="101" spans="1:10" ht="15.75" thickBot="1">
      <c r="A101" s="635"/>
      <c r="B101" s="635"/>
      <c r="C101" s="635"/>
      <c r="D101" s="635"/>
      <c r="E101" s="635"/>
      <c r="F101" s="635"/>
      <c r="G101" s="635"/>
      <c r="H101" s="826" t="s">
        <v>810</v>
      </c>
      <c r="I101" s="826"/>
      <c r="J101" s="804"/>
    </row>
    <row r="102" spans="1:10" ht="13.5" customHeight="1" thickBot="1">
      <c r="A102" s="827" t="s">
        <v>83</v>
      </c>
      <c r="B102" s="830" t="s">
        <v>444</v>
      </c>
      <c r="C102" s="831"/>
      <c r="D102" s="831"/>
      <c r="E102" s="831"/>
      <c r="F102" s="832"/>
      <c r="G102" s="832"/>
      <c r="H102" s="832"/>
      <c r="I102" s="833"/>
      <c r="J102" s="804"/>
    </row>
    <row r="103" spans="1:10" ht="13.5" customHeight="1" thickBot="1">
      <c r="A103" s="828"/>
      <c r="B103" s="834" t="str">
        <f>B81</f>
        <v>Módosítás utáni összes forrás, kiadás</v>
      </c>
      <c r="C103" s="837" t="s">
        <v>826</v>
      </c>
      <c r="D103" s="838"/>
      <c r="E103" s="838"/>
      <c r="F103" s="838"/>
      <c r="G103" s="838"/>
      <c r="H103" s="838"/>
      <c r="I103" s="839"/>
      <c r="J103" s="804"/>
    </row>
    <row r="104" spans="1:10" ht="48.75" customHeight="1" thickBot="1">
      <c r="A104" s="828"/>
      <c r="B104" s="835"/>
      <c r="C104" s="840" t="str">
        <f>CONCATENATE(Z_TARTALOMJEGYZÉK!$A$1,".  előtti forrás, kiadás")</f>
        <v>2019.  előtti forrás, kiadás</v>
      </c>
      <c r="D104" s="636" t="s">
        <v>446</v>
      </c>
      <c r="E104" s="636" t="s">
        <v>447</v>
      </c>
      <c r="F104" s="637" t="str">
        <f>CONCATENATE("Összes teljesítés ",Z_TARTALOMJEGYZÉK!$A$1,". XII.31 -ig")</f>
        <v>Összes teljesítés 2019. XII.31 -ig</v>
      </c>
      <c r="G104" s="637" t="s">
        <v>446</v>
      </c>
      <c r="H104" s="637" t="s">
        <v>447</v>
      </c>
      <c r="I104" s="637" t="str">
        <f>CONCATENATE("Összes teljesítés ",Z_TARTALOMJEGYZÉK!$A$1,". XII.31 -ig")</f>
        <v>Összes teljesítés 2019. XII.31 -ig</v>
      </c>
      <c r="J104" s="804"/>
    </row>
    <row r="105" spans="1:10" ht="13.5" thickBot="1">
      <c r="A105" s="829"/>
      <c r="B105" s="836"/>
      <c r="C105" s="841"/>
      <c r="D105" s="842" t="str">
        <f>CONCATENATE(Z_TARTALOMJEGYZÉK!$A$1,". évi")</f>
        <v>2019. évi</v>
      </c>
      <c r="E105" s="843"/>
      <c r="F105" s="844"/>
      <c r="G105" s="842" t="str">
        <f>CONCATENATE(Z_TARTALOMJEGYZÉK!$A$1,". után")</f>
        <v>2019. után</v>
      </c>
      <c r="H105" s="845"/>
      <c r="I105" s="844"/>
      <c r="J105" s="804"/>
    </row>
    <row r="106" spans="1:10" ht="13.5" thickBot="1">
      <c r="A106" s="638" t="s">
        <v>385</v>
      </c>
      <c r="B106" s="639" t="s">
        <v>831</v>
      </c>
      <c r="C106" s="640" t="s">
        <v>387</v>
      </c>
      <c r="D106" s="641" t="s">
        <v>389</v>
      </c>
      <c r="E106" s="641" t="s">
        <v>388</v>
      </c>
      <c r="F106" s="640" t="s">
        <v>390</v>
      </c>
      <c r="G106" s="640" t="s">
        <v>391</v>
      </c>
      <c r="H106" s="640" t="s">
        <v>392</v>
      </c>
      <c r="I106" s="642" t="s">
        <v>830</v>
      </c>
      <c r="J106" s="804"/>
    </row>
    <row r="107" spans="1:10" ht="12.75">
      <c r="A107" s="643" t="s">
        <v>84</v>
      </c>
      <c r="B107" s="669">
        <f aca="true" t="shared" si="14" ref="B107:B112">C107+E107+H107</f>
        <v>1901335</v>
      </c>
      <c r="C107" s="655"/>
      <c r="D107" s="656"/>
      <c r="E107" s="656"/>
      <c r="F107" s="666"/>
      <c r="G107" s="656"/>
      <c r="H107" s="657">
        <v>1901335</v>
      </c>
      <c r="I107" s="658">
        <f aca="true" t="shared" si="15" ref="I107:I112">C107+F107</f>
        <v>0</v>
      </c>
      <c r="J107" s="804"/>
    </row>
    <row r="108" spans="1:10" ht="12.75">
      <c r="A108" s="644" t="s">
        <v>95</v>
      </c>
      <c r="B108" s="670">
        <f t="shared" si="14"/>
        <v>0</v>
      </c>
      <c r="C108" s="659"/>
      <c r="D108" s="659"/>
      <c r="E108" s="660"/>
      <c r="F108" s="667"/>
      <c r="G108" s="659"/>
      <c r="H108" s="660"/>
      <c r="I108" s="661">
        <f t="shared" si="15"/>
        <v>0</v>
      </c>
      <c r="J108" s="804"/>
    </row>
    <row r="109" spans="1:10" ht="12.75">
      <c r="A109" s="645" t="s">
        <v>85</v>
      </c>
      <c r="B109" s="671">
        <f t="shared" si="14"/>
        <v>88000000</v>
      </c>
      <c r="C109" s="660">
        <v>88000000</v>
      </c>
      <c r="D109" s="660"/>
      <c r="E109" s="660"/>
      <c r="F109" s="668"/>
      <c r="G109" s="660"/>
      <c r="H109" s="660"/>
      <c r="I109" s="661">
        <f t="shared" si="15"/>
        <v>88000000</v>
      </c>
      <c r="J109" s="804"/>
    </row>
    <row r="110" spans="1:10" ht="12.75">
      <c r="A110" s="645" t="s">
        <v>96</v>
      </c>
      <c r="B110" s="671">
        <f t="shared" si="14"/>
        <v>0</v>
      </c>
      <c r="C110" s="660"/>
      <c r="D110" s="660"/>
      <c r="E110" s="660"/>
      <c r="F110" s="668"/>
      <c r="G110" s="660"/>
      <c r="H110" s="660"/>
      <c r="I110" s="661">
        <f t="shared" si="15"/>
        <v>0</v>
      </c>
      <c r="J110" s="804"/>
    </row>
    <row r="111" spans="1:10" ht="12.75">
      <c r="A111" s="645" t="s">
        <v>86</v>
      </c>
      <c r="B111" s="671">
        <f t="shared" si="14"/>
        <v>0</v>
      </c>
      <c r="C111" s="660"/>
      <c r="D111" s="660"/>
      <c r="E111" s="660"/>
      <c r="F111" s="668"/>
      <c r="G111" s="660"/>
      <c r="H111" s="660"/>
      <c r="I111" s="661">
        <f t="shared" si="15"/>
        <v>0</v>
      </c>
      <c r="J111" s="804"/>
    </row>
    <row r="112" spans="1:10" ht="13.5" thickBot="1">
      <c r="A112" s="645" t="s">
        <v>87</v>
      </c>
      <c r="B112" s="671">
        <f t="shared" si="14"/>
        <v>0</v>
      </c>
      <c r="C112" s="660"/>
      <c r="D112" s="660"/>
      <c r="E112" s="660"/>
      <c r="F112" s="668"/>
      <c r="G112" s="660"/>
      <c r="H112" s="660"/>
      <c r="I112" s="661">
        <f t="shared" si="15"/>
        <v>0</v>
      </c>
      <c r="J112" s="804"/>
    </row>
    <row r="113" spans="1:10" ht="13.5" thickBot="1">
      <c r="A113" s="646" t="s">
        <v>88</v>
      </c>
      <c r="B113" s="672">
        <f aca="true" t="shared" si="16" ref="B113:I113">B107+SUM(B109:B112)</f>
        <v>89901335</v>
      </c>
      <c r="C113" s="662">
        <f t="shared" si="16"/>
        <v>88000000</v>
      </c>
      <c r="D113" s="662">
        <f t="shared" si="16"/>
        <v>0</v>
      </c>
      <c r="E113" s="662">
        <f t="shared" si="16"/>
        <v>0</v>
      </c>
      <c r="F113" s="662">
        <f t="shared" si="16"/>
        <v>0</v>
      </c>
      <c r="G113" s="662">
        <f t="shared" si="16"/>
        <v>0</v>
      </c>
      <c r="H113" s="662">
        <f t="shared" si="16"/>
        <v>1901335</v>
      </c>
      <c r="I113" s="663">
        <f t="shared" si="16"/>
        <v>88000000</v>
      </c>
      <c r="J113" s="804"/>
    </row>
    <row r="114" spans="1:10" ht="12.75">
      <c r="A114" s="647" t="s">
        <v>91</v>
      </c>
      <c r="B114" s="669">
        <f>C114+E114+H114</f>
        <v>0</v>
      </c>
      <c r="C114" s="656"/>
      <c r="D114" s="656"/>
      <c r="E114" s="656"/>
      <c r="F114" s="656"/>
      <c r="G114" s="656"/>
      <c r="H114" s="656"/>
      <c r="I114" s="658">
        <f>C114+F114</f>
        <v>0</v>
      </c>
      <c r="J114" s="804"/>
    </row>
    <row r="115" spans="1:10" ht="12.75">
      <c r="A115" s="648" t="s">
        <v>92</v>
      </c>
      <c r="B115" s="671">
        <f>C115+E115+H115</f>
        <v>82589719</v>
      </c>
      <c r="C115" s="660">
        <v>2354199</v>
      </c>
      <c r="D115" s="660">
        <v>1016000</v>
      </c>
      <c r="E115" s="660">
        <v>1016000</v>
      </c>
      <c r="F115" s="660">
        <v>1016000</v>
      </c>
      <c r="G115" s="660"/>
      <c r="H115" s="660">
        <v>79219520</v>
      </c>
      <c r="I115" s="661">
        <f>C115+F115</f>
        <v>3370199</v>
      </c>
      <c r="J115" s="804"/>
    </row>
    <row r="116" spans="1:10" ht="12.75">
      <c r="A116" s="648" t="s">
        <v>93</v>
      </c>
      <c r="B116" s="671">
        <f>C116+E116+H116</f>
        <v>7321616</v>
      </c>
      <c r="C116" s="660">
        <v>3303016</v>
      </c>
      <c r="D116" s="660">
        <v>90000</v>
      </c>
      <c r="E116" s="660">
        <v>90000</v>
      </c>
      <c r="F116" s="660">
        <v>90000</v>
      </c>
      <c r="G116" s="660"/>
      <c r="H116" s="660">
        <v>3928600</v>
      </c>
      <c r="I116" s="661">
        <f>C116+F116</f>
        <v>3393016</v>
      </c>
      <c r="J116" s="804"/>
    </row>
    <row r="117" spans="1:10" ht="12.75">
      <c r="A117" s="648" t="s">
        <v>94</v>
      </c>
      <c r="B117" s="671">
        <f>C117+E117+H117</f>
        <v>0</v>
      </c>
      <c r="C117" s="660"/>
      <c r="D117" s="660"/>
      <c r="E117" s="660"/>
      <c r="F117" s="660"/>
      <c r="G117" s="660"/>
      <c r="H117" s="660"/>
      <c r="I117" s="661">
        <f>C117+F117</f>
        <v>0</v>
      </c>
      <c r="J117" s="804"/>
    </row>
    <row r="118" spans="1:10" ht="13.5" thickBot="1">
      <c r="A118" s="649"/>
      <c r="B118" s="673">
        <f>C118+E118+H118</f>
        <v>0</v>
      </c>
      <c r="C118" s="664"/>
      <c r="D118" s="664"/>
      <c r="E118" s="660"/>
      <c r="F118" s="664"/>
      <c r="G118" s="664"/>
      <c r="H118" s="660"/>
      <c r="I118" s="665">
        <f>C118+F118</f>
        <v>0</v>
      </c>
      <c r="J118" s="804"/>
    </row>
    <row r="119" spans="1:10" ht="13.5" thickBot="1">
      <c r="A119" s="650" t="s">
        <v>74</v>
      </c>
      <c r="B119" s="672">
        <f aca="true" t="shared" si="17" ref="B119:I119">SUM(B114:B118)</f>
        <v>89911335</v>
      </c>
      <c r="C119" s="662">
        <f t="shared" si="17"/>
        <v>5657215</v>
      </c>
      <c r="D119" s="662">
        <f t="shared" si="17"/>
        <v>1106000</v>
      </c>
      <c r="E119" s="662">
        <f t="shared" si="17"/>
        <v>1106000</v>
      </c>
      <c r="F119" s="662">
        <f t="shared" si="17"/>
        <v>1106000</v>
      </c>
      <c r="G119" s="662">
        <f t="shared" si="17"/>
        <v>0</v>
      </c>
      <c r="H119" s="662">
        <f t="shared" si="17"/>
        <v>83148120</v>
      </c>
      <c r="I119" s="663">
        <f t="shared" si="17"/>
        <v>6763215</v>
      </c>
      <c r="J119" s="804"/>
    </row>
    <row r="120" ht="12.75">
      <c r="J120" s="804"/>
    </row>
    <row r="121" ht="12.75">
      <c r="J121" s="804"/>
    </row>
    <row r="122" spans="1:10" ht="14.25">
      <c r="A122" s="823" t="s">
        <v>828</v>
      </c>
      <c r="B122" s="823"/>
      <c r="C122" s="824" t="s">
        <v>917</v>
      </c>
      <c r="D122" s="825"/>
      <c r="E122" s="825"/>
      <c r="F122" s="825"/>
      <c r="G122" s="825"/>
      <c r="H122" s="825"/>
      <c r="I122" s="825"/>
      <c r="J122" s="804" t="s">
        <v>924</v>
      </c>
    </row>
    <row r="123" spans="1:10" ht="15.75" thickBot="1">
      <c r="A123" s="635"/>
      <c r="B123" s="635"/>
      <c r="C123" s="635"/>
      <c r="D123" s="635"/>
      <c r="E123" s="635"/>
      <c r="F123" s="635"/>
      <c r="G123" s="635"/>
      <c r="H123" s="826" t="s">
        <v>810</v>
      </c>
      <c r="I123" s="826"/>
      <c r="J123" s="804"/>
    </row>
    <row r="124" spans="1:10" ht="13.5" customHeight="1" thickBot="1">
      <c r="A124" s="827" t="s">
        <v>83</v>
      </c>
      <c r="B124" s="830" t="s">
        <v>444</v>
      </c>
      <c r="C124" s="831"/>
      <c r="D124" s="831"/>
      <c r="E124" s="831"/>
      <c r="F124" s="832"/>
      <c r="G124" s="832"/>
      <c r="H124" s="832"/>
      <c r="I124" s="833"/>
      <c r="J124" s="804"/>
    </row>
    <row r="125" spans="1:10" ht="13.5" customHeight="1" thickBot="1">
      <c r="A125" s="828"/>
      <c r="B125" s="834" t="str">
        <f>B103</f>
        <v>Módosítás utáni összes forrás, kiadás</v>
      </c>
      <c r="C125" s="837" t="s">
        <v>826</v>
      </c>
      <c r="D125" s="838"/>
      <c r="E125" s="838"/>
      <c r="F125" s="838"/>
      <c r="G125" s="838"/>
      <c r="H125" s="838"/>
      <c r="I125" s="839"/>
      <c r="J125" s="804"/>
    </row>
    <row r="126" spans="1:10" ht="48.75" thickBot="1">
      <c r="A126" s="828"/>
      <c r="B126" s="835"/>
      <c r="C126" s="840" t="str">
        <f>CONCATENATE(Z_TARTALOMJEGYZÉK!$A$1,".  előtti forrás, kiadás")</f>
        <v>2019.  előtti forrás, kiadás</v>
      </c>
      <c r="D126" s="636" t="s">
        <v>446</v>
      </c>
      <c r="E126" s="636" t="s">
        <v>447</v>
      </c>
      <c r="F126" s="637" t="str">
        <f>CONCATENATE("Összes teljesítés ",Z_TARTALOMJEGYZÉK!$A$1,". XII.31 -ig")</f>
        <v>Összes teljesítés 2019. XII.31 -ig</v>
      </c>
      <c r="G126" s="637" t="s">
        <v>446</v>
      </c>
      <c r="H126" s="637" t="s">
        <v>447</v>
      </c>
      <c r="I126" s="637" t="str">
        <f>CONCATENATE("Összes teljesítés ",Z_TARTALOMJEGYZÉK!$A$1,". XII.31 -ig")</f>
        <v>Összes teljesítés 2019. XII.31 -ig</v>
      </c>
      <c r="J126" s="804"/>
    </row>
    <row r="127" spans="1:10" ht="13.5" thickBot="1">
      <c r="A127" s="829"/>
      <c r="B127" s="836"/>
      <c r="C127" s="841"/>
      <c r="D127" s="842" t="str">
        <f>CONCATENATE(Z_TARTALOMJEGYZÉK!$A$1,". évi")</f>
        <v>2019. évi</v>
      </c>
      <c r="E127" s="843"/>
      <c r="F127" s="844"/>
      <c r="G127" s="842" t="str">
        <f>CONCATENATE(Z_TARTALOMJEGYZÉK!$A$1,". után")</f>
        <v>2019. után</v>
      </c>
      <c r="H127" s="845"/>
      <c r="I127" s="844"/>
      <c r="J127" s="804"/>
    </row>
    <row r="128" spans="1:10" ht="13.5" thickBot="1">
      <c r="A128" s="638" t="s">
        <v>385</v>
      </c>
      <c r="B128" s="639" t="s">
        <v>831</v>
      </c>
      <c r="C128" s="640" t="s">
        <v>387</v>
      </c>
      <c r="D128" s="641" t="s">
        <v>389</v>
      </c>
      <c r="E128" s="641" t="s">
        <v>388</v>
      </c>
      <c r="F128" s="640" t="s">
        <v>390</v>
      </c>
      <c r="G128" s="640" t="s">
        <v>391</v>
      </c>
      <c r="H128" s="640" t="s">
        <v>392</v>
      </c>
      <c r="I128" s="642" t="s">
        <v>830</v>
      </c>
      <c r="J128" s="804"/>
    </row>
    <row r="129" spans="1:10" ht="12.75">
      <c r="A129" s="643" t="s">
        <v>84</v>
      </c>
      <c r="B129" s="669">
        <f aca="true" t="shared" si="18" ref="B129:B134">C129+E129+H129</f>
        <v>20394900</v>
      </c>
      <c r="C129" s="655"/>
      <c r="D129" s="656"/>
      <c r="E129" s="656"/>
      <c r="F129" s="666"/>
      <c r="G129" s="656"/>
      <c r="H129" s="657">
        <v>20394900</v>
      </c>
      <c r="I129" s="658">
        <f aca="true" t="shared" si="19" ref="I129:I134">C129+F129</f>
        <v>0</v>
      </c>
      <c r="J129" s="804"/>
    </row>
    <row r="130" spans="1:10" ht="12.75">
      <c r="A130" s="644" t="s">
        <v>95</v>
      </c>
      <c r="B130" s="670">
        <f t="shared" si="18"/>
        <v>0</v>
      </c>
      <c r="C130" s="659"/>
      <c r="D130" s="659"/>
      <c r="E130" s="660"/>
      <c r="F130" s="667"/>
      <c r="G130" s="659"/>
      <c r="H130" s="660"/>
      <c r="I130" s="661">
        <f t="shared" si="19"/>
        <v>0</v>
      </c>
      <c r="J130" s="804"/>
    </row>
    <row r="131" spans="1:10" ht="12.75">
      <c r="A131" s="645" t="s">
        <v>85</v>
      </c>
      <c r="B131" s="671">
        <f t="shared" si="18"/>
        <v>200000001</v>
      </c>
      <c r="C131" s="660">
        <v>200000001</v>
      </c>
      <c r="D131" s="660"/>
      <c r="E131" s="660"/>
      <c r="F131" s="668"/>
      <c r="G131" s="660"/>
      <c r="H131" s="660"/>
      <c r="I131" s="661">
        <f t="shared" si="19"/>
        <v>200000001</v>
      </c>
      <c r="J131" s="804"/>
    </row>
    <row r="132" spans="1:10" ht="12.75">
      <c r="A132" s="645" t="s">
        <v>96</v>
      </c>
      <c r="B132" s="671">
        <f t="shared" si="18"/>
        <v>0</v>
      </c>
      <c r="C132" s="660"/>
      <c r="D132" s="660"/>
      <c r="E132" s="660"/>
      <c r="F132" s="668"/>
      <c r="G132" s="660"/>
      <c r="H132" s="660"/>
      <c r="I132" s="661">
        <f t="shared" si="19"/>
        <v>0</v>
      </c>
      <c r="J132" s="804"/>
    </row>
    <row r="133" spans="1:10" ht="12.75">
      <c r="A133" s="645" t="s">
        <v>86</v>
      </c>
      <c r="B133" s="671">
        <f t="shared" si="18"/>
        <v>44679044</v>
      </c>
      <c r="C133" s="660"/>
      <c r="D133" s="660"/>
      <c r="E133" s="660"/>
      <c r="F133" s="668"/>
      <c r="G133" s="660"/>
      <c r="H133" s="660">
        <v>44679044</v>
      </c>
      <c r="I133" s="661">
        <f t="shared" si="19"/>
        <v>0</v>
      </c>
      <c r="J133" s="804"/>
    </row>
    <row r="134" spans="1:10" ht="13.5" thickBot="1">
      <c r="A134" s="645" t="s">
        <v>87</v>
      </c>
      <c r="B134" s="671">
        <f t="shared" si="18"/>
        <v>0</v>
      </c>
      <c r="C134" s="660"/>
      <c r="D134" s="660"/>
      <c r="E134" s="660"/>
      <c r="F134" s="668"/>
      <c r="G134" s="660"/>
      <c r="H134" s="660"/>
      <c r="I134" s="661">
        <f t="shared" si="19"/>
        <v>0</v>
      </c>
      <c r="J134" s="804"/>
    </row>
    <row r="135" spans="1:10" ht="13.5" thickBot="1">
      <c r="A135" s="646" t="s">
        <v>88</v>
      </c>
      <c r="B135" s="672">
        <f aca="true" t="shared" si="20" ref="B135:I135">B129+SUM(B131:B134)</f>
        <v>265073945</v>
      </c>
      <c r="C135" s="662">
        <f t="shared" si="20"/>
        <v>200000001</v>
      </c>
      <c r="D135" s="662">
        <f t="shared" si="20"/>
        <v>0</v>
      </c>
      <c r="E135" s="662">
        <f t="shared" si="20"/>
        <v>0</v>
      </c>
      <c r="F135" s="662">
        <f t="shared" si="20"/>
        <v>0</v>
      </c>
      <c r="G135" s="662">
        <f t="shared" si="20"/>
        <v>0</v>
      </c>
      <c r="H135" s="662">
        <f t="shared" si="20"/>
        <v>65073944</v>
      </c>
      <c r="I135" s="663">
        <f t="shared" si="20"/>
        <v>200000001</v>
      </c>
      <c r="J135" s="804"/>
    </row>
    <row r="136" spans="1:10" ht="12.75">
      <c r="A136" s="647" t="s">
        <v>91</v>
      </c>
      <c r="B136" s="669">
        <f>C136+E136+H136</f>
        <v>0</v>
      </c>
      <c r="C136" s="656"/>
      <c r="D136" s="656"/>
      <c r="E136" s="656"/>
      <c r="F136" s="656"/>
      <c r="G136" s="656"/>
      <c r="H136" s="656"/>
      <c r="I136" s="658">
        <f>C136+F136</f>
        <v>0</v>
      </c>
      <c r="J136" s="804"/>
    </row>
    <row r="137" spans="1:10" ht="12.75">
      <c r="A137" s="648" t="s">
        <v>92</v>
      </c>
      <c r="B137" s="671">
        <f>C137+E137+H137</f>
        <v>250670046</v>
      </c>
      <c r="C137" s="660">
        <v>5144020</v>
      </c>
      <c r="D137" s="660"/>
      <c r="E137" s="660"/>
      <c r="F137" s="660"/>
      <c r="G137" s="660"/>
      <c r="H137" s="660">
        <v>245526026</v>
      </c>
      <c r="I137" s="661">
        <f>C137+F137</f>
        <v>5144020</v>
      </c>
      <c r="J137" s="804"/>
    </row>
    <row r="138" spans="1:10" ht="12.75">
      <c r="A138" s="648" t="s">
        <v>93</v>
      </c>
      <c r="B138" s="671">
        <f>C138+E138+H138</f>
        <v>14403899</v>
      </c>
      <c r="C138" s="660">
        <v>4765500</v>
      </c>
      <c r="D138" s="660"/>
      <c r="E138" s="660">
        <v>2194474</v>
      </c>
      <c r="F138" s="660">
        <v>2194474</v>
      </c>
      <c r="G138" s="660"/>
      <c r="H138" s="660">
        <v>7443925</v>
      </c>
      <c r="I138" s="661">
        <f>C138+F138</f>
        <v>6959974</v>
      </c>
      <c r="J138" s="804"/>
    </row>
    <row r="139" spans="1:10" ht="12.75">
      <c r="A139" s="648" t="s">
        <v>94</v>
      </c>
      <c r="B139" s="671">
        <f>C139+E139+H139</f>
        <v>0</v>
      </c>
      <c r="C139" s="660"/>
      <c r="D139" s="660"/>
      <c r="E139" s="660"/>
      <c r="F139" s="660"/>
      <c r="G139" s="660"/>
      <c r="H139" s="660"/>
      <c r="I139" s="661">
        <f>C139+F139</f>
        <v>0</v>
      </c>
      <c r="J139" s="804"/>
    </row>
    <row r="140" spans="1:10" ht="13.5" thickBot="1">
      <c r="A140" s="649"/>
      <c r="B140" s="673">
        <f>C140+E140+H140</f>
        <v>0</v>
      </c>
      <c r="C140" s="664"/>
      <c r="D140" s="664"/>
      <c r="E140" s="660"/>
      <c r="F140" s="664"/>
      <c r="G140" s="664"/>
      <c r="H140" s="660"/>
      <c r="I140" s="665">
        <f>C140+F140</f>
        <v>0</v>
      </c>
      <c r="J140" s="804"/>
    </row>
    <row r="141" spans="1:10" ht="13.5" thickBot="1">
      <c r="A141" s="650" t="s">
        <v>74</v>
      </c>
      <c r="B141" s="672">
        <f aca="true" t="shared" si="21" ref="B141:I141">SUM(B136:B140)</f>
        <v>265073945</v>
      </c>
      <c r="C141" s="662">
        <f t="shared" si="21"/>
        <v>9909520</v>
      </c>
      <c r="D141" s="662">
        <f t="shared" si="21"/>
        <v>0</v>
      </c>
      <c r="E141" s="662">
        <f t="shared" si="21"/>
        <v>2194474</v>
      </c>
      <c r="F141" s="662">
        <f t="shared" si="21"/>
        <v>2194474</v>
      </c>
      <c r="G141" s="662">
        <f t="shared" si="21"/>
        <v>0</v>
      </c>
      <c r="H141" s="662">
        <f t="shared" si="21"/>
        <v>252969951</v>
      </c>
      <c r="I141" s="663">
        <f t="shared" si="21"/>
        <v>12103994</v>
      </c>
      <c r="J141" s="804"/>
    </row>
    <row r="142" ht="12.75">
      <c r="J142" s="804"/>
    </row>
    <row r="143" ht="12.75">
      <c r="J143" s="804"/>
    </row>
    <row r="144" spans="1:10" ht="14.25">
      <c r="A144" s="823" t="s">
        <v>828</v>
      </c>
      <c r="B144" s="823"/>
      <c r="C144" s="824" t="s">
        <v>918</v>
      </c>
      <c r="D144" s="825"/>
      <c r="E144" s="825"/>
      <c r="F144" s="825"/>
      <c r="G144" s="825"/>
      <c r="H144" s="825"/>
      <c r="I144" s="825"/>
      <c r="J144" s="804" t="s">
        <v>924</v>
      </c>
    </row>
    <row r="145" spans="1:10" ht="15.75" thickBot="1">
      <c r="A145" s="635"/>
      <c r="B145" s="635"/>
      <c r="C145" s="635"/>
      <c r="D145" s="635"/>
      <c r="E145" s="635"/>
      <c r="F145" s="635"/>
      <c r="G145" s="635"/>
      <c r="H145" s="826" t="s">
        <v>810</v>
      </c>
      <c r="I145" s="826"/>
      <c r="J145" s="804"/>
    </row>
    <row r="146" spans="1:10" ht="13.5" customHeight="1" thickBot="1">
      <c r="A146" s="827" t="s">
        <v>83</v>
      </c>
      <c r="B146" s="830" t="s">
        <v>444</v>
      </c>
      <c r="C146" s="831"/>
      <c r="D146" s="831"/>
      <c r="E146" s="831"/>
      <c r="F146" s="832"/>
      <c r="G146" s="832"/>
      <c r="H146" s="832"/>
      <c r="I146" s="833"/>
      <c r="J146" s="804"/>
    </row>
    <row r="147" spans="1:10" ht="13.5" customHeight="1" thickBot="1">
      <c r="A147" s="828"/>
      <c r="B147" s="834" t="str">
        <f>B125</f>
        <v>Módosítás utáni összes forrás, kiadás</v>
      </c>
      <c r="C147" s="837" t="s">
        <v>826</v>
      </c>
      <c r="D147" s="838"/>
      <c r="E147" s="838"/>
      <c r="F147" s="838"/>
      <c r="G147" s="838"/>
      <c r="H147" s="838"/>
      <c r="I147" s="839"/>
      <c r="J147" s="804"/>
    </row>
    <row r="148" spans="1:10" ht="48.75" thickBot="1">
      <c r="A148" s="828"/>
      <c r="B148" s="835"/>
      <c r="C148" s="840" t="str">
        <f>CONCATENATE(Z_TARTALOMJEGYZÉK!$A$1,".  előtti forrás, kiadás")</f>
        <v>2019.  előtti forrás, kiadás</v>
      </c>
      <c r="D148" s="636" t="s">
        <v>446</v>
      </c>
      <c r="E148" s="636" t="s">
        <v>447</v>
      </c>
      <c r="F148" s="637" t="str">
        <f>CONCATENATE("Összes teljesítés ",Z_TARTALOMJEGYZÉK!$A$1,". XII.31 -ig")</f>
        <v>Összes teljesítés 2019. XII.31 -ig</v>
      </c>
      <c r="G148" s="637" t="s">
        <v>446</v>
      </c>
      <c r="H148" s="637" t="s">
        <v>447</v>
      </c>
      <c r="I148" s="637" t="str">
        <f>CONCATENATE("Összes teljesítés ",Z_TARTALOMJEGYZÉK!$A$1,". XII.31 -ig")</f>
        <v>Összes teljesítés 2019. XII.31 -ig</v>
      </c>
      <c r="J148" s="804"/>
    </row>
    <row r="149" spans="1:10" ht="13.5" thickBot="1">
      <c r="A149" s="829"/>
      <c r="B149" s="836"/>
      <c r="C149" s="841"/>
      <c r="D149" s="842" t="str">
        <f>CONCATENATE(Z_TARTALOMJEGYZÉK!$A$1,". évi")</f>
        <v>2019. évi</v>
      </c>
      <c r="E149" s="843"/>
      <c r="F149" s="844"/>
      <c r="G149" s="842" t="str">
        <f>CONCATENATE(Z_TARTALOMJEGYZÉK!$A$1,". után")</f>
        <v>2019. után</v>
      </c>
      <c r="H149" s="845"/>
      <c r="I149" s="844"/>
      <c r="J149" s="804"/>
    </row>
    <row r="150" spans="1:10" ht="13.5" thickBot="1">
      <c r="A150" s="638" t="s">
        <v>385</v>
      </c>
      <c r="B150" s="639" t="s">
        <v>831</v>
      </c>
      <c r="C150" s="640" t="s">
        <v>387</v>
      </c>
      <c r="D150" s="641" t="s">
        <v>389</v>
      </c>
      <c r="E150" s="641" t="s">
        <v>388</v>
      </c>
      <c r="F150" s="640" t="s">
        <v>390</v>
      </c>
      <c r="G150" s="640" t="s">
        <v>391</v>
      </c>
      <c r="H150" s="640" t="s">
        <v>392</v>
      </c>
      <c r="I150" s="642" t="s">
        <v>830</v>
      </c>
      <c r="J150" s="804"/>
    </row>
    <row r="151" spans="1:10" ht="12.75">
      <c r="A151" s="643" t="s">
        <v>84</v>
      </c>
      <c r="B151" s="669">
        <f aca="true" t="shared" si="22" ref="B151:B156">C151+E151+H151</f>
        <v>8884977</v>
      </c>
      <c r="C151" s="655"/>
      <c r="D151" s="656"/>
      <c r="E151" s="656"/>
      <c r="F151" s="666"/>
      <c r="G151" s="656"/>
      <c r="H151" s="657">
        <v>8884977</v>
      </c>
      <c r="I151" s="658">
        <f aca="true" t="shared" si="23" ref="I151:I156">C151+F151</f>
        <v>0</v>
      </c>
      <c r="J151" s="804"/>
    </row>
    <row r="152" spans="1:10" ht="12.75">
      <c r="A152" s="644" t="s">
        <v>95</v>
      </c>
      <c r="B152" s="670">
        <f t="shared" si="22"/>
        <v>0</v>
      </c>
      <c r="C152" s="659"/>
      <c r="D152" s="659"/>
      <c r="E152" s="660"/>
      <c r="F152" s="667"/>
      <c r="G152" s="659"/>
      <c r="H152" s="660"/>
      <c r="I152" s="661">
        <f t="shared" si="23"/>
        <v>0</v>
      </c>
      <c r="J152" s="804"/>
    </row>
    <row r="153" spans="1:10" ht="12.75">
      <c r="A153" s="645" t="s">
        <v>85</v>
      </c>
      <c r="B153" s="671">
        <f t="shared" si="22"/>
        <v>120000000</v>
      </c>
      <c r="C153" s="660">
        <v>120000000</v>
      </c>
      <c r="D153" s="660"/>
      <c r="E153" s="660"/>
      <c r="F153" s="668"/>
      <c r="G153" s="660"/>
      <c r="H153" s="660"/>
      <c r="I153" s="661">
        <f t="shared" si="23"/>
        <v>120000000</v>
      </c>
      <c r="J153" s="804"/>
    </row>
    <row r="154" spans="1:10" ht="12.75">
      <c r="A154" s="645" t="s">
        <v>96</v>
      </c>
      <c r="B154" s="671">
        <f t="shared" si="22"/>
        <v>0</v>
      </c>
      <c r="C154" s="660"/>
      <c r="D154" s="660"/>
      <c r="E154" s="660"/>
      <c r="F154" s="668"/>
      <c r="G154" s="660"/>
      <c r="H154" s="660"/>
      <c r="I154" s="661">
        <f t="shared" si="23"/>
        <v>0</v>
      </c>
      <c r="J154" s="804"/>
    </row>
    <row r="155" spans="1:10" ht="12.75">
      <c r="A155" s="645" t="s">
        <v>86</v>
      </c>
      <c r="B155" s="671">
        <f t="shared" si="22"/>
        <v>93644716</v>
      </c>
      <c r="C155" s="660"/>
      <c r="D155" s="660"/>
      <c r="E155" s="660"/>
      <c r="F155" s="668"/>
      <c r="G155" s="660"/>
      <c r="H155" s="660">
        <v>93644716</v>
      </c>
      <c r="I155" s="661">
        <f t="shared" si="23"/>
        <v>0</v>
      </c>
      <c r="J155" s="804"/>
    </row>
    <row r="156" spans="1:10" ht="13.5" thickBot="1">
      <c r="A156" s="645" t="s">
        <v>87</v>
      </c>
      <c r="B156" s="671">
        <f t="shared" si="22"/>
        <v>0</v>
      </c>
      <c r="C156" s="660"/>
      <c r="D156" s="660"/>
      <c r="E156" s="660"/>
      <c r="F156" s="668"/>
      <c r="G156" s="660"/>
      <c r="H156" s="660"/>
      <c r="I156" s="661">
        <f t="shared" si="23"/>
        <v>0</v>
      </c>
      <c r="J156" s="804"/>
    </row>
    <row r="157" spans="1:10" ht="13.5" thickBot="1">
      <c r="A157" s="646" t="s">
        <v>88</v>
      </c>
      <c r="B157" s="672">
        <f aca="true" t="shared" si="24" ref="B157:I157">B151+SUM(B153:B156)</f>
        <v>222529693</v>
      </c>
      <c r="C157" s="662">
        <f t="shared" si="24"/>
        <v>120000000</v>
      </c>
      <c r="D157" s="662">
        <f t="shared" si="24"/>
        <v>0</v>
      </c>
      <c r="E157" s="662">
        <f t="shared" si="24"/>
        <v>0</v>
      </c>
      <c r="F157" s="662">
        <f t="shared" si="24"/>
        <v>0</v>
      </c>
      <c r="G157" s="662">
        <f t="shared" si="24"/>
        <v>0</v>
      </c>
      <c r="H157" s="662">
        <f t="shared" si="24"/>
        <v>102529693</v>
      </c>
      <c r="I157" s="663">
        <f t="shared" si="24"/>
        <v>120000000</v>
      </c>
      <c r="J157" s="804"/>
    </row>
    <row r="158" spans="1:10" ht="12.75">
      <c r="A158" s="647" t="s">
        <v>91</v>
      </c>
      <c r="B158" s="669">
        <f>C158+E158+H158</f>
        <v>0</v>
      </c>
      <c r="C158" s="656"/>
      <c r="D158" s="656"/>
      <c r="E158" s="656"/>
      <c r="F158" s="656"/>
      <c r="G158" s="656"/>
      <c r="H158" s="656"/>
      <c r="I158" s="658">
        <f>C158+F158</f>
        <v>0</v>
      </c>
      <c r="J158" s="804"/>
    </row>
    <row r="159" spans="1:10" ht="12.75">
      <c r="A159" s="648" t="s">
        <v>92</v>
      </c>
      <c r="B159" s="671">
        <f>C159+E159+H159</f>
        <v>220995693</v>
      </c>
      <c r="C159" s="660">
        <v>2920480</v>
      </c>
      <c r="D159" s="660"/>
      <c r="E159" s="660">
        <v>551901</v>
      </c>
      <c r="F159" s="660">
        <v>551901</v>
      </c>
      <c r="G159" s="660"/>
      <c r="H159" s="660">
        <v>217523312</v>
      </c>
      <c r="I159" s="661">
        <f>C159+F159</f>
        <v>3472381</v>
      </c>
      <c r="J159" s="804"/>
    </row>
    <row r="160" spans="1:10" ht="12.75">
      <c r="A160" s="648" t="s">
        <v>93</v>
      </c>
      <c r="B160" s="671">
        <f>C160+E160+H160</f>
        <v>1534000</v>
      </c>
      <c r="C160" s="660">
        <v>1534000</v>
      </c>
      <c r="D160" s="660"/>
      <c r="E160" s="660"/>
      <c r="F160" s="660"/>
      <c r="G160" s="660"/>
      <c r="H160" s="660"/>
      <c r="I160" s="661">
        <f>C160+F160</f>
        <v>1534000</v>
      </c>
      <c r="J160" s="804"/>
    </row>
    <row r="161" spans="1:10" ht="12.75">
      <c r="A161" s="648" t="s">
        <v>94</v>
      </c>
      <c r="B161" s="671">
        <f>C161+E161+H161</f>
        <v>0</v>
      </c>
      <c r="C161" s="660"/>
      <c r="D161" s="660"/>
      <c r="E161" s="660"/>
      <c r="F161" s="660"/>
      <c r="G161" s="660"/>
      <c r="H161" s="660"/>
      <c r="I161" s="661">
        <f>C161+F161</f>
        <v>0</v>
      </c>
      <c r="J161" s="804"/>
    </row>
    <row r="162" spans="1:10" ht="13.5" thickBot="1">
      <c r="A162" s="649"/>
      <c r="B162" s="673">
        <f>C162+E162+H162</f>
        <v>0</v>
      </c>
      <c r="C162" s="664"/>
      <c r="D162" s="664"/>
      <c r="E162" s="660"/>
      <c r="F162" s="664"/>
      <c r="G162" s="664"/>
      <c r="H162" s="660"/>
      <c r="I162" s="665">
        <f>C162+F162</f>
        <v>0</v>
      </c>
      <c r="J162" s="804"/>
    </row>
    <row r="163" spans="1:10" ht="13.5" thickBot="1">
      <c r="A163" s="650" t="s">
        <v>74</v>
      </c>
      <c r="B163" s="672">
        <f aca="true" t="shared" si="25" ref="B163:I163">SUM(B158:B162)</f>
        <v>222529693</v>
      </c>
      <c r="C163" s="662">
        <f t="shared" si="25"/>
        <v>4454480</v>
      </c>
      <c r="D163" s="662">
        <f t="shared" si="25"/>
        <v>0</v>
      </c>
      <c r="E163" s="662">
        <f t="shared" si="25"/>
        <v>551901</v>
      </c>
      <c r="F163" s="662">
        <f t="shared" si="25"/>
        <v>551901</v>
      </c>
      <c r="G163" s="662">
        <f t="shared" si="25"/>
        <v>0</v>
      </c>
      <c r="H163" s="662">
        <f t="shared" si="25"/>
        <v>217523312</v>
      </c>
      <c r="I163" s="663">
        <f t="shared" si="25"/>
        <v>5006381</v>
      </c>
      <c r="J163" s="804"/>
    </row>
    <row r="164" ht="12.75">
      <c r="J164" s="804"/>
    </row>
    <row r="165" ht="12.75">
      <c r="J165" s="804"/>
    </row>
    <row r="166" spans="1:10" ht="14.25">
      <c r="A166" s="823" t="s">
        <v>828</v>
      </c>
      <c r="B166" s="823"/>
      <c r="C166" s="824" t="s">
        <v>919</v>
      </c>
      <c r="D166" s="825"/>
      <c r="E166" s="825"/>
      <c r="F166" s="825"/>
      <c r="G166" s="825"/>
      <c r="H166" s="825"/>
      <c r="I166" s="825"/>
      <c r="J166" s="804" t="s">
        <v>924</v>
      </c>
    </row>
    <row r="167" spans="1:10" ht="15.75" thickBot="1">
      <c r="A167" s="635"/>
      <c r="B167" s="635"/>
      <c r="C167" s="635"/>
      <c r="D167" s="635"/>
      <c r="E167" s="635"/>
      <c r="F167" s="635"/>
      <c r="G167" s="635"/>
      <c r="H167" s="826" t="s">
        <v>810</v>
      </c>
      <c r="I167" s="826"/>
      <c r="J167" s="804"/>
    </row>
    <row r="168" spans="1:10" ht="13.5" customHeight="1" thickBot="1">
      <c r="A168" s="827" t="s">
        <v>83</v>
      </c>
      <c r="B168" s="830" t="s">
        <v>444</v>
      </c>
      <c r="C168" s="831"/>
      <c r="D168" s="831"/>
      <c r="E168" s="831"/>
      <c r="F168" s="832"/>
      <c r="G168" s="832"/>
      <c r="H168" s="832"/>
      <c r="I168" s="833"/>
      <c r="J168" s="804"/>
    </row>
    <row r="169" spans="1:10" ht="13.5" customHeight="1" thickBot="1">
      <c r="A169" s="828"/>
      <c r="B169" s="834" t="str">
        <f>B147</f>
        <v>Módosítás utáni összes forrás, kiadás</v>
      </c>
      <c r="C169" s="837" t="s">
        <v>826</v>
      </c>
      <c r="D169" s="838"/>
      <c r="E169" s="838"/>
      <c r="F169" s="838"/>
      <c r="G169" s="838"/>
      <c r="H169" s="838"/>
      <c r="I169" s="839"/>
      <c r="J169" s="804"/>
    </row>
    <row r="170" spans="1:10" ht="48.75" thickBot="1">
      <c r="A170" s="828"/>
      <c r="B170" s="835"/>
      <c r="C170" s="840" t="str">
        <f>CONCATENATE(Z_TARTALOMJEGYZÉK!$A$1,".  előtti forrás, kiadás")</f>
        <v>2019.  előtti forrás, kiadás</v>
      </c>
      <c r="D170" s="636" t="s">
        <v>446</v>
      </c>
      <c r="E170" s="636" t="s">
        <v>447</v>
      </c>
      <c r="F170" s="637" t="str">
        <f>CONCATENATE("Összes teljesítés ",Z_TARTALOMJEGYZÉK!$A$1,". XII.31 -ig")</f>
        <v>Összes teljesítés 2019. XII.31 -ig</v>
      </c>
      <c r="G170" s="637" t="s">
        <v>446</v>
      </c>
      <c r="H170" s="637" t="s">
        <v>447</v>
      </c>
      <c r="I170" s="637" t="str">
        <f>CONCATENATE("Összes teljesítés ",Z_TARTALOMJEGYZÉK!$A$1,". XII.31 -ig")</f>
        <v>Összes teljesítés 2019. XII.31 -ig</v>
      </c>
      <c r="J170" s="804"/>
    </row>
    <row r="171" spans="1:10" ht="13.5" thickBot="1">
      <c r="A171" s="829"/>
      <c r="B171" s="836"/>
      <c r="C171" s="841"/>
      <c r="D171" s="842" t="str">
        <f>CONCATENATE(Z_TARTALOMJEGYZÉK!$A$1,". évi")</f>
        <v>2019. évi</v>
      </c>
      <c r="E171" s="843"/>
      <c r="F171" s="844"/>
      <c r="G171" s="842" t="str">
        <f>CONCATENATE(Z_TARTALOMJEGYZÉK!$A$1,". után")</f>
        <v>2019. után</v>
      </c>
      <c r="H171" s="845"/>
      <c r="I171" s="844"/>
      <c r="J171" s="804"/>
    </row>
    <row r="172" spans="1:10" ht="13.5" thickBot="1">
      <c r="A172" s="638" t="s">
        <v>385</v>
      </c>
      <c r="B172" s="639" t="s">
        <v>831</v>
      </c>
      <c r="C172" s="640" t="s">
        <v>387</v>
      </c>
      <c r="D172" s="641" t="s">
        <v>389</v>
      </c>
      <c r="E172" s="641" t="s">
        <v>388</v>
      </c>
      <c r="F172" s="640" t="s">
        <v>390</v>
      </c>
      <c r="G172" s="640" t="s">
        <v>391</v>
      </c>
      <c r="H172" s="640" t="s">
        <v>392</v>
      </c>
      <c r="I172" s="642" t="s">
        <v>830</v>
      </c>
      <c r="J172" s="804"/>
    </row>
    <row r="173" spans="1:10" ht="12.75">
      <c r="A173" s="643" t="s">
        <v>84</v>
      </c>
      <c r="B173" s="669">
        <f aca="true" t="shared" si="26" ref="B173:B178">C173+E173+H173</f>
        <v>150000</v>
      </c>
      <c r="C173" s="655">
        <v>150000</v>
      </c>
      <c r="D173" s="656"/>
      <c r="E173" s="656"/>
      <c r="F173" s="656"/>
      <c r="G173" s="656"/>
      <c r="H173" s="657"/>
      <c r="I173" s="658">
        <f aca="true" t="shared" si="27" ref="I173:I178">C173+F173</f>
        <v>150000</v>
      </c>
      <c r="J173" s="804"/>
    </row>
    <row r="174" spans="1:10" ht="12.75">
      <c r="A174" s="644" t="s">
        <v>95</v>
      </c>
      <c r="B174" s="670">
        <f t="shared" si="26"/>
        <v>0</v>
      </c>
      <c r="C174" s="659"/>
      <c r="D174" s="659"/>
      <c r="E174" s="660"/>
      <c r="F174" s="667"/>
      <c r="G174" s="659"/>
      <c r="H174" s="660"/>
      <c r="I174" s="661">
        <f t="shared" si="27"/>
        <v>0</v>
      </c>
      <c r="J174" s="804"/>
    </row>
    <row r="175" spans="1:10" ht="12.75">
      <c r="A175" s="645" t="s">
        <v>85</v>
      </c>
      <c r="B175" s="671">
        <f t="shared" si="26"/>
        <v>110047422</v>
      </c>
      <c r="C175" s="660">
        <v>101913700</v>
      </c>
      <c r="D175" s="660"/>
      <c r="E175" s="660"/>
      <c r="F175" s="668"/>
      <c r="G175" s="660"/>
      <c r="H175" s="660">
        <v>8133722</v>
      </c>
      <c r="I175" s="661">
        <f t="shared" si="27"/>
        <v>101913700</v>
      </c>
      <c r="J175" s="804"/>
    </row>
    <row r="176" spans="1:10" ht="12.75">
      <c r="A176" s="645" t="s">
        <v>96</v>
      </c>
      <c r="B176" s="671">
        <f t="shared" si="26"/>
        <v>0</v>
      </c>
      <c r="C176" s="660"/>
      <c r="D176" s="660"/>
      <c r="E176" s="660"/>
      <c r="F176" s="668"/>
      <c r="G176" s="660"/>
      <c r="H176" s="660"/>
      <c r="I176" s="661">
        <f t="shared" si="27"/>
        <v>0</v>
      </c>
      <c r="J176" s="804"/>
    </row>
    <row r="177" spans="1:10" ht="12.75">
      <c r="A177" s="645" t="s">
        <v>86</v>
      </c>
      <c r="B177" s="671">
        <f t="shared" si="26"/>
        <v>16410156</v>
      </c>
      <c r="C177" s="660"/>
      <c r="D177" s="660"/>
      <c r="E177" s="660">
        <v>16410156</v>
      </c>
      <c r="F177" s="668"/>
      <c r="G177" s="660"/>
      <c r="H177" s="660"/>
      <c r="I177" s="661">
        <f t="shared" si="27"/>
        <v>0</v>
      </c>
      <c r="J177" s="804"/>
    </row>
    <row r="178" spans="1:10" ht="13.5" thickBot="1">
      <c r="A178" s="645" t="s">
        <v>87</v>
      </c>
      <c r="B178" s="671">
        <f t="shared" si="26"/>
        <v>0</v>
      </c>
      <c r="C178" s="660"/>
      <c r="D178" s="660"/>
      <c r="E178" s="660"/>
      <c r="F178" s="668"/>
      <c r="G178" s="660"/>
      <c r="H178" s="660"/>
      <c r="I178" s="661">
        <f t="shared" si="27"/>
        <v>0</v>
      </c>
      <c r="J178" s="804"/>
    </row>
    <row r="179" spans="1:10" ht="13.5" thickBot="1">
      <c r="A179" s="646" t="s">
        <v>88</v>
      </c>
      <c r="B179" s="672">
        <f aca="true" t="shared" si="28" ref="B179:I179">B173+SUM(B175:B178)</f>
        <v>126607578</v>
      </c>
      <c r="C179" s="662">
        <f t="shared" si="28"/>
        <v>102063700</v>
      </c>
      <c r="D179" s="662">
        <f t="shared" si="28"/>
        <v>0</v>
      </c>
      <c r="E179" s="662">
        <f t="shared" si="28"/>
        <v>16410156</v>
      </c>
      <c r="F179" s="662">
        <f t="shared" si="28"/>
        <v>0</v>
      </c>
      <c r="G179" s="662">
        <f t="shared" si="28"/>
        <v>0</v>
      </c>
      <c r="H179" s="662">
        <f t="shared" si="28"/>
        <v>8133722</v>
      </c>
      <c r="I179" s="663">
        <f t="shared" si="28"/>
        <v>102063700</v>
      </c>
      <c r="J179" s="804"/>
    </row>
    <row r="180" spans="1:10" ht="12.75">
      <c r="A180" s="647" t="s">
        <v>91</v>
      </c>
      <c r="B180" s="669">
        <f>C180+E180+H180</f>
        <v>0</v>
      </c>
      <c r="C180" s="656"/>
      <c r="D180" s="656"/>
      <c r="E180" s="656"/>
      <c r="F180" s="656"/>
      <c r="G180" s="656"/>
      <c r="H180" s="656"/>
      <c r="I180" s="658">
        <f>C180+F180</f>
        <v>0</v>
      </c>
      <c r="J180" s="804"/>
    </row>
    <row r="181" spans="1:10" ht="12.75">
      <c r="A181" s="648" t="s">
        <v>92</v>
      </c>
      <c r="B181" s="671">
        <f>C181+E181+H181</f>
        <v>120022828</v>
      </c>
      <c r="C181" s="660">
        <v>3429000</v>
      </c>
      <c r="D181" s="660"/>
      <c r="E181" s="660"/>
      <c r="F181" s="660"/>
      <c r="G181" s="660"/>
      <c r="H181" s="660">
        <v>116593828</v>
      </c>
      <c r="I181" s="661">
        <f>C181+F181</f>
        <v>3429000</v>
      </c>
      <c r="J181" s="804"/>
    </row>
    <row r="182" spans="1:10" ht="12.75">
      <c r="A182" s="648" t="s">
        <v>93</v>
      </c>
      <c r="B182" s="671">
        <f>C182+E182+H182</f>
        <v>6584750</v>
      </c>
      <c r="C182" s="660">
        <f>2571750+150000</f>
        <v>2721750</v>
      </c>
      <c r="D182" s="660"/>
      <c r="E182" s="660"/>
      <c r="F182" s="660"/>
      <c r="G182" s="660"/>
      <c r="H182" s="660">
        <v>3863000</v>
      </c>
      <c r="I182" s="661">
        <f>C182+F182</f>
        <v>2721750</v>
      </c>
      <c r="J182" s="804"/>
    </row>
    <row r="183" spans="1:10" ht="12.75">
      <c r="A183" s="648" t="s">
        <v>94</v>
      </c>
      <c r="B183" s="671">
        <f>C183+E183+H183</f>
        <v>0</v>
      </c>
      <c r="C183" s="660"/>
      <c r="D183" s="660"/>
      <c r="E183" s="660"/>
      <c r="F183" s="660"/>
      <c r="G183" s="660"/>
      <c r="H183" s="660"/>
      <c r="I183" s="661">
        <f>C183+F183</f>
        <v>0</v>
      </c>
      <c r="J183" s="804"/>
    </row>
    <row r="184" spans="1:10" ht="13.5" thickBot="1">
      <c r="A184" s="649"/>
      <c r="B184" s="673">
        <f>C184+E184+H184</f>
        <v>0</v>
      </c>
      <c r="C184" s="664"/>
      <c r="D184" s="664"/>
      <c r="E184" s="660"/>
      <c r="F184" s="664"/>
      <c r="G184" s="664"/>
      <c r="H184" s="660"/>
      <c r="I184" s="665">
        <f>C184+F184</f>
        <v>0</v>
      </c>
      <c r="J184" s="804"/>
    </row>
    <row r="185" spans="1:10" ht="13.5" thickBot="1">
      <c r="A185" s="650" t="s">
        <v>74</v>
      </c>
      <c r="B185" s="672">
        <f aca="true" t="shared" si="29" ref="B185:I185">SUM(B180:B184)</f>
        <v>126607578</v>
      </c>
      <c r="C185" s="662">
        <f t="shared" si="29"/>
        <v>6150750</v>
      </c>
      <c r="D185" s="662">
        <f t="shared" si="29"/>
        <v>0</v>
      </c>
      <c r="E185" s="662">
        <f t="shared" si="29"/>
        <v>0</v>
      </c>
      <c r="F185" s="662">
        <f t="shared" si="29"/>
        <v>0</v>
      </c>
      <c r="G185" s="662">
        <f t="shared" si="29"/>
        <v>0</v>
      </c>
      <c r="H185" s="662">
        <f t="shared" si="29"/>
        <v>120456828</v>
      </c>
      <c r="I185" s="663">
        <f t="shared" si="29"/>
        <v>6150750</v>
      </c>
      <c r="J185" s="804"/>
    </row>
    <row r="186" ht="12.75">
      <c r="J186" s="804"/>
    </row>
    <row r="187" ht="12.75">
      <c r="J187" s="804"/>
    </row>
    <row r="188" spans="1:10" ht="14.25">
      <c r="A188" s="823" t="s">
        <v>828</v>
      </c>
      <c r="B188" s="823"/>
      <c r="C188" s="824" t="s">
        <v>920</v>
      </c>
      <c r="D188" s="825"/>
      <c r="E188" s="825"/>
      <c r="F188" s="825"/>
      <c r="G188" s="825"/>
      <c r="H188" s="825"/>
      <c r="I188" s="825"/>
      <c r="J188" s="804" t="s">
        <v>924</v>
      </c>
    </row>
    <row r="189" spans="1:10" ht="15.75" thickBot="1">
      <c r="A189" s="635"/>
      <c r="B189" s="635"/>
      <c r="C189" s="635"/>
      <c r="D189" s="635"/>
      <c r="E189" s="635"/>
      <c r="F189" s="635"/>
      <c r="G189" s="635"/>
      <c r="H189" s="826" t="s">
        <v>810</v>
      </c>
      <c r="I189" s="826"/>
      <c r="J189" s="804"/>
    </row>
    <row r="190" spans="1:10" ht="13.5" customHeight="1" thickBot="1">
      <c r="A190" s="827" t="s">
        <v>83</v>
      </c>
      <c r="B190" s="830" t="s">
        <v>444</v>
      </c>
      <c r="C190" s="831"/>
      <c r="D190" s="831"/>
      <c r="E190" s="831"/>
      <c r="F190" s="832"/>
      <c r="G190" s="832"/>
      <c r="H190" s="832"/>
      <c r="I190" s="833"/>
      <c r="J190" s="804"/>
    </row>
    <row r="191" spans="1:10" ht="13.5" customHeight="1" thickBot="1">
      <c r="A191" s="828"/>
      <c r="B191" s="834" t="str">
        <f>B169</f>
        <v>Módosítás utáni összes forrás, kiadás</v>
      </c>
      <c r="C191" s="837" t="s">
        <v>826</v>
      </c>
      <c r="D191" s="838"/>
      <c r="E191" s="838"/>
      <c r="F191" s="838"/>
      <c r="G191" s="838"/>
      <c r="H191" s="838"/>
      <c r="I191" s="839"/>
      <c r="J191" s="804"/>
    </row>
    <row r="192" spans="1:10" ht="48.75" thickBot="1">
      <c r="A192" s="828"/>
      <c r="B192" s="835"/>
      <c r="C192" s="840" t="str">
        <f>CONCATENATE(Z_TARTALOMJEGYZÉK!$A$1,".  előtti forrás, kiadás")</f>
        <v>2019.  előtti forrás, kiadás</v>
      </c>
      <c r="D192" s="636" t="s">
        <v>446</v>
      </c>
      <c r="E192" s="636" t="s">
        <v>447</v>
      </c>
      <c r="F192" s="637" t="str">
        <f>CONCATENATE("Összes teljesítés ",Z_TARTALOMJEGYZÉK!$A$1,". XII.31 -ig")</f>
        <v>Összes teljesítés 2019. XII.31 -ig</v>
      </c>
      <c r="G192" s="637" t="s">
        <v>446</v>
      </c>
      <c r="H192" s="637" t="s">
        <v>447</v>
      </c>
      <c r="I192" s="637" t="str">
        <f>CONCATENATE("Összes teljesítés ",Z_TARTALOMJEGYZÉK!$A$1,". XII.31 -ig")</f>
        <v>Összes teljesítés 2019. XII.31 -ig</v>
      </c>
      <c r="J192" s="804"/>
    </row>
    <row r="193" spans="1:10" ht="13.5" thickBot="1">
      <c r="A193" s="829"/>
      <c r="B193" s="836"/>
      <c r="C193" s="841"/>
      <c r="D193" s="842" t="str">
        <f>CONCATENATE(Z_TARTALOMJEGYZÉK!$A$1,". évi")</f>
        <v>2019. évi</v>
      </c>
      <c r="E193" s="843"/>
      <c r="F193" s="844"/>
      <c r="G193" s="842" t="str">
        <f>CONCATENATE(Z_TARTALOMJEGYZÉK!$A$1,". után")</f>
        <v>2019. után</v>
      </c>
      <c r="H193" s="845"/>
      <c r="I193" s="844"/>
      <c r="J193" s="804"/>
    </row>
    <row r="194" spans="1:10" ht="13.5" thickBot="1">
      <c r="A194" s="638" t="s">
        <v>385</v>
      </c>
      <c r="B194" s="639" t="s">
        <v>831</v>
      </c>
      <c r="C194" s="640" t="s">
        <v>387</v>
      </c>
      <c r="D194" s="641" t="s">
        <v>389</v>
      </c>
      <c r="E194" s="641" t="s">
        <v>388</v>
      </c>
      <c r="F194" s="640" t="s">
        <v>390</v>
      </c>
      <c r="G194" s="640" t="s">
        <v>391</v>
      </c>
      <c r="H194" s="640" t="s">
        <v>392</v>
      </c>
      <c r="I194" s="642" t="s">
        <v>830</v>
      </c>
      <c r="J194" s="804"/>
    </row>
    <row r="195" spans="1:10" ht="12.75">
      <c r="A195" s="643" t="s">
        <v>84</v>
      </c>
      <c r="B195" s="669">
        <f aca="true" t="shared" si="30" ref="B195:B200">C195+E195+H195</f>
        <v>70000</v>
      </c>
      <c r="C195" s="655">
        <v>70000</v>
      </c>
      <c r="D195" s="656"/>
      <c r="E195" s="656"/>
      <c r="F195" s="666"/>
      <c r="G195" s="656"/>
      <c r="H195" s="657"/>
      <c r="I195" s="658">
        <f aca="true" t="shared" si="31" ref="I195:I200">C195+F195</f>
        <v>70000</v>
      </c>
      <c r="J195" s="804"/>
    </row>
    <row r="196" spans="1:10" ht="12.75">
      <c r="A196" s="644" t="s">
        <v>95</v>
      </c>
      <c r="B196" s="670">
        <f t="shared" si="30"/>
        <v>0</v>
      </c>
      <c r="C196" s="659"/>
      <c r="D196" s="659"/>
      <c r="E196" s="660"/>
      <c r="F196" s="667"/>
      <c r="G196" s="659"/>
      <c r="H196" s="660"/>
      <c r="I196" s="661">
        <f t="shared" si="31"/>
        <v>0</v>
      </c>
      <c r="J196" s="804"/>
    </row>
    <row r="197" spans="1:10" ht="12.75">
      <c r="A197" s="645" t="s">
        <v>85</v>
      </c>
      <c r="B197" s="671">
        <f t="shared" si="30"/>
        <v>150000000</v>
      </c>
      <c r="C197" s="660">
        <v>58328721</v>
      </c>
      <c r="D197" s="660"/>
      <c r="E197" s="660">
        <v>91376342</v>
      </c>
      <c r="F197" s="668">
        <v>91376342</v>
      </c>
      <c r="G197" s="660"/>
      <c r="H197" s="660">
        <v>294937</v>
      </c>
      <c r="I197" s="661">
        <f t="shared" si="31"/>
        <v>149705063</v>
      </c>
      <c r="J197" s="804"/>
    </row>
    <row r="198" spans="1:10" ht="12.75">
      <c r="A198" s="645" t="s">
        <v>96</v>
      </c>
      <c r="B198" s="671">
        <f t="shared" si="30"/>
        <v>0</v>
      </c>
      <c r="C198" s="660"/>
      <c r="D198" s="660"/>
      <c r="E198" s="660"/>
      <c r="F198" s="668"/>
      <c r="G198" s="660"/>
      <c r="H198" s="660"/>
      <c r="I198" s="661">
        <f t="shared" si="31"/>
        <v>0</v>
      </c>
      <c r="J198" s="804"/>
    </row>
    <row r="199" spans="1:10" ht="12.75">
      <c r="A199" s="645" t="s">
        <v>86</v>
      </c>
      <c r="B199" s="671">
        <f t="shared" si="30"/>
        <v>0</v>
      </c>
      <c r="C199" s="660"/>
      <c r="D199" s="660"/>
      <c r="E199" s="660"/>
      <c r="F199" s="668"/>
      <c r="G199" s="660"/>
      <c r="H199" s="660"/>
      <c r="I199" s="661">
        <f t="shared" si="31"/>
        <v>0</v>
      </c>
      <c r="J199" s="804"/>
    </row>
    <row r="200" spans="1:10" ht="13.5" thickBot="1">
      <c r="A200" s="645" t="s">
        <v>87</v>
      </c>
      <c r="B200" s="671">
        <f t="shared" si="30"/>
        <v>0</v>
      </c>
      <c r="C200" s="660"/>
      <c r="D200" s="660"/>
      <c r="E200" s="660"/>
      <c r="F200" s="668"/>
      <c r="G200" s="660"/>
      <c r="H200" s="660"/>
      <c r="I200" s="661">
        <f t="shared" si="31"/>
        <v>0</v>
      </c>
      <c r="J200" s="804"/>
    </row>
    <row r="201" spans="1:10" ht="13.5" thickBot="1">
      <c r="A201" s="646" t="s">
        <v>88</v>
      </c>
      <c r="B201" s="672">
        <f aca="true" t="shared" si="32" ref="B201:I201">B195+SUM(B197:B200)</f>
        <v>150070000</v>
      </c>
      <c r="C201" s="662">
        <f t="shared" si="32"/>
        <v>58398721</v>
      </c>
      <c r="D201" s="662">
        <f t="shared" si="32"/>
        <v>0</v>
      </c>
      <c r="E201" s="662">
        <f t="shared" si="32"/>
        <v>91376342</v>
      </c>
      <c r="F201" s="662">
        <f t="shared" si="32"/>
        <v>91376342</v>
      </c>
      <c r="G201" s="662">
        <f t="shared" si="32"/>
        <v>0</v>
      </c>
      <c r="H201" s="662">
        <f t="shared" si="32"/>
        <v>294937</v>
      </c>
      <c r="I201" s="663">
        <f t="shared" si="32"/>
        <v>149775063</v>
      </c>
      <c r="J201" s="804"/>
    </row>
    <row r="202" spans="1:10" ht="12.75">
      <c r="A202" s="647" t="s">
        <v>91</v>
      </c>
      <c r="B202" s="669">
        <f>C202+E202+H202</f>
        <v>71230096</v>
      </c>
      <c r="C202" s="656">
        <v>9666832</v>
      </c>
      <c r="D202" s="656"/>
      <c r="E202" s="656">
        <v>42925480</v>
      </c>
      <c r="F202" s="656">
        <v>42925480</v>
      </c>
      <c r="G202" s="656"/>
      <c r="H202" s="656">
        <v>18637784</v>
      </c>
      <c r="I202" s="658">
        <f>C202+F202</f>
        <v>52592312</v>
      </c>
      <c r="J202" s="804"/>
    </row>
    <row r="203" spans="1:10" ht="12.75">
      <c r="A203" s="648" t="s">
        <v>92</v>
      </c>
      <c r="B203" s="671">
        <f>C203+E203+H203</f>
        <v>6562779</v>
      </c>
      <c r="C203" s="660">
        <v>5689381</v>
      </c>
      <c r="D203" s="660"/>
      <c r="E203" s="660">
        <v>873398</v>
      </c>
      <c r="F203" s="660">
        <v>873398</v>
      </c>
      <c r="G203" s="660"/>
      <c r="H203" s="660"/>
      <c r="I203" s="661">
        <f>C203+F203</f>
        <v>6562779</v>
      </c>
      <c r="J203" s="804"/>
    </row>
    <row r="204" spans="1:10" ht="12.75">
      <c r="A204" s="648" t="s">
        <v>93</v>
      </c>
      <c r="B204" s="671">
        <f>C204+E204+H204</f>
        <v>71907125</v>
      </c>
      <c r="C204" s="660">
        <v>12394452</v>
      </c>
      <c r="D204" s="660"/>
      <c r="E204" s="660">
        <v>46343785</v>
      </c>
      <c r="F204" s="660">
        <v>46343785</v>
      </c>
      <c r="G204" s="660"/>
      <c r="H204" s="660">
        <v>13168888</v>
      </c>
      <c r="I204" s="661">
        <f>C204+F204</f>
        <v>58738237</v>
      </c>
      <c r="J204" s="804"/>
    </row>
    <row r="205" spans="1:10" ht="12.75">
      <c r="A205" s="648" t="s">
        <v>94</v>
      </c>
      <c r="B205" s="671">
        <f>C205+E205+H205</f>
        <v>300000</v>
      </c>
      <c r="C205" s="660">
        <v>300000</v>
      </c>
      <c r="D205" s="660"/>
      <c r="E205" s="660"/>
      <c r="F205" s="660"/>
      <c r="G205" s="660"/>
      <c r="H205" s="660"/>
      <c r="I205" s="661">
        <f>C205+F205</f>
        <v>300000</v>
      </c>
      <c r="J205" s="804"/>
    </row>
    <row r="206" spans="1:10" ht="13.5" thickBot="1">
      <c r="A206" s="649"/>
      <c r="B206" s="673">
        <f>C206+E206+H206</f>
        <v>0</v>
      </c>
      <c r="C206" s="664"/>
      <c r="D206" s="664"/>
      <c r="E206" s="660"/>
      <c r="F206" s="664"/>
      <c r="G206" s="664"/>
      <c r="H206" s="660"/>
      <c r="I206" s="665">
        <f>C206+F206</f>
        <v>0</v>
      </c>
      <c r="J206" s="804"/>
    </row>
    <row r="207" spans="1:10" ht="13.5" thickBot="1">
      <c r="A207" s="650" t="s">
        <v>74</v>
      </c>
      <c r="B207" s="672">
        <f aca="true" t="shared" si="33" ref="B207:I207">SUM(B202:B206)</f>
        <v>150000000</v>
      </c>
      <c r="C207" s="662">
        <f t="shared" si="33"/>
        <v>28050665</v>
      </c>
      <c r="D207" s="662">
        <f t="shared" si="33"/>
        <v>0</v>
      </c>
      <c r="E207" s="662">
        <f t="shared" si="33"/>
        <v>90142663</v>
      </c>
      <c r="F207" s="662">
        <f t="shared" si="33"/>
        <v>90142663</v>
      </c>
      <c r="G207" s="662">
        <f t="shared" si="33"/>
        <v>0</v>
      </c>
      <c r="H207" s="662">
        <f t="shared" si="33"/>
        <v>31806672</v>
      </c>
      <c r="I207" s="663">
        <f t="shared" si="33"/>
        <v>118193328</v>
      </c>
      <c r="J207" s="804"/>
    </row>
    <row r="208" ht="12.75">
      <c r="J208" s="804"/>
    </row>
    <row r="209" ht="12.75">
      <c r="J209" s="804"/>
    </row>
    <row r="210" spans="1:10" ht="14.25" customHeight="1">
      <c r="A210" s="823" t="s">
        <v>828</v>
      </c>
      <c r="B210" s="823"/>
      <c r="C210" s="824" t="s">
        <v>921</v>
      </c>
      <c r="D210" s="825"/>
      <c r="E210" s="825"/>
      <c r="F210" s="825"/>
      <c r="G210" s="825"/>
      <c r="H210" s="825"/>
      <c r="I210" s="825"/>
      <c r="J210" s="711"/>
    </row>
    <row r="211" spans="1:10" ht="13.5" customHeight="1" thickBot="1">
      <c r="A211" s="635"/>
      <c r="B211" s="635"/>
      <c r="C211" s="635"/>
      <c r="D211" s="635"/>
      <c r="E211" s="635"/>
      <c r="F211" s="635"/>
      <c r="G211" s="635"/>
      <c r="H211" s="826" t="s">
        <v>810</v>
      </c>
      <c r="I211" s="826"/>
      <c r="J211" s="805" t="s">
        <v>924</v>
      </c>
    </row>
    <row r="212" spans="1:10" ht="13.5" customHeight="1" thickBot="1">
      <c r="A212" s="827" t="s">
        <v>83</v>
      </c>
      <c r="B212" s="830" t="s">
        <v>444</v>
      </c>
      <c r="C212" s="831"/>
      <c r="D212" s="831"/>
      <c r="E212" s="831"/>
      <c r="F212" s="832"/>
      <c r="G212" s="832"/>
      <c r="H212" s="832"/>
      <c r="I212" s="833"/>
      <c r="J212" s="805"/>
    </row>
    <row r="213" spans="1:10" ht="13.5" customHeight="1" thickBot="1">
      <c r="A213" s="828"/>
      <c r="B213" s="834" t="str">
        <f>B191</f>
        <v>Módosítás utáni összes forrás, kiadás</v>
      </c>
      <c r="C213" s="837" t="s">
        <v>826</v>
      </c>
      <c r="D213" s="838"/>
      <c r="E213" s="838"/>
      <c r="F213" s="838"/>
      <c r="G213" s="838"/>
      <c r="H213" s="838"/>
      <c r="I213" s="839"/>
      <c r="J213" s="805"/>
    </row>
    <row r="214" spans="1:10" ht="48.75" thickBot="1">
      <c r="A214" s="828"/>
      <c r="B214" s="835"/>
      <c r="C214" s="840" t="str">
        <f>CONCATENATE(Z_TARTALOMJEGYZÉK!$A$1,".  előtti forrás, kiadás")</f>
        <v>2019.  előtti forrás, kiadás</v>
      </c>
      <c r="D214" s="636" t="s">
        <v>446</v>
      </c>
      <c r="E214" s="636" t="s">
        <v>447</v>
      </c>
      <c r="F214" s="637" t="str">
        <f>CONCATENATE("Összes teljesítés ",Z_TARTALOMJEGYZÉK!$A$1,". XII.31 -ig")</f>
        <v>Összes teljesítés 2019. XII.31 -ig</v>
      </c>
      <c r="G214" s="637" t="s">
        <v>446</v>
      </c>
      <c r="H214" s="637" t="s">
        <v>447</v>
      </c>
      <c r="I214" s="637" t="str">
        <f>CONCATENATE("Összes teljesítés ",Z_TARTALOMJEGYZÉK!$A$1,". XII.31 -ig")</f>
        <v>Összes teljesítés 2019. XII.31 -ig</v>
      </c>
      <c r="J214" s="805"/>
    </row>
    <row r="215" spans="1:10" ht="13.5" thickBot="1">
      <c r="A215" s="829"/>
      <c r="B215" s="836"/>
      <c r="C215" s="841"/>
      <c r="D215" s="842" t="str">
        <f>CONCATENATE(Z_TARTALOMJEGYZÉK!$A$1,". évi")</f>
        <v>2019. évi</v>
      </c>
      <c r="E215" s="843"/>
      <c r="F215" s="844"/>
      <c r="G215" s="842" t="str">
        <f>CONCATENATE(Z_TARTALOMJEGYZÉK!$A$1,". után")</f>
        <v>2019. után</v>
      </c>
      <c r="H215" s="845"/>
      <c r="I215" s="844"/>
      <c r="J215" s="805"/>
    </row>
    <row r="216" spans="1:10" ht="13.5" thickBot="1">
      <c r="A216" s="638" t="s">
        <v>385</v>
      </c>
      <c r="B216" s="639" t="s">
        <v>831</v>
      </c>
      <c r="C216" s="640" t="s">
        <v>387</v>
      </c>
      <c r="D216" s="641" t="s">
        <v>389</v>
      </c>
      <c r="E216" s="641" t="s">
        <v>388</v>
      </c>
      <c r="F216" s="640" t="s">
        <v>390</v>
      </c>
      <c r="G216" s="640" t="s">
        <v>391</v>
      </c>
      <c r="H216" s="640" t="s">
        <v>392</v>
      </c>
      <c r="I216" s="642" t="s">
        <v>830</v>
      </c>
      <c r="J216" s="805"/>
    </row>
    <row r="217" spans="1:10" ht="12.75">
      <c r="A217" s="643" t="s">
        <v>84</v>
      </c>
      <c r="B217" s="669">
        <f aca="true" t="shared" si="34" ref="B217:B222">C217+E217+H217</f>
        <v>0</v>
      </c>
      <c r="C217" s="655"/>
      <c r="D217" s="656"/>
      <c r="E217" s="656"/>
      <c r="F217" s="666"/>
      <c r="G217" s="656"/>
      <c r="H217" s="657"/>
      <c r="I217" s="658">
        <f aca="true" t="shared" si="35" ref="I217:I222">C217+F217</f>
        <v>0</v>
      </c>
      <c r="J217" s="805"/>
    </row>
    <row r="218" spans="1:10" ht="12.75">
      <c r="A218" s="644" t="s">
        <v>95</v>
      </c>
      <c r="B218" s="670">
        <f t="shared" si="34"/>
        <v>0</v>
      </c>
      <c r="C218" s="659"/>
      <c r="D218" s="659"/>
      <c r="E218" s="660"/>
      <c r="F218" s="667"/>
      <c r="G218" s="659"/>
      <c r="H218" s="660"/>
      <c r="I218" s="661">
        <f t="shared" si="35"/>
        <v>0</v>
      </c>
      <c r="J218" s="805"/>
    </row>
    <row r="219" spans="1:10" ht="12.75">
      <c r="A219" s="645" t="s">
        <v>85</v>
      </c>
      <c r="B219" s="671">
        <f t="shared" si="34"/>
        <v>15128926</v>
      </c>
      <c r="C219" s="660">
        <v>4526873</v>
      </c>
      <c r="D219" s="660"/>
      <c r="E219" s="660">
        <v>6000000</v>
      </c>
      <c r="F219" s="668">
        <v>6000000</v>
      </c>
      <c r="G219" s="660"/>
      <c r="H219" s="660">
        <v>4602053</v>
      </c>
      <c r="I219" s="661">
        <f t="shared" si="35"/>
        <v>10526873</v>
      </c>
      <c r="J219" s="805"/>
    </row>
    <row r="220" spans="1:10" ht="12.75">
      <c r="A220" s="645" t="s">
        <v>96</v>
      </c>
      <c r="B220" s="671">
        <f t="shared" si="34"/>
        <v>0</v>
      </c>
      <c r="C220" s="660"/>
      <c r="D220" s="660"/>
      <c r="E220" s="660"/>
      <c r="F220" s="668"/>
      <c r="G220" s="660"/>
      <c r="H220" s="660"/>
      <c r="I220" s="661">
        <f t="shared" si="35"/>
        <v>0</v>
      </c>
      <c r="J220" s="805"/>
    </row>
    <row r="221" spans="1:10" ht="12.75">
      <c r="A221" s="645" t="s">
        <v>86</v>
      </c>
      <c r="B221" s="671">
        <f t="shared" si="34"/>
        <v>0</v>
      </c>
      <c r="C221" s="660"/>
      <c r="D221" s="660"/>
      <c r="E221" s="660"/>
      <c r="F221" s="668"/>
      <c r="G221" s="660"/>
      <c r="H221" s="660"/>
      <c r="I221" s="661">
        <f t="shared" si="35"/>
        <v>0</v>
      </c>
      <c r="J221" s="805"/>
    </row>
    <row r="222" spans="1:10" ht="13.5" thickBot="1">
      <c r="A222" s="645" t="s">
        <v>87</v>
      </c>
      <c r="B222" s="671">
        <f t="shared" si="34"/>
        <v>0</v>
      </c>
      <c r="C222" s="660"/>
      <c r="D222" s="660"/>
      <c r="E222" s="660"/>
      <c r="F222" s="668"/>
      <c r="G222" s="660"/>
      <c r="H222" s="660"/>
      <c r="I222" s="661">
        <f t="shared" si="35"/>
        <v>0</v>
      </c>
      <c r="J222" s="805"/>
    </row>
    <row r="223" spans="1:10" ht="13.5" thickBot="1">
      <c r="A223" s="646" t="s">
        <v>88</v>
      </c>
      <c r="B223" s="672">
        <f aca="true" t="shared" si="36" ref="B223:I223">B217+SUM(B219:B222)</f>
        <v>15128926</v>
      </c>
      <c r="C223" s="662">
        <f t="shared" si="36"/>
        <v>4526873</v>
      </c>
      <c r="D223" s="662">
        <f t="shared" si="36"/>
        <v>0</v>
      </c>
      <c r="E223" s="662">
        <f t="shared" si="36"/>
        <v>6000000</v>
      </c>
      <c r="F223" s="662">
        <f t="shared" si="36"/>
        <v>6000000</v>
      </c>
      <c r="G223" s="662">
        <f t="shared" si="36"/>
        <v>0</v>
      </c>
      <c r="H223" s="662">
        <f t="shared" si="36"/>
        <v>4602053</v>
      </c>
      <c r="I223" s="663">
        <f t="shared" si="36"/>
        <v>10526873</v>
      </c>
      <c r="J223" s="805"/>
    </row>
    <row r="224" spans="1:10" ht="12.75">
      <c r="A224" s="647" t="s">
        <v>91</v>
      </c>
      <c r="B224" s="669">
        <f>C224+E224+H224</f>
        <v>7077498</v>
      </c>
      <c r="C224" s="656">
        <v>1231754</v>
      </c>
      <c r="D224" s="656"/>
      <c r="E224" s="656">
        <v>4018471</v>
      </c>
      <c r="F224" s="656">
        <v>4018471</v>
      </c>
      <c r="G224" s="656"/>
      <c r="H224" s="656">
        <v>1827273</v>
      </c>
      <c r="I224" s="658">
        <f>C224+F224</f>
        <v>5250225</v>
      </c>
      <c r="J224" s="805"/>
    </row>
    <row r="225" spans="1:10" ht="12.75">
      <c r="A225" s="648" t="s">
        <v>92</v>
      </c>
      <c r="B225" s="671">
        <f>C225+E225+H225</f>
        <v>3649251</v>
      </c>
      <c r="C225" s="660">
        <v>1348913</v>
      </c>
      <c r="D225" s="660"/>
      <c r="E225" s="660">
        <v>2300338</v>
      </c>
      <c r="F225" s="660">
        <v>2300338</v>
      </c>
      <c r="G225" s="660"/>
      <c r="H225" s="660"/>
      <c r="I225" s="661">
        <f>C225+F225</f>
        <v>3649251</v>
      </c>
      <c r="J225" s="805"/>
    </row>
    <row r="226" spans="1:10" ht="12.75">
      <c r="A226" s="648" t="s">
        <v>93</v>
      </c>
      <c r="B226" s="671">
        <f>C226+E226+H226</f>
        <v>3716557</v>
      </c>
      <c r="C226" s="660">
        <v>585000</v>
      </c>
      <c r="D226" s="660"/>
      <c r="E226" s="660">
        <v>1255015</v>
      </c>
      <c r="F226" s="660">
        <v>1255015</v>
      </c>
      <c r="G226" s="660"/>
      <c r="H226" s="660">
        <v>1876542</v>
      </c>
      <c r="I226" s="661">
        <f>C226+F226</f>
        <v>1840015</v>
      </c>
      <c r="J226" s="805"/>
    </row>
    <row r="227" spans="1:10" ht="12.75">
      <c r="A227" s="648" t="s">
        <v>94</v>
      </c>
      <c r="B227" s="671">
        <f>C227+E227+H227</f>
        <v>0</v>
      </c>
      <c r="C227" s="660"/>
      <c r="D227" s="660"/>
      <c r="E227" s="660"/>
      <c r="F227" s="660"/>
      <c r="G227" s="660"/>
      <c r="H227" s="660"/>
      <c r="I227" s="661">
        <f>C227+F227</f>
        <v>0</v>
      </c>
      <c r="J227" s="805"/>
    </row>
    <row r="228" spans="1:10" ht="13.5" thickBot="1">
      <c r="A228" s="649" t="s">
        <v>922</v>
      </c>
      <c r="B228" s="673">
        <f>C228+E228+H228</f>
        <v>685620</v>
      </c>
      <c r="C228" s="664"/>
      <c r="D228" s="664"/>
      <c r="E228" s="660"/>
      <c r="F228" s="664"/>
      <c r="G228" s="664"/>
      <c r="H228" s="660">
        <v>685620</v>
      </c>
      <c r="I228" s="665">
        <f>C228+F228</f>
        <v>0</v>
      </c>
      <c r="J228" s="805"/>
    </row>
    <row r="229" spans="1:10" ht="13.5" thickBot="1">
      <c r="A229" s="650" t="s">
        <v>74</v>
      </c>
      <c r="B229" s="672">
        <f aca="true" t="shared" si="37" ref="B229:I229">SUM(B224:B228)</f>
        <v>15128926</v>
      </c>
      <c r="C229" s="662">
        <f t="shared" si="37"/>
        <v>3165667</v>
      </c>
      <c r="D229" s="662">
        <f t="shared" si="37"/>
        <v>0</v>
      </c>
      <c r="E229" s="662">
        <f t="shared" si="37"/>
        <v>7573824</v>
      </c>
      <c r="F229" s="662">
        <f t="shared" si="37"/>
        <v>7573824</v>
      </c>
      <c r="G229" s="662">
        <f t="shared" si="37"/>
        <v>0</v>
      </c>
      <c r="H229" s="662">
        <f t="shared" si="37"/>
        <v>4389435</v>
      </c>
      <c r="I229" s="663">
        <f t="shared" si="37"/>
        <v>10739491</v>
      </c>
      <c r="J229" s="805"/>
    </row>
    <row r="230" spans="1:10" ht="12.75">
      <c r="A230" s="707"/>
      <c r="B230" s="708"/>
      <c r="C230" s="709"/>
      <c r="D230" s="709"/>
      <c r="E230" s="709"/>
      <c r="F230" s="709"/>
      <c r="G230" s="709"/>
      <c r="H230" s="709"/>
      <c r="I230" s="710"/>
      <c r="J230" s="711"/>
    </row>
    <row r="231" spans="1:10" ht="12.75">
      <c r="A231" s="707"/>
      <c r="B231" s="708"/>
      <c r="C231" s="709"/>
      <c r="D231" s="709"/>
      <c r="E231" s="709"/>
      <c r="F231" s="709"/>
      <c r="G231" s="709"/>
      <c r="H231" s="709"/>
      <c r="I231" s="710"/>
      <c r="J231" s="711"/>
    </row>
    <row r="232" spans="1:10" ht="14.25">
      <c r="A232" s="823" t="s">
        <v>828</v>
      </c>
      <c r="B232" s="823"/>
      <c r="C232" s="824" t="s">
        <v>923</v>
      </c>
      <c r="D232" s="825"/>
      <c r="E232" s="825"/>
      <c r="F232" s="825"/>
      <c r="G232" s="825"/>
      <c r="H232" s="825"/>
      <c r="I232" s="825"/>
      <c r="J232" s="804" t="s">
        <v>924</v>
      </c>
    </row>
    <row r="233" spans="1:10" ht="15.75" thickBot="1">
      <c r="A233" s="635"/>
      <c r="B233" s="635"/>
      <c r="C233" s="635"/>
      <c r="D233" s="635"/>
      <c r="E233" s="635"/>
      <c r="F233" s="635"/>
      <c r="G233" s="635"/>
      <c r="H233" s="826" t="s">
        <v>810</v>
      </c>
      <c r="I233" s="826"/>
      <c r="J233" s="804"/>
    </row>
    <row r="234" spans="1:10" ht="13.5" thickBot="1">
      <c r="A234" s="827" t="s">
        <v>83</v>
      </c>
      <c r="B234" s="830" t="s">
        <v>444</v>
      </c>
      <c r="C234" s="831"/>
      <c r="D234" s="831"/>
      <c r="E234" s="831"/>
      <c r="F234" s="832"/>
      <c r="G234" s="832"/>
      <c r="H234" s="832"/>
      <c r="I234" s="833"/>
      <c r="J234" s="804"/>
    </row>
    <row r="235" spans="1:10" ht="13.5" thickBot="1">
      <c r="A235" s="828"/>
      <c r="B235" s="834" t="str">
        <f>B213</f>
        <v>Módosítás utáni összes forrás, kiadás</v>
      </c>
      <c r="C235" s="837" t="s">
        <v>826</v>
      </c>
      <c r="D235" s="838"/>
      <c r="E235" s="838"/>
      <c r="F235" s="838"/>
      <c r="G235" s="838"/>
      <c r="H235" s="838"/>
      <c r="I235" s="839"/>
      <c r="J235" s="804"/>
    </row>
    <row r="236" spans="1:10" ht="48.75" thickBot="1">
      <c r="A236" s="828"/>
      <c r="B236" s="835"/>
      <c r="C236" s="840" t="str">
        <f>CONCATENATE(Z_TARTALOMJEGYZÉK!$A$1,".  előtti forrás, kiadás")</f>
        <v>2019.  előtti forrás, kiadás</v>
      </c>
      <c r="D236" s="636" t="s">
        <v>446</v>
      </c>
      <c r="E236" s="636" t="s">
        <v>447</v>
      </c>
      <c r="F236" s="637" t="str">
        <f>CONCATENATE("Összes teljesítés ",Z_TARTALOMJEGYZÉK!$A$1,". XII.31 -ig")</f>
        <v>Összes teljesítés 2019. XII.31 -ig</v>
      </c>
      <c r="G236" s="637" t="s">
        <v>446</v>
      </c>
      <c r="H236" s="637" t="s">
        <v>447</v>
      </c>
      <c r="I236" s="637" t="str">
        <f>CONCATENATE("Összes teljesítés ",Z_TARTALOMJEGYZÉK!$A$1,". XII.31 -ig")</f>
        <v>Összes teljesítés 2019. XII.31 -ig</v>
      </c>
      <c r="J236" s="804"/>
    </row>
    <row r="237" spans="1:10" ht="13.5" thickBot="1">
      <c r="A237" s="829"/>
      <c r="B237" s="836"/>
      <c r="C237" s="841"/>
      <c r="D237" s="842" t="str">
        <f>CONCATENATE(Z_TARTALOMJEGYZÉK!$A$1,". évi")</f>
        <v>2019. évi</v>
      </c>
      <c r="E237" s="843"/>
      <c r="F237" s="844"/>
      <c r="G237" s="842" t="str">
        <f>CONCATENATE(Z_TARTALOMJEGYZÉK!$A$1,". után")</f>
        <v>2019. után</v>
      </c>
      <c r="H237" s="845"/>
      <c r="I237" s="844"/>
      <c r="J237" s="804"/>
    </row>
    <row r="238" spans="1:10" ht="13.5" thickBot="1">
      <c r="A238" s="638" t="s">
        <v>385</v>
      </c>
      <c r="B238" s="639" t="s">
        <v>831</v>
      </c>
      <c r="C238" s="640" t="s">
        <v>387</v>
      </c>
      <c r="D238" s="641" t="s">
        <v>389</v>
      </c>
      <c r="E238" s="641" t="s">
        <v>388</v>
      </c>
      <c r="F238" s="640" t="s">
        <v>390</v>
      </c>
      <c r="G238" s="640" t="s">
        <v>391</v>
      </c>
      <c r="H238" s="640" t="s">
        <v>392</v>
      </c>
      <c r="I238" s="642" t="s">
        <v>830</v>
      </c>
      <c r="J238" s="804"/>
    </row>
    <row r="239" spans="1:10" ht="12.75">
      <c r="A239" s="643" t="s">
        <v>84</v>
      </c>
      <c r="B239" s="669">
        <f aca="true" t="shared" si="38" ref="B239:B244">C239+E239+H239</f>
        <v>0</v>
      </c>
      <c r="C239" s="655"/>
      <c r="D239" s="656"/>
      <c r="E239" s="656"/>
      <c r="F239" s="666"/>
      <c r="G239" s="656"/>
      <c r="H239" s="657"/>
      <c r="I239" s="658">
        <f aca="true" t="shared" si="39" ref="I239:I244">C239+F239</f>
        <v>0</v>
      </c>
      <c r="J239" s="804"/>
    </row>
    <row r="240" spans="1:10" ht="12.75">
      <c r="A240" s="644" t="s">
        <v>95</v>
      </c>
      <c r="B240" s="670">
        <f t="shared" si="38"/>
        <v>0</v>
      </c>
      <c r="C240" s="659"/>
      <c r="D240" s="659"/>
      <c r="E240" s="660"/>
      <c r="F240" s="667"/>
      <c r="G240" s="659"/>
      <c r="H240" s="660"/>
      <c r="I240" s="661">
        <f t="shared" si="39"/>
        <v>0</v>
      </c>
      <c r="J240" s="804"/>
    </row>
    <row r="241" spans="1:10" ht="12.75">
      <c r="A241" s="645" t="s">
        <v>85</v>
      </c>
      <c r="B241" s="671">
        <f t="shared" si="38"/>
        <v>41803800</v>
      </c>
      <c r="C241" s="660">
        <v>41803800</v>
      </c>
      <c r="D241" s="660"/>
      <c r="E241" s="660"/>
      <c r="F241" s="668"/>
      <c r="G241" s="660"/>
      <c r="H241" s="660"/>
      <c r="I241" s="661">
        <f t="shared" si="39"/>
        <v>41803800</v>
      </c>
      <c r="J241" s="804"/>
    </row>
    <row r="242" spans="1:10" ht="12.75">
      <c r="A242" s="645" t="s">
        <v>96</v>
      </c>
      <c r="B242" s="671">
        <f t="shared" si="38"/>
        <v>0</v>
      </c>
      <c r="C242" s="660"/>
      <c r="D242" s="660"/>
      <c r="E242" s="660"/>
      <c r="F242" s="668"/>
      <c r="G242" s="660"/>
      <c r="H242" s="660"/>
      <c r="I242" s="661">
        <f t="shared" si="39"/>
        <v>0</v>
      </c>
      <c r="J242" s="804"/>
    </row>
    <row r="243" spans="1:10" ht="12.75">
      <c r="A243" s="645" t="s">
        <v>86</v>
      </c>
      <c r="B243" s="671">
        <f t="shared" si="38"/>
        <v>0</v>
      </c>
      <c r="C243" s="660"/>
      <c r="D243" s="660"/>
      <c r="E243" s="660"/>
      <c r="F243" s="668"/>
      <c r="G243" s="660"/>
      <c r="H243" s="660"/>
      <c r="I243" s="661">
        <f t="shared" si="39"/>
        <v>0</v>
      </c>
      <c r="J243" s="804"/>
    </row>
    <row r="244" spans="1:10" ht="13.5" thickBot="1">
      <c r="A244" s="645" t="s">
        <v>87</v>
      </c>
      <c r="B244" s="671">
        <f t="shared" si="38"/>
        <v>0</v>
      </c>
      <c r="C244" s="660"/>
      <c r="D244" s="660"/>
      <c r="E244" s="660"/>
      <c r="F244" s="668"/>
      <c r="G244" s="660"/>
      <c r="H244" s="660"/>
      <c r="I244" s="661">
        <f t="shared" si="39"/>
        <v>0</v>
      </c>
      <c r="J244" s="804"/>
    </row>
    <row r="245" spans="1:10" ht="13.5" thickBot="1">
      <c r="A245" s="646" t="s">
        <v>88</v>
      </c>
      <c r="B245" s="672">
        <f aca="true" t="shared" si="40" ref="B245:I245">B239+SUM(B241:B244)</f>
        <v>41803800</v>
      </c>
      <c r="C245" s="662">
        <f t="shared" si="40"/>
        <v>41803800</v>
      </c>
      <c r="D245" s="662">
        <f t="shared" si="40"/>
        <v>0</v>
      </c>
      <c r="E245" s="662">
        <f t="shared" si="40"/>
        <v>0</v>
      </c>
      <c r="F245" s="662">
        <f t="shared" si="40"/>
        <v>0</v>
      </c>
      <c r="G245" s="662">
        <f t="shared" si="40"/>
        <v>0</v>
      </c>
      <c r="H245" s="662">
        <f t="shared" si="40"/>
        <v>0</v>
      </c>
      <c r="I245" s="663">
        <f t="shared" si="40"/>
        <v>41803800</v>
      </c>
      <c r="J245" s="804"/>
    </row>
    <row r="246" spans="1:10" ht="12.75">
      <c r="A246" s="647" t="s">
        <v>91</v>
      </c>
      <c r="B246" s="669">
        <f>C246+E246+H246</f>
        <v>22768883</v>
      </c>
      <c r="C246" s="656">
        <v>3781169</v>
      </c>
      <c r="D246" s="656"/>
      <c r="E246" s="656">
        <v>7380286</v>
      </c>
      <c r="F246" s="656">
        <v>7380286</v>
      </c>
      <c r="G246" s="656"/>
      <c r="H246" s="656">
        <v>11607428</v>
      </c>
      <c r="I246" s="658">
        <f>C246+F246</f>
        <v>11161455</v>
      </c>
      <c r="J246" s="804"/>
    </row>
    <row r="247" spans="1:10" ht="12.75">
      <c r="A247" s="648" t="s">
        <v>92</v>
      </c>
      <c r="B247" s="671">
        <f>C247+E247+H247</f>
        <v>696632</v>
      </c>
      <c r="C247" s="660">
        <v>213106</v>
      </c>
      <c r="D247" s="660"/>
      <c r="E247" s="660">
        <v>483526</v>
      </c>
      <c r="F247" s="660">
        <v>483526</v>
      </c>
      <c r="G247" s="660"/>
      <c r="H247" s="660"/>
      <c r="I247" s="661">
        <f>C247+F247</f>
        <v>696632</v>
      </c>
      <c r="J247" s="804"/>
    </row>
    <row r="248" spans="1:10" ht="12.75">
      <c r="A248" s="648" t="s">
        <v>93</v>
      </c>
      <c r="B248" s="671">
        <f>C248+E248+H248</f>
        <v>18338285</v>
      </c>
      <c r="C248" s="660"/>
      <c r="D248" s="660"/>
      <c r="E248" s="660">
        <v>2582565</v>
      </c>
      <c r="F248" s="660">
        <v>2582565</v>
      </c>
      <c r="G248" s="660"/>
      <c r="H248" s="660">
        <v>15755720</v>
      </c>
      <c r="I248" s="661">
        <f>C248+F248</f>
        <v>2582565</v>
      </c>
      <c r="J248" s="804"/>
    </row>
    <row r="249" spans="1:10" ht="12.75">
      <c r="A249" s="648" t="s">
        <v>94</v>
      </c>
      <c r="B249" s="671">
        <f>C249+E249+H249</f>
        <v>0</v>
      </c>
      <c r="C249" s="660"/>
      <c r="D249" s="660"/>
      <c r="E249" s="660"/>
      <c r="F249" s="660"/>
      <c r="G249" s="660"/>
      <c r="H249" s="660"/>
      <c r="I249" s="661">
        <f>C249+F249</f>
        <v>0</v>
      </c>
      <c r="J249" s="804"/>
    </row>
    <row r="250" spans="1:10" ht="13.5" thickBot="1">
      <c r="A250" s="649" t="s">
        <v>922</v>
      </c>
      <c r="B250" s="673">
        <f>C250+E250+H250</f>
        <v>0</v>
      </c>
      <c r="C250" s="664"/>
      <c r="D250" s="664"/>
      <c r="E250" s="660"/>
      <c r="F250" s="664"/>
      <c r="G250" s="664"/>
      <c r="H250" s="660"/>
      <c r="I250" s="665">
        <f>C250+F250</f>
        <v>0</v>
      </c>
      <c r="J250" s="804"/>
    </row>
    <row r="251" spans="1:10" ht="13.5" thickBot="1">
      <c r="A251" s="650" t="s">
        <v>74</v>
      </c>
      <c r="B251" s="672">
        <f aca="true" t="shared" si="41" ref="B251:I251">SUM(B246:B250)</f>
        <v>41803800</v>
      </c>
      <c r="C251" s="662">
        <f t="shared" si="41"/>
        <v>3994275</v>
      </c>
      <c r="D251" s="662">
        <f t="shared" si="41"/>
        <v>0</v>
      </c>
      <c r="E251" s="662">
        <f t="shared" si="41"/>
        <v>10446377</v>
      </c>
      <c r="F251" s="662">
        <f t="shared" si="41"/>
        <v>10446377</v>
      </c>
      <c r="G251" s="662">
        <f t="shared" si="41"/>
        <v>0</v>
      </c>
      <c r="H251" s="662">
        <f t="shared" si="41"/>
        <v>27363148</v>
      </c>
      <c r="I251" s="663">
        <f t="shared" si="41"/>
        <v>14440652</v>
      </c>
      <c r="J251" s="804"/>
    </row>
    <row r="252" ht="12.75">
      <c r="J252" s="804"/>
    </row>
    <row r="253" ht="12.75">
      <c r="J253" s="804"/>
    </row>
  </sheetData>
  <sheetProtection/>
  <mergeCells count="131">
    <mergeCell ref="G237:I237"/>
    <mergeCell ref="G215:I215"/>
    <mergeCell ref="A232:B232"/>
    <mergeCell ref="C232:I232"/>
    <mergeCell ref="H233:I233"/>
    <mergeCell ref="A234:A237"/>
    <mergeCell ref="B234:I234"/>
    <mergeCell ref="B235:B237"/>
    <mergeCell ref="C235:I235"/>
    <mergeCell ref="C236:C237"/>
    <mergeCell ref="D237:F237"/>
    <mergeCell ref="G193:I193"/>
    <mergeCell ref="A210:B210"/>
    <mergeCell ref="C210:I210"/>
    <mergeCell ref="H211:I211"/>
    <mergeCell ref="A212:A215"/>
    <mergeCell ref="B212:I212"/>
    <mergeCell ref="B213:B215"/>
    <mergeCell ref="C213:I213"/>
    <mergeCell ref="C214:C215"/>
    <mergeCell ref="D215:F215"/>
    <mergeCell ref="A188:B188"/>
    <mergeCell ref="C188:I188"/>
    <mergeCell ref="J188:J209"/>
    <mergeCell ref="H189:I189"/>
    <mergeCell ref="A190:A193"/>
    <mergeCell ref="B190:I190"/>
    <mergeCell ref="B191:B193"/>
    <mergeCell ref="C191:I191"/>
    <mergeCell ref="C192:C193"/>
    <mergeCell ref="D193:F193"/>
    <mergeCell ref="J166:J187"/>
    <mergeCell ref="H167:I167"/>
    <mergeCell ref="A168:A171"/>
    <mergeCell ref="B168:I168"/>
    <mergeCell ref="B169:B171"/>
    <mergeCell ref="C169:I169"/>
    <mergeCell ref="C170:C171"/>
    <mergeCell ref="D171:F171"/>
    <mergeCell ref="G171:I171"/>
    <mergeCell ref="C147:I147"/>
    <mergeCell ref="C148:C149"/>
    <mergeCell ref="D149:F149"/>
    <mergeCell ref="G149:I149"/>
    <mergeCell ref="A166:B166"/>
    <mergeCell ref="C166:I166"/>
    <mergeCell ref="C126:C127"/>
    <mergeCell ref="D127:F127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G83:I83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A78:B78"/>
    <mergeCell ref="C78:I78"/>
    <mergeCell ref="J78:J99"/>
    <mergeCell ref="H79:I79"/>
    <mergeCell ref="A80:A83"/>
    <mergeCell ref="B80:I80"/>
    <mergeCell ref="B81:B83"/>
    <mergeCell ref="C81:I81"/>
    <mergeCell ref="C82:C83"/>
    <mergeCell ref="D83:F83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C37:I37"/>
    <mergeCell ref="C38:C39"/>
    <mergeCell ref="D39:F39"/>
    <mergeCell ref="G39:I39"/>
    <mergeCell ref="A56:B56"/>
    <mergeCell ref="C56:I56"/>
    <mergeCell ref="D17:F17"/>
    <mergeCell ref="G17:I17"/>
    <mergeCell ref="A32:I32"/>
    <mergeCell ref="A34:B34"/>
    <mergeCell ref="C34:I34"/>
    <mergeCell ref="J34:J55"/>
    <mergeCell ref="H35:I35"/>
    <mergeCell ref="A36:A39"/>
    <mergeCell ref="B36:I36"/>
    <mergeCell ref="B37:B39"/>
    <mergeCell ref="A6:F6"/>
    <mergeCell ref="A7:F7"/>
    <mergeCell ref="A12:B12"/>
    <mergeCell ref="C12:I12"/>
    <mergeCell ref="H13:I13"/>
    <mergeCell ref="A14:A17"/>
    <mergeCell ref="B14:I14"/>
    <mergeCell ref="B15:B17"/>
    <mergeCell ref="C15:I15"/>
    <mergeCell ref="C16:C17"/>
    <mergeCell ref="J232:J253"/>
    <mergeCell ref="J211:J229"/>
    <mergeCell ref="A1:I1"/>
    <mergeCell ref="J1:J33"/>
    <mergeCell ref="A9:I9"/>
    <mergeCell ref="A10:I10"/>
    <mergeCell ref="A2:I2"/>
    <mergeCell ref="H3:I3"/>
    <mergeCell ref="A4:F4"/>
    <mergeCell ref="A5:F5"/>
  </mergeCells>
  <printOptions horizontalCentered="1"/>
  <pageMargins left="0.3937007874015748" right="0.5905511811023623" top="0.5905511811023623" bottom="0.5905511811023623" header="0.7874015748031497" footer="0.7874015748031497"/>
  <pageSetup horizontalDpi="600" verticalDpi="600" orientation="landscape" paperSize="9" r:id="rId1"/>
  <headerFooter alignWithMargins="0">
    <oddHeader>&amp;C&amp;"Times New Roman CE,Félkövér"&amp;12
</oddHeader>
  </headerFooter>
  <rowBreaks count="10" manualBreakCount="10">
    <brk id="32" max="9" man="1"/>
    <brk id="55" max="255" man="1"/>
    <brk id="77" max="255" man="1"/>
    <brk id="99" max="255" man="1"/>
    <brk id="121" max="255" man="1"/>
    <brk id="143" max="255" man="1"/>
    <brk id="165" max="255" man="1"/>
    <brk id="187" max="255" man="1"/>
    <brk id="209" max="255" man="1"/>
    <brk id="231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18" sqref="E18"/>
    </sheetView>
  </sheetViews>
  <sheetFormatPr defaultColWidth="9.00390625" defaultRowHeight="12.75"/>
  <cols>
    <col min="1" max="1" width="16.125" style="159" customWidth="1"/>
    <col min="2" max="2" width="63.87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851" t="str">
        <f>CONCATENATE("6.1. melléklet ",Z_ALAPADATOK!A7," ",Z_ALAPADATOK!B7," ",Z_ALAPADATOK!C7," ",Z_ALAPADATOK!D7," ",Z_ALAPADATOK!E7," ",Z_ALAPADATOK!F7," ",Z_ALAPADATOK!G7," ",Z_ALAPADATOK!H7)</f>
        <v>6.1. melléklet a 9 / 2020. ( VII.10. ) önkormányzati rendelethez</v>
      </c>
      <c r="C1" s="852"/>
      <c r="D1" s="852"/>
      <c r="E1" s="852"/>
    </row>
    <row r="2" spans="1:5" s="49" customFormat="1" ht="21" customHeight="1" thickBot="1">
      <c r="A2" s="332" t="s">
        <v>44</v>
      </c>
      <c r="B2" s="850" t="str">
        <f>CONCATENATE(Z_ALAPADATOK!A3)</f>
        <v>Besenyszög Város Önkormányzata</v>
      </c>
      <c r="C2" s="850"/>
      <c r="D2" s="850"/>
      <c r="E2" s="333" t="s">
        <v>38</v>
      </c>
    </row>
    <row r="3" spans="1:5" s="49" customFormat="1" ht="24.75" thickBot="1">
      <c r="A3" s="332" t="s">
        <v>135</v>
      </c>
      <c r="B3" s="850" t="s">
        <v>303</v>
      </c>
      <c r="C3" s="850"/>
      <c r="D3" s="850"/>
      <c r="E3" s="334" t="s">
        <v>38</v>
      </c>
    </row>
    <row r="4" spans="1:5" s="50" customFormat="1" ht="15.75" customHeight="1" thickBot="1">
      <c r="A4" s="326"/>
      <c r="B4" s="326"/>
      <c r="C4" s="327"/>
      <c r="D4" s="328"/>
      <c r="E4" s="337" t="str">
        <f>'Z_4.sz.mell.'!G4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+CONCATENATE("Teljesítés",CHAR(10),LEFT(Z_ÖSSZEFÜGGÉSEK!A6,4),". XII. 31.")</f>
        <v>Teljesítés
2019. XII. 31.</v>
      </c>
    </row>
    <row r="6" spans="1:5" s="45" customFormat="1" ht="12.75" customHeight="1" thickBot="1">
      <c r="A6" s="74" t="s">
        <v>385</v>
      </c>
      <c r="B6" s="75" t="s">
        <v>386</v>
      </c>
      <c r="C6" s="75" t="s">
        <v>387</v>
      </c>
      <c r="D6" s="285" t="s">
        <v>389</v>
      </c>
      <c r="E6" s="76" t="s">
        <v>388</v>
      </c>
    </row>
    <row r="7" spans="1:5" s="45" customFormat="1" ht="15.75" customHeight="1" thickBot="1">
      <c r="A7" s="847" t="s">
        <v>39</v>
      </c>
      <c r="B7" s="848"/>
      <c r="C7" s="848"/>
      <c r="D7" s="848"/>
      <c r="E7" s="849"/>
    </row>
    <row r="8" spans="1:5" s="45" customFormat="1" ht="12" customHeight="1" thickBot="1">
      <c r="A8" s="25" t="s">
        <v>6</v>
      </c>
      <c r="B8" s="19" t="s">
        <v>162</v>
      </c>
      <c r="C8" s="166">
        <f>+C9+C10+C11+C12+C13+C14</f>
        <v>271817051</v>
      </c>
      <c r="D8" s="252">
        <f>+D9+D10+D11+D12+D13+D14</f>
        <v>264266581</v>
      </c>
      <c r="E8" s="102">
        <f>+E9+E10+E11+E12+E13+E14</f>
        <v>264266581</v>
      </c>
    </row>
    <row r="9" spans="1:5" s="51" customFormat="1" ht="12" customHeight="1">
      <c r="A9" s="196" t="s">
        <v>63</v>
      </c>
      <c r="B9" s="179" t="s">
        <v>163</v>
      </c>
      <c r="C9" s="168">
        <v>110700858</v>
      </c>
      <c r="D9" s="253">
        <v>113567470</v>
      </c>
      <c r="E9" s="242">
        <v>113567470</v>
      </c>
    </row>
    <row r="10" spans="1:5" s="52" customFormat="1" ht="12" customHeight="1">
      <c r="A10" s="197" t="s">
        <v>64</v>
      </c>
      <c r="B10" s="180" t="s">
        <v>164</v>
      </c>
      <c r="C10" s="167">
        <v>75411400</v>
      </c>
      <c r="D10" s="254">
        <v>78931217</v>
      </c>
      <c r="E10" s="167">
        <v>78931217</v>
      </c>
    </row>
    <row r="11" spans="1:5" s="52" customFormat="1" ht="12" customHeight="1">
      <c r="A11" s="197" t="s">
        <v>65</v>
      </c>
      <c r="B11" s="180" t="s">
        <v>165</v>
      </c>
      <c r="C11" s="167">
        <v>49829765</v>
      </c>
      <c r="D11" s="254">
        <v>49006795</v>
      </c>
      <c r="E11" s="167">
        <v>49006795</v>
      </c>
    </row>
    <row r="12" spans="1:5" s="52" customFormat="1" ht="12" customHeight="1">
      <c r="A12" s="197" t="s">
        <v>66</v>
      </c>
      <c r="B12" s="180" t="s">
        <v>166</v>
      </c>
      <c r="C12" s="167">
        <v>4035350</v>
      </c>
      <c r="D12" s="254">
        <v>5111161</v>
      </c>
      <c r="E12" s="167">
        <v>5111161</v>
      </c>
    </row>
    <row r="13" spans="1:5" s="52" customFormat="1" ht="12" customHeight="1">
      <c r="A13" s="197" t="s">
        <v>97</v>
      </c>
      <c r="B13" s="180" t="s">
        <v>393</v>
      </c>
      <c r="C13" s="167">
        <v>31839678</v>
      </c>
      <c r="D13" s="254">
        <v>16861247</v>
      </c>
      <c r="E13" s="167">
        <v>16861247</v>
      </c>
    </row>
    <row r="14" spans="1:5" s="51" customFormat="1" ht="12" customHeight="1" thickBot="1">
      <c r="A14" s="198" t="s">
        <v>67</v>
      </c>
      <c r="B14" s="181" t="s">
        <v>334</v>
      </c>
      <c r="C14" s="167"/>
      <c r="D14" s="254">
        <v>788691</v>
      </c>
      <c r="E14" s="243">
        <v>788691</v>
      </c>
    </row>
    <row r="15" spans="1:5" s="51" customFormat="1" ht="12" customHeight="1" thickBot="1">
      <c r="A15" s="25" t="s">
        <v>7</v>
      </c>
      <c r="B15" s="109" t="s">
        <v>167</v>
      </c>
      <c r="C15" s="166">
        <f>+C16+C17+C18+C19+C20</f>
        <v>61730525</v>
      </c>
      <c r="D15" s="252">
        <f>+D16+D17+D18+D19+D20</f>
        <v>170483392</v>
      </c>
      <c r="E15" s="102">
        <f>+E16+E17+E18+E19+E20</f>
        <v>183761564</v>
      </c>
    </row>
    <row r="16" spans="1:5" s="51" customFormat="1" ht="12" customHeight="1">
      <c r="A16" s="196" t="s">
        <v>69</v>
      </c>
      <c r="B16" s="179" t="s">
        <v>168</v>
      </c>
      <c r="C16" s="168"/>
      <c r="D16" s="253"/>
      <c r="E16" s="104"/>
    </row>
    <row r="17" spans="1:5" s="51" customFormat="1" ht="12" customHeight="1">
      <c r="A17" s="197" t="s">
        <v>70</v>
      </c>
      <c r="B17" s="180" t="s">
        <v>169</v>
      </c>
      <c r="C17" s="167"/>
      <c r="D17" s="254"/>
      <c r="E17" s="103"/>
    </row>
    <row r="18" spans="1:5" s="51" customFormat="1" ht="12" customHeight="1">
      <c r="A18" s="197" t="s">
        <v>71</v>
      </c>
      <c r="B18" s="180" t="s">
        <v>325</v>
      </c>
      <c r="C18" s="167"/>
      <c r="D18" s="254"/>
      <c r="E18" s="103"/>
    </row>
    <row r="19" spans="1:5" s="51" customFormat="1" ht="12" customHeight="1">
      <c r="A19" s="197" t="s">
        <v>72</v>
      </c>
      <c r="B19" s="180" t="s">
        <v>326</v>
      </c>
      <c r="C19" s="167"/>
      <c r="D19" s="254"/>
      <c r="E19" s="103"/>
    </row>
    <row r="20" spans="1:5" s="51" customFormat="1" ht="12" customHeight="1">
      <c r="A20" s="197" t="s">
        <v>73</v>
      </c>
      <c r="B20" s="180" t="s">
        <v>170</v>
      </c>
      <c r="C20" s="167">
        <v>61730525</v>
      </c>
      <c r="D20" s="254">
        <v>170483392</v>
      </c>
      <c r="E20" s="103">
        <v>183761564</v>
      </c>
    </row>
    <row r="21" spans="1:5" s="52" customFormat="1" ht="12" customHeight="1" thickBot="1">
      <c r="A21" s="198" t="s">
        <v>80</v>
      </c>
      <c r="B21" s="181" t="s">
        <v>171</v>
      </c>
      <c r="C21" s="169">
        <v>2742525</v>
      </c>
      <c r="D21" s="255">
        <v>99454067</v>
      </c>
      <c r="E21" s="105">
        <v>99454067</v>
      </c>
    </row>
    <row r="22" spans="1:5" s="52" customFormat="1" ht="12" customHeight="1" thickBot="1">
      <c r="A22" s="25" t="s">
        <v>8</v>
      </c>
      <c r="B22" s="19" t="s">
        <v>172</v>
      </c>
      <c r="C22" s="166">
        <f>+C23+C24+C25+C26+C27</f>
        <v>0</v>
      </c>
      <c r="D22" s="252">
        <f>+D23+D24+D25+D26+D27</f>
        <v>297668709</v>
      </c>
      <c r="E22" s="102">
        <f>+E23+E24+E25+E26+E27</f>
        <v>297668709</v>
      </c>
    </row>
    <row r="23" spans="1:5" s="52" customFormat="1" ht="12" customHeight="1">
      <c r="A23" s="196" t="s">
        <v>52</v>
      </c>
      <c r="B23" s="179" t="s">
        <v>173</v>
      </c>
      <c r="C23" s="168"/>
      <c r="D23" s="253">
        <v>2000000</v>
      </c>
      <c r="E23" s="104">
        <v>2000000</v>
      </c>
    </row>
    <row r="24" spans="1:5" s="51" customFormat="1" ht="12" customHeight="1">
      <c r="A24" s="197" t="s">
        <v>53</v>
      </c>
      <c r="B24" s="180" t="s">
        <v>174</v>
      </c>
      <c r="C24" s="167"/>
      <c r="D24" s="254"/>
      <c r="E24" s="103"/>
    </row>
    <row r="25" spans="1:5" s="52" customFormat="1" ht="12" customHeight="1">
      <c r="A25" s="197" t="s">
        <v>54</v>
      </c>
      <c r="B25" s="180" t="s">
        <v>327</v>
      </c>
      <c r="C25" s="167"/>
      <c r="D25" s="254"/>
      <c r="E25" s="103"/>
    </row>
    <row r="26" spans="1:5" s="52" customFormat="1" ht="12" customHeight="1">
      <c r="A26" s="197" t="s">
        <v>55</v>
      </c>
      <c r="B26" s="180" t="s">
        <v>328</v>
      </c>
      <c r="C26" s="167"/>
      <c r="D26" s="254"/>
      <c r="E26" s="103"/>
    </row>
    <row r="27" spans="1:5" s="52" customFormat="1" ht="12" customHeight="1">
      <c r="A27" s="197" t="s">
        <v>110</v>
      </c>
      <c r="B27" s="180" t="s">
        <v>175</v>
      </c>
      <c r="C27" s="167"/>
      <c r="D27" s="254">
        <v>295668709</v>
      </c>
      <c r="E27" s="254">
        <v>295668709</v>
      </c>
    </row>
    <row r="28" spans="1:5" s="52" customFormat="1" ht="12" customHeight="1" thickBot="1">
      <c r="A28" s="198" t="s">
        <v>111</v>
      </c>
      <c r="B28" s="181" t="s">
        <v>176</v>
      </c>
      <c r="C28" s="169"/>
      <c r="D28" s="255"/>
      <c r="E28" s="105"/>
    </row>
    <row r="29" spans="1:5" s="52" customFormat="1" ht="12" customHeight="1" thickBot="1">
      <c r="A29" s="25" t="s">
        <v>112</v>
      </c>
      <c r="B29" s="19" t="s">
        <v>476</v>
      </c>
      <c r="C29" s="172">
        <f>SUM(C30:C36)</f>
        <v>75500000</v>
      </c>
      <c r="D29" s="172">
        <f>SUM(D30:D36)</f>
        <v>75500000</v>
      </c>
      <c r="E29" s="208">
        <f>SUM(E30:E36)</f>
        <v>104503497</v>
      </c>
    </row>
    <row r="30" spans="1:5" s="52" customFormat="1" ht="12" customHeight="1">
      <c r="A30" s="196" t="s">
        <v>177</v>
      </c>
      <c r="B30" s="179" t="str">
        <f>'Z_1.1.sz.mell.'!B33</f>
        <v>Építményadó</v>
      </c>
      <c r="C30" s="168"/>
      <c r="D30" s="168"/>
      <c r="E30" s="104"/>
    </row>
    <row r="31" spans="1:5" s="52" customFormat="1" ht="12" customHeight="1">
      <c r="A31" s="197" t="s">
        <v>178</v>
      </c>
      <c r="B31" s="179" t="str">
        <f>'Z_1.1.sz.mell.'!B34</f>
        <v>Telekadó</v>
      </c>
      <c r="C31" s="167"/>
      <c r="D31" s="167"/>
      <c r="E31" s="103"/>
    </row>
    <row r="32" spans="1:5" s="52" customFormat="1" ht="12" customHeight="1">
      <c r="A32" s="197" t="s">
        <v>179</v>
      </c>
      <c r="B32" s="179" t="str">
        <f>'Z_1.1.sz.mell.'!B35</f>
        <v>Iparűzési adó</v>
      </c>
      <c r="C32" s="167">
        <v>67000000</v>
      </c>
      <c r="D32" s="167">
        <v>67000000</v>
      </c>
      <c r="E32" s="103">
        <v>96057437</v>
      </c>
    </row>
    <row r="33" spans="1:5" s="52" customFormat="1" ht="12" customHeight="1">
      <c r="A33" s="197" t="s">
        <v>180</v>
      </c>
      <c r="B33" s="179" t="str">
        <f>'Z_1.1.sz.mell.'!B36</f>
        <v>Talajterhelési díj</v>
      </c>
      <c r="C33" s="167"/>
      <c r="D33" s="167"/>
      <c r="E33" s="103"/>
    </row>
    <row r="34" spans="1:5" s="52" customFormat="1" ht="12" customHeight="1">
      <c r="A34" s="197" t="s">
        <v>480</v>
      </c>
      <c r="B34" s="179" t="str">
        <f>'Z_1.1.sz.mell.'!B37</f>
        <v>Gépjárműadó</v>
      </c>
      <c r="C34" s="167">
        <v>8000000</v>
      </c>
      <c r="D34" s="167">
        <v>8000000</v>
      </c>
      <c r="E34" s="103">
        <v>8061961</v>
      </c>
    </row>
    <row r="35" spans="1:5" s="52" customFormat="1" ht="12" customHeight="1">
      <c r="A35" s="197" t="s">
        <v>481</v>
      </c>
      <c r="B35" s="179" t="str">
        <f>'Z_1.1.sz.mell.'!B38</f>
        <v>Kommunális adó</v>
      </c>
      <c r="C35" s="167"/>
      <c r="D35" s="167"/>
      <c r="E35" s="103"/>
    </row>
    <row r="36" spans="1:5" s="52" customFormat="1" ht="12" customHeight="1" thickBot="1">
      <c r="A36" s="198" t="s">
        <v>482</v>
      </c>
      <c r="B36" s="179" t="str">
        <f>'Z_1.1.sz.mell.'!B39</f>
        <v>Egyéb közhatalmi  bevételek</v>
      </c>
      <c r="C36" s="169">
        <v>500000</v>
      </c>
      <c r="D36" s="169">
        <v>500000</v>
      </c>
      <c r="E36" s="105">
        <v>384099</v>
      </c>
    </row>
    <row r="37" spans="1:5" s="52" customFormat="1" ht="12" customHeight="1" thickBot="1">
      <c r="A37" s="25" t="s">
        <v>10</v>
      </c>
      <c r="B37" s="19" t="s">
        <v>335</v>
      </c>
      <c r="C37" s="166">
        <f>SUM(C38:C48)</f>
        <v>30000000</v>
      </c>
      <c r="D37" s="252">
        <f>SUM(D38:D48)</f>
        <v>46434975</v>
      </c>
      <c r="E37" s="102">
        <f>SUM(E38:E48)</f>
        <v>59252072</v>
      </c>
    </row>
    <row r="38" spans="1:5" s="52" customFormat="1" ht="12" customHeight="1">
      <c r="A38" s="196" t="s">
        <v>56</v>
      </c>
      <c r="B38" s="179" t="s">
        <v>184</v>
      </c>
      <c r="C38" s="168"/>
      <c r="D38" s="253"/>
      <c r="E38" s="104">
        <v>21259061</v>
      </c>
    </row>
    <row r="39" spans="1:5" s="52" customFormat="1" ht="12" customHeight="1">
      <c r="A39" s="197" t="s">
        <v>57</v>
      </c>
      <c r="B39" s="180" t="s">
        <v>185</v>
      </c>
      <c r="C39" s="167">
        <v>10545910</v>
      </c>
      <c r="D39" s="254">
        <v>25274384</v>
      </c>
      <c r="E39" s="103">
        <v>10856723</v>
      </c>
    </row>
    <row r="40" spans="1:5" s="52" customFormat="1" ht="12" customHeight="1">
      <c r="A40" s="197" t="s">
        <v>58</v>
      </c>
      <c r="B40" s="180" t="s">
        <v>186</v>
      </c>
      <c r="C40" s="167">
        <v>850397</v>
      </c>
      <c r="D40" s="167">
        <v>850397</v>
      </c>
      <c r="E40" s="103">
        <v>1610754</v>
      </c>
    </row>
    <row r="41" spans="1:5" s="52" customFormat="1" ht="12" customHeight="1">
      <c r="A41" s="197" t="s">
        <v>114</v>
      </c>
      <c r="B41" s="180" t="s">
        <v>187</v>
      </c>
      <c r="C41" s="167">
        <v>8000000</v>
      </c>
      <c r="D41" s="167">
        <v>8000000</v>
      </c>
      <c r="E41" s="103">
        <v>8603425</v>
      </c>
    </row>
    <row r="42" spans="1:5" s="52" customFormat="1" ht="12" customHeight="1">
      <c r="A42" s="197" t="s">
        <v>115</v>
      </c>
      <c r="B42" s="180" t="s">
        <v>188</v>
      </c>
      <c r="C42" s="167">
        <v>6467785</v>
      </c>
      <c r="D42" s="167">
        <v>6467785</v>
      </c>
      <c r="E42" s="103">
        <v>5256201</v>
      </c>
    </row>
    <row r="43" spans="1:5" s="52" customFormat="1" ht="12" customHeight="1">
      <c r="A43" s="197" t="s">
        <v>116</v>
      </c>
      <c r="B43" s="180" t="s">
        <v>189</v>
      </c>
      <c r="C43" s="167">
        <v>4135908</v>
      </c>
      <c r="D43" s="167">
        <v>5842409</v>
      </c>
      <c r="E43" s="103">
        <v>9669951</v>
      </c>
    </row>
    <row r="44" spans="1:5" s="52" customFormat="1" ht="12" customHeight="1">
      <c r="A44" s="197" t="s">
        <v>117</v>
      </c>
      <c r="B44" s="180" t="s">
        <v>190</v>
      </c>
      <c r="C44" s="167"/>
      <c r="D44" s="254"/>
      <c r="E44" s="103"/>
    </row>
    <row r="45" spans="1:5" s="52" customFormat="1" ht="12" customHeight="1">
      <c r="A45" s="197" t="s">
        <v>118</v>
      </c>
      <c r="B45" s="180" t="s">
        <v>483</v>
      </c>
      <c r="C45" s="167"/>
      <c r="D45" s="254"/>
      <c r="E45" s="103"/>
    </row>
    <row r="46" spans="1:5" s="52" customFormat="1" ht="12" customHeight="1">
      <c r="A46" s="197" t="s">
        <v>182</v>
      </c>
      <c r="B46" s="180" t="s">
        <v>192</v>
      </c>
      <c r="C46" s="170"/>
      <c r="D46" s="286"/>
      <c r="E46" s="106">
        <v>2202</v>
      </c>
    </row>
    <row r="47" spans="1:5" s="52" customFormat="1" ht="12" customHeight="1">
      <c r="A47" s="198" t="s">
        <v>183</v>
      </c>
      <c r="B47" s="181" t="s">
        <v>337</v>
      </c>
      <c r="C47" s="171"/>
      <c r="D47" s="287"/>
      <c r="E47" s="107">
        <v>274605</v>
      </c>
    </row>
    <row r="48" spans="1:5" s="52" customFormat="1" ht="12" customHeight="1" thickBot="1">
      <c r="A48" s="198" t="s">
        <v>336</v>
      </c>
      <c r="B48" s="181" t="s">
        <v>193</v>
      </c>
      <c r="C48" s="171"/>
      <c r="D48" s="287"/>
      <c r="E48" s="287">
        <v>1719150</v>
      </c>
    </row>
    <row r="49" spans="1:5" s="52" customFormat="1" ht="12" customHeight="1" thickBot="1">
      <c r="A49" s="25" t="s">
        <v>11</v>
      </c>
      <c r="B49" s="19" t="s">
        <v>194</v>
      </c>
      <c r="C49" s="166">
        <f>SUM(C50:C54)</f>
        <v>0</v>
      </c>
      <c r="D49" s="252">
        <f>SUM(D50:D54)</f>
        <v>4900000</v>
      </c>
      <c r="E49" s="102">
        <f>SUM(E50:E54)</f>
        <v>13889915</v>
      </c>
    </row>
    <row r="50" spans="1:5" s="52" customFormat="1" ht="12" customHeight="1">
      <c r="A50" s="196" t="s">
        <v>59</v>
      </c>
      <c r="B50" s="179" t="s">
        <v>198</v>
      </c>
      <c r="C50" s="219"/>
      <c r="D50" s="288"/>
      <c r="E50" s="108"/>
    </row>
    <row r="51" spans="1:5" s="52" customFormat="1" ht="12" customHeight="1">
      <c r="A51" s="197" t="s">
        <v>60</v>
      </c>
      <c r="B51" s="180" t="s">
        <v>199</v>
      </c>
      <c r="C51" s="170"/>
      <c r="D51" s="286">
        <v>4900000</v>
      </c>
      <c r="E51" s="106">
        <v>13882041</v>
      </c>
    </row>
    <row r="52" spans="1:5" s="52" customFormat="1" ht="12" customHeight="1">
      <c r="A52" s="197" t="s">
        <v>195</v>
      </c>
      <c r="B52" s="180" t="s">
        <v>200</v>
      </c>
      <c r="C52" s="170"/>
      <c r="D52" s="286"/>
      <c r="E52" s="106">
        <v>7874</v>
      </c>
    </row>
    <row r="53" spans="1:5" s="52" customFormat="1" ht="12" customHeight="1">
      <c r="A53" s="197" t="s">
        <v>196</v>
      </c>
      <c r="B53" s="180" t="s">
        <v>201</v>
      </c>
      <c r="C53" s="170"/>
      <c r="D53" s="286"/>
      <c r="E53" s="106"/>
    </row>
    <row r="54" spans="1:5" s="52" customFormat="1" ht="12" customHeight="1" thickBot="1">
      <c r="A54" s="198" t="s">
        <v>197</v>
      </c>
      <c r="B54" s="181" t="s">
        <v>202</v>
      </c>
      <c r="C54" s="171"/>
      <c r="D54" s="287"/>
      <c r="E54" s="107"/>
    </row>
    <row r="55" spans="1:5" s="52" customFormat="1" ht="12" customHeight="1" thickBot="1">
      <c r="A55" s="25" t="s">
        <v>119</v>
      </c>
      <c r="B55" s="19" t="s">
        <v>203</v>
      </c>
      <c r="C55" s="166">
        <f>SUM(C56:C58)</f>
        <v>0</v>
      </c>
      <c r="D55" s="252">
        <f>SUM(D56:D58)</f>
        <v>1464615</v>
      </c>
      <c r="E55" s="102">
        <f>SUM(E56:E58)</f>
        <v>3082418</v>
      </c>
    </row>
    <row r="56" spans="1:5" s="52" customFormat="1" ht="12" customHeight="1">
      <c r="A56" s="196" t="s">
        <v>61</v>
      </c>
      <c r="B56" s="179" t="s">
        <v>204</v>
      </c>
      <c r="C56" s="168"/>
      <c r="D56" s="253"/>
      <c r="E56" s="104"/>
    </row>
    <row r="57" spans="1:5" s="52" customFormat="1" ht="12" customHeight="1">
      <c r="A57" s="197" t="s">
        <v>62</v>
      </c>
      <c r="B57" s="180" t="s">
        <v>329</v>
      </c>
      <c r="C57" s="167"/>
      <c r="D57" s="254">
        <v>1000000</v>
      </c>
      <c r="E57" s="103">
        <v>1117803</v>
      </c>
    </row>
    <row r="58" spans="1:5" s="52" customFormat="1" ht="12" customHeight="1">
      <c r="A58" s="197" t="s">
        <v>207</v>
      </c>
      <c r="B58" s="180" t="s">
        <v>205</v>
      </c>
      <c r="C58" s="167"/>
      <c r="D58" s="254">
        <v>464615</v>
      </c>
      <c r="E58" s="103">
        <v>1964615</v>
      </c>
    </row>
    <row r="59" spans="1:5" s="52" customFormat="1" ht="12" customHeight="1" thickBot="1">
      <c r="A59" s="198" t="s">
        <v>208</v>
      </c>
      <c r="B59" s="181" t="s">
        <v>206</v>
      </c>
      <c r="C59" s="169"/>
      <c r="D59" s="255"/>
      <c r="E59" s="105"/>
    </row>
    <row r="60" spans="1:5" s="52" customFormat="1" ht="12" customHeight="1" thickBot="1">
      <c r="A60" s="25" t="s">
        <v>13</v>
      </c>
      <c r="B60" s="109" t="s">
        <v>209</v>
      </c>
      <c r="C60" s="166">
        <f>SUM(C61:C63)</f>
        <v>21351678</v>
      </c>
      <c r="D60" s="252">
        <f>SUM(D61:D63)</f>
        <v>30212440</v>
      </c>
      <c r="E60" s="102">
        <f>SUM(E61:E63)</f>
        <v>34270135</v>
      </c>
    </row>
    <row r="61" spans="1:5" s="52" customFormat="1" ht="12" customHeight="1">
      <c r="A61" s="196" t="s">
        <v>120</v>
      </c>
      <c r="B61" s="179" t="s">
        <v>211</v>
      </c>
      <c r="C61" s="170"/>
      <c r="D61" s="286"/>
      <c r="E61" s="106"/>
    </row>
    <row r="62" spans="1:5" s="52" customFormat="1" ht="12" customHeight="1">
      <c r="A62" s="197" t="s">
        <v>121</v>
      </c>
      <c r="B62" s="180" t="s">
        <v>330</v>
      </c>
      <c r="C62" s="170"/>
      <c r="D62" s="286"/>
      <c r="E62" s="106">
        <v>1384184</v>
      </c>
    </row>
    <row r="63" spans="1:5" s="52" customFormat="1" ht="12" customHeight="1">
      <c r="A63" s="197" t="s">
        <v>144</v>
      </c>
      <c r="B63" s="180" t="s">
        <v>212</v>
      </c>
      <c r="C63" s="170">
        <v>21351678</v>
      </c>
      <c r="D63" s="286">
        <v>30212440</v>
      </c>
      <c r="E63" s="106">
        <v>32885951</v>
      </c>
    </row>
    <row r="64" spans="1:5" s="52" customFormat="1" ht="12" customHeight="1" thickBot="1">
      <c r="A64" s="198" t="s">
        <v>210</v>
      </c>
      <c r="B64" s="181" t="s">
        <v>213</v>
      </c>
      <c r="C64" s="170"/>
      <c r="D64" s="286"/>
      <c r="E64" s="106"/>
    </row>
    <row r="65" spans="1:5" s="52" customFormat="1" ht="12" customHeight="1" thickBot="1">
      <c r="A65" s="25" t="s">
        <v>14</v>
      </c>
      <c r="B65" s="19" t="s">
        <v>214</v>
      </c>
      <c r="C65" s="172">
        <f>+C8+C15+C22+C29+C37+C49+C55+C60</f>
        <v>460399254</v>
      </c>
      <c r="D65" s="256">
        <f>+D8+D15+D22+D29+D37+D49+D55+D60</f>
        <v>890930712</v>
      </c>
      <c r="E65" s="208">
        <f>+E8+E15+E22+E29+E37+E49+E55+E60</f>
        <v>960694891</v>
      </c>
    </row>
    <row r="66" spans="1:5" s="52" customFormat="1" ht="12" customHeight="1" thickBot="1">
      <c r="A66" s="199" t="s">
        <v>299</v>
      </c>
      <c r="B66" s="109" t="s">
        <v>216</v>
      </c>
      <c r="C66" s="166">
        <f>SUM(C67:C69)</f>
        <v>209767404</v>
      </c>
      <c r="D66" s="252">
        <f>SUM(D67:D69)</f>
        <v>37952321</v>
      </c>
      <c r="E66" s="102">
        <f>SUM(E67:E69)</f>
        <v>37952321</v>
      </c>
    </row>
    <row r="67" spans="1:5" s="52" customFormat="1" ht="12" customHeight="1">
      <c r="A67" s="196" t="s">
        <v>244</v>
      </c>
      <c r="B67" s="179" t="s">
        <v>217</v>
      </c>
      <c r="C67" s="170">
        <v>209767404</v>
      </c>
      <c r="D67" s="286">
        <v>16443546</v>
      </c>
      <c r="E67" s="286">
        <v>16443546</v>
      </c>
    </row>
    <row r="68" spans="1:5" s="52" customFormat="1" ht="12" customHeight="1">
      <c r="A68" s="197" t="s">
        <v>253</v>
      </c>
      <c r="B68" s="180" t="s">
        <v>218</v>
      </c>
      <c r="C68" s="170"/>
      <c r="D68" s="286">
        <v>21508775</v>
      </c>
      <c r="E68" s="286">
        <v>21508775</v>
      </c>
    </row>
    <row r="69" spans="1:5" s="52" customFormat="1" ht="12" customHeight="1" thickBot="1">
      <c r="A69" s="206" t="s">
        <v>254</v>
      </c>
      <c r="B69" s="320" t="s">
        <v>362</v>
      </c>
      <c r="C69" s="321"/>
      <c r="D69" s="289"/>
      <c r="E69" s="322"/>
    </row>
    <row r="70" spans="1:5" s="52" customFormat="1" ht="12" customHeight="1" thickBot="1">
      <c r="A70" s="199" t="s">
        <v>220</v>
      </c>
      <c r="B70" s="109" t="s">
        <v>221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2" customFormat="1" ht="12" customHeight="1">
      <c r="A71" s="196" t="s">
        <v>98</v>
      </c>
      <c r="B71" s="307" t="s">
        <v>222</v>
      </c>
      <c r="C71" s="170"/>
      <c r="D71" s="170"/>
      <c r="E71" s="106"/>
    </row>
    <row r="72" spans="1:5" s="52" customFormat="1" ht="12" customHeight="1">
      <c r="A72" s="197" t="s">
        <v>99</v>
      </c>
      <c r="B72" s="307" t="s">
        <v>490</v>
      </c>
      <c r="C72" s="170"/>
      <c r="D72" s="170"/>
      <c r="E72" s="106"/>
    </row>
    <row r="73" spans="1:5" s="52" customFormat="1" ht="12" customHeight="1">
      <c r="A73" s="197" t="s">
        <v>245</v>
      </c>
      <c r="B73" s="307" t="s">
        <v>223</v>
      </c>
      <c r="C73" s="170"/>
      <c r="D73" s="170"/>
      <c r="E73" s="106"/>
    </row>
    <row r="74" spans="1:5" s="52" customFormat="1" ht="12" customHeight="1" thickBot="1">
      <c r="A74" s="198" t="s">
        <v>246</v>
      </c>
      <c r="B74" s="308" t="s">
        <v>491</v>
      </c>
      <c r="C74" s="170"/>
      <c r="D74" s="170"/>
      <c r="E74" s="106"/>
    </row>
    <row r="75" spans="1:5" s="52" customFormat="1" ht="12" customHeight="1" thickBot="1">
      <c r="A75" s="199" t="s">
        <v>224</v>
      </c>
      <c r="B75" s="109" t="s">
        <v>225</v>
      </c>
      <c r="C75" s="166">
        <f>SUM(C76:C77)</f>
        <v>1072555787</v>
      </c>
      <c r="D75" s="166">
        <f>SUM(D76:D77)</f>
        <v>1132814562</v>
      </c>
      <c r="E75" s="102">
        <f>SUM(E76:E77)</f>
        <v>1132814562</v>
      </c>
    </row>
    <row r="76" spans="1:5" s="52" customFormat="1" ht="12" customHeight="1">
      <c r="A76" s="196" t="s">
        <v>247</v>
      </c>
      <c r="B76" s="179" t="s">
        <v>226</v>
      </c>
      <c r="C76" s="170">
        <v>1072555787</v>
      </c>
      <c r="D76" s="170">
        <v>1132814562</v>
      </c>
      <c r="E76" s="170">
        <v>1132814562</v>
      </c>
    </row>
    <row r="77" spans="1:5" s="52" customFormat="1" ht="12" customHeight="1" thickBot="1">
      <c r="A77" s="198" t="s">
        <v>248</v>
      </c>
      <c r="B77" s="181" t="s">
        <v>227</v>
      </c>
      <c r="C77" s="170"/>
      <c r="D77" s="170"/>
      <c r="E77" s="106"/>
    </row>
    <row r="78" spans="1:5" s="51" customFormat="1" ht="12" customHeight="1" thickBot="1">
      <c r="A78" s="199" t="s">
        <v>228</v>
      </c>
      <c r="B78" s="109" t="s">
        <v>229</v>
      </c>
      <c r="C78" s="166">
        <f>SUM(C79:C81)</f>
        <v>0</v>
      </c>
      <c r="D78" s="166">
        <f>SUM(D79:D81)</f>
        <v>0</v>
      </c>
      <c r="E78" s="102">
        <f>SUM(E79:E81)</f>
        <v>9483636</v>
      </c>
    </row>
    <row r="79" spans="1:5" s="52" customFormat="1" ht="12" customHeight="1">
      <c r="A79" s="196" t="s">
        <v>249</v>
      </c>
      <c r="B79" s="179" t="s">
        <v>230</v>
      </c>
      <c r="C79" s="170"/>
      <c r="D79" s="170"/>
      <c r="E79" s="106">
        <v>9483636</v>
      </c>
    </row>
    <row r="80" spans="1:5" s="52" customFormat="1" ht="12" customHeight="1">
      <c r="A80" s="197" t="s">
        <v>250</v>
      </c>
      <c r="B80" s="180" t="s">
        <v>231</v>
      </c>
      <c r="C80" s="170"/>
      <c r="D80" s="170"/>
      <c r="E80" s="106"/>
    </row>
    <row r="81" spans="1:5" s="52" customFormat="1" ht="12" customHeight="1" thickBot="1">
      <c r="A81" s="198" t="s">
        <v>251</v>
      </c>
      <c r="B81" s="181" t="s">
        <v>492</v>
      </c>
      <c r="C81" s="170"/>
      <c r="D81" s="170"/>
      <c r="E81" s="106"/>
    </row>
    <row r="82" spans="1:5" s="52" customFormat="1" ht="12" customHeight="1" thickBot="1">
      <c r="A82" s="199" t="s">
        <v>232</v>
      </c>
      <c r="B82" s="109" t="s">
        <v>252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2" customFormat="1" ht="12" customHeight="1">
      <c r="A83" s="200" t="s">
        <v>233</v>
      </c>
      <c r="B83" s="179" t="s">
        <v>234</v>
      </c>
      <c r="C83" s="170"/>
      <c r="D83" s="170"/>
      <c r="E83" s="106"/>
    </row>
    <row r="84" spans="1:5" s="52" customFormat="1" ht="12" customHeight="1">
      <c r="A84" s="201" t="s">
        <v>235</v>
      </c>
      <c r="B84" s="180" t="s">
        <v>236</v>
      </c>
      <c r="C84" s="170"/>
      <c r="D84" s="170"/>
      <c r="E84" s="106"/>
    </row>
    <row r="85" spans="1:5" s="52" customFormat="1" ht="12" customHeight="1">
      <c r="A85" s="201" t="s">
        <v>237</v>
      </c>
      <c r="B85" s="180" t="s">
        <v>238</v>
      </c>
      <c r="C85" s="170"/>
      <c r="D85" s="170"/>
      <c r="E85" s="106"/>
    </row>
    <row r="86" spans="1:5" s="51" customFormat="1" ht="12" customHeight="1" thickBot="1">
      <c r="A86" s="202" t="s">
        <v>239</v>
      </c>
      <c r="B86" s="181" t="s">
        <v>240</v>
      </c>
      <c r="C86" s="170"/>
      <c r="D86" s="170"/>
      <c r="E86" s="106"/>
    </row>
    <row r="87" spans="1:5" s="51" customFormat="1" ht="12" customHeight="1" thickBot="1">
      <c r="A87" s="199" t="s">
        <v>241</v>
      </c>
      <c r="B87" s="109" t="s">
        <v>376</v>
      </c>
      <c r="C87" s="222"/>
      <c r="D87" s="222"/>
      <c r="E87" s="223"/>
    </row>
    <row r="88" spans="1:5" s="51" customFormat="1" ht="12" customHeight="1" thickBot="1">
      <c r="A88" s="199" t="s">
        <v>394</v>
      </c>
      <c r="B88" s="109" t="s">
        <v>242</v>
      </c>
      <c r="C88" s="222"/>
      <c r="D88" s="222"/>
      <c r="E88" s="223"/>
    </row>
    <row r="89" spans="1:5" s="51" customFormat="1" ht="12" customHeight="1" thickBot="1">
      <c r="A89" s="199" t="s">
        <v>395</v>
      </c>
      <c r="B89" s="186" t="s">
        <v>379</v>
      </c>
      <c r="C89" s="172">
        <f>+C66+C70+C75+C78+C82+C88+C87</f>
        <v>1282323191</v>
      </c>
      <c r="D89" s="172">
        <f>+D66+D70+D75+D78+D82+D88+D87</f>
        <v>1170766883</v>
      </c>
      <c r="E89" s="208">
        <f>+E66+E70+E75+E78+E82+E88+E87</f>
        <v>1180250519</v>
      </c>
    </row>
    <row r="90" spans="1:5" s="51" customFormat="1" ht="12" customHeight="1" thickBot="1">
      <c r="A90" s="203" t="s">
        <v>396</v>
      </c>
      <c r="B90" s="187" t="s">
        <v>397</v>
      </c>
      <c r="C90" s="172">
        <f>+C65+C89</f>
        <v>1742722445</v>
      </c>
      <c r="D90" s="172">
        <f>+D65+D89</f>
        <v>2061697595</v>
      </c>
      <c r="E90" s="208">
        <f>+E65+E89</f>
        <v>2140945410</v>
      </c>
    </row>
    <row r="91" spans="1:3" s="52" customFormat="1" ht="15" customHeight="1" thickBot="1">
      <c r="A91" s="86"/>
      <c r="B91" s="87"/>
      <c r="C91" s="148"/>
    </row>
    <row r="92" spans="1:5" s="45" customFormat="1" ht="16.5" customHeight="1" thickBot="1">
      <c r="A92" s="847" t="s">
        <v>40</v>
      </c>
      <c r="B92" s="848"/>
      <c r="C92" s="848"/>
      <c r="D92" s="848"/>
      <c r="E92" s="849"/>
    </row>
    <row r="93" spans="1:5" s="53" customFormat="1" ht="12" customHeight="1" thickBot="1">
      <c r="A93" s="173" t="s">
        <v>6</v>
      </c>
      <c r="B93" s="24" t="s">
        <v>401</v>
      </c>
      <c r="C93" s="165">
        <f>+C94+C95+C96+C97+C98+C111</f>
        <v>457061623</v>
      </c>
      <c r="D93" s="165">
        <f>+D94+D95+D96+D97+D98+D111</f>
        <v>631804452</v>
      </c>
      <c r="E93" s="235">
        <f>+E94+E95+E96+E97+E98+E111</f>
        <v>506788561</v>
      </c>
    </row>
    <row r="94" spans="1:5" ht="12" customHeight="1">
      <c r="A94" s="204" t="s">
        <v>63</v>
      </c>
      <c r="B94" s="8" t="s">
        <v>35</v>
      </c>
      <c r="C94" s="242">
        <v>134551393</v>
      </c>
      <c r="D94" s="242">
        <v>144835443</v>
      </c>
      <c r="E94" s="236">
        <v>143970642</v>
      </c>
    </row>
    <row r="95" spans="1:5" ht="12" customHeight="1">
      <c r="A95" s="197" t="s">
        <v>64</v>
      </c>
      <c r="B95" s="6" t="s">
        <v>122</v>
      </c>
      <c r="C95" s="167">
        <v>22532339</v>
      </c>
      <c r="D95" s="167">
        <v>23745114</v>
      </c>
      <c r="E95" s="103">
        <v>23386984</v>
      </c>
    </row>
    <row r="96" spans="1:5" ht="12" customHeight="1">
      <c r="A96" s="197" t="s">
        <v>65</v>
      </c>
      <c r="B96" s="6" t="s">
        <v>90</v>
      </c>
      <c r="C96" s="169">
        <v>173000477</v>
      </c>
      <c r="D96" s="167">
        <v>274574590</v>
      </c>
      <c r="E96" s="105">
        <v>221723703</v>
      </c>
    </row>
    <row r="97" spans="1:5" ht="12" customHeight="1">
      <c r="A97" s="197" t="s">
        <v>66</v>
      </c>
      <c r="B97" s="9" t="s">
        <v>123</v>
      </c>
      <c r="C97" s="169">
        <v>11784000</v>
      </c>
      <c r="D97" s="255">
        <v>16937241</v>
      </c>
      <c r="E97" s="105">
        <v>14472091</v>
      </c>
    </row>
    <row r="98" spans="1:5" ht="12" customHeight="1">
      <c r="A98" s="197" t="s">
        <v>75</v>
      </c>
      <c r="B98" s="17" t="s">
        <v>124</v>
      </c>
      <c r="C98" s="169">
        <f>SUM(C99:C110)</f>
        <v>115193414</v>
      </c>
      <c r="D98" s="169">
        <f>SUM(D99:D110)</f>
        <v>106530145</v>
      </c>
      <c r="E98" s="169">
        <f>SUM(E99:E110)</f>
        <v>103235141</v>
      </c>
    </row>
    <row r="99" spans="1:5" ht="12" customHeight="1">
      <c r="A99" s="197" t="s">
        <v>67</v>
      </c>
      <c r="B99" s="6" t="s">
        <v>398</v>
      </c>
      <c r="C99" s="169"/>
      <c r="D99" s="255">
        <v>321833</v>
      </c>
      <c r="E99" s="105">
        <v>321833</v>
      </c>
    </row>
    <row r="100" spans="1:5" ht="12" customHeight="1">
      <c r="A100" s="197" t="s">
        <v>68</v>
      </c>
      <c r="B100" s="62" t="s">
        <v>342</v>
      </c>
      <c r="C100" s="169"/>
      <c r="D100" s="255"/>
      <c r="E100" s="105"/>
    </row>
    <row r="101" spans="1:5" ht="12" customHeight="1">
      <c r="A101" s="197" t="s">
        <v>76</v>
      </c>
      <c r="B101" s="62" t="s">
        <v>341</v>
      </c>
      <c r="C101" s="169"/>
      <c r="D101" s="255"/>
      <c r="E101" s="105"/>
    </row>
    <row r="102" spans="1:5" ht="12" customHeight="1">
      <c r="A102" s="197" t="s">
        <v>77</v>
      </c>
      <c r="B102" s="62" t="s">
        <v>258</v>
      </c>
      <c r="C102" s="169"/>
      <c r="D102" s="255"/>
      <c r="E102" s="105"/>
    </row>
    <row r="103" spans="1:5" ht="12" customHeight="1">
      <c r="A103" s="197" t="s">
        <v>78</v>
      </c>
      <c r="B103" s="63" t="s">
        <v>259</v>
      </c>
      <c r="C103" s="169"/>
      <c r="D103" s="255"/>
      <c r="E103" s="105"/>
    </row>
    <row r="104" spans="1:5" ht="12" customHeight="1">
      <c r="A104" s="197" t="s">
        <v>79</v>
      </c>
      <c r="B104" s="63" t="s">
        <v>260</v>
      </c>
      <c r="C104" s="169"/>
      <c r="D104" s="255"/>
      <c r="E104" s="105"/>
    </row>
    <row r="105" spans="1:5" ht="12" customHeight="1">
      <c r="A105" s="197" t="s">
        <v>81</v>
      </c>
      <c r="B105" s="62" t="s">
        <v>261</v>
      </c>
      <c r="C105" s="169">
        <v>109693414</v>
      </c>
      <c r="D105" s="255">
        <v>99708312</v>
      </c>
      <c r="E105" s="105">
        <v>96746689</v>
      </c>
    </row>
    <row r="106" spans="1:5" ht="12" customHeight="1">
      <c r="A106" s="197" t="s">
        <v>125</v>
      </c>
      <c r="B106" s="62" t="s">
        <v>262</v>
      </c>
      <c r="C106" s="169"/>
      <c r="D106" s="255"/>
      <c r="E106" s="105"/>
    </row>
    <row r="107" spans="1:5" ht="12" customHeight="1">
      <c r="A107" s="197" t="s">
        <v>256</v>
      </c>
      <c r="B107" s="63" t="s">
        <v>263</v>
      </c>
      <c r="C107" s="167"/>
      <c r="D107" s="255">
        <v>1000000</v>
      </c>
      <c r="E107" s="105">
        <v>1000000</v>
      </c>
    </row>
    <row r="108" spans="1:5" ht="12" customHeight="1">
      <c r="A108" s="205" t="s">
        <v>257</v>
      </c>
      <c r="B108" s="64" t="s">
        <v>264</v>
      </c>
      <c r="C108" s="169"/>
      <c r="D108" s="255"/>
      <c r="E108" s="105"/>
    </row>
    <row r="109" spans="1:5" ht="12" customHeight="1">
      <c r="A109" s="197" t="s">
        <v>339</v>
      </c>
      <c r="B109" s="64" t="s">
        <v>265</v>
      </c>
      <c r="C109" s="169"/>
      <c r="D109" s="255"/>
      <c r="E109" s="105"/>
    </row>
    <row r="110" spans="1:5" ht="12" customHeight="1">
      <c r="A110" s="197" t="s">
        <v>340</v>
      </c>
      <c r="B110" s="63" t="s">
        <v>266</v>
      </c>
      <c r="C110" s="167">
        <v>5500000</v>
      </c>
      <c r="D110" s="254">
        <v>5500000</v>
      </c>
      <c r="E110" s="103">
        <v>5166619</v>
      </c>
    </row>
    <row r="111" spans="1:5" ht="12" customHeight="1">
      <c r="A111" s="197" t="s">
        <v>344</v>
      </c>
      <c r="B111" s="9" t="s">
        <v>36</v>
      </c>
      <c r="C111" s="167"/>
      <c r="D111" s="254">
        <f>SUM(D112:D113)</f>
        <v>65181919</v>
      </c>
      <c r="E111" s="103"/>
    </row>
    <row r="112" spans="1:5" ht="12" customHeight="1">
      <c r="A112" s="198" t="s">
        <v>345</v>
      </c>
      <c r="B112" s="6" t="s">
        <v>399</v>
      </c>
      <c r="C112" s="169"/>
      <c r="D112" s="255"/>
      <c r="E112" s="105"/>
    </row>
    <row r="113" spans="1:5" ht="12" customHeight="1" thickBot="1">
      <c r="A113" s="206" t="s">
        <v>346</v>
      </c>
      <c r="B113" s="65" t="s">
        <v>400</v>
      </c>
      <c r="C113" s="243"/>
      <c r="D113" s="243">
        <v>65181919</v>
      </c>
      <c r="E113" s="237"/>
    </row>
    <row r="114" spans="1:5" ht="12" customHeight="1" thickBot="1">
      <c r="A114" s="25" t="s">
        <v>7</v>
      </c>
      <c r="B114" s="23" t="s">
        <v>267</v>
      </c>
      <c r="C114" s="166">
        <f>+C115+C117+C119</f>
        <v>1168366391</v>
      </c>
      <c r="D114" s="252">
        <f>+D115+D117+D119</f>
        <v>1004561117</v>
      </c>
      <c r="E114" s="102">
        <f>+E115+E117+E119</f>
        <v>259620005</v>
      </c>
    </row>
    <row r="115" spans="1:5" ht="12" customHeight="1">
      <c r="A115" s="196" t="s">
        <v>69</v>
      </c>
      <c r="B115" s="6" t="s">
        <v>143</v>
      </c>
      <c r="C115" s="168">
        <v>1021465591</v>
      </c>
      <c r="D115" s="253">
        <v>848360348</v>
      </c>
      <c r="E115" s="104">
        <v>130412370</v>
      </c>
    </row>
    <row r="116" spans="1:5" ht="12" customHeight="1">
      <c r="A116" s="196" t="s">
        <v>70</v>
      </c>
      <c r="B116" s="10" t="s">
        <v>271</v>
      </c>
      <c r="C116" s="168">
        <v>983055591</v>
      </c>
      <c r="D116" s="253">
        <v>789731783</v>
      </c>
      <c r="E116" s="104">
        <v>77826441</v>
      </c>
    </row>
    <row r="117" spans="1:5" ht="12" customHeight="1">
      <c r="A117" s="196" t="s">
        <v>71</v>
      </c>
      <c r="B117" s="10" t="s">
        <v>126</v>
      </c>
      <c r="C117" s="167">
        <v>140900800</v>
      </c>
      <c r="D117" s="254">
        <v>121525579</v>
      </c>
      <c r="E117" s="103">
        <v>94559285</v>
      </c>
    </row>
    <row r="118" spans="1:5" ht="12" customHeight="1">
      <c r="A118" s="196" t="s">
        <v>72</v>
      </c>
      <c r="B118" s="10" t="s">
        <v>272</v>
      </c>
      <c r="C118" s="167">
        <v>123591800</v>
      </c>
      <c r="D118" s="254">
        <v>97316378</v>
      </c>
      <c r="E118" s="103">
        <v>75079679</v>
      </c>
    </row>
    <row r="119" spans="1:5" ht="12" customHeight="1">
      <c r="A119" s="196" t="s">
        <v>73</v>
      </c>
      <c r="B119" s="111" t="s">
        <v>145</v>
      </c>
      <c r="C119" s="167">
        <f>SUM(C120:C127)</f>
        <v>6000000</v>
      </c>
      <c r="D119" s="167">
        <f>SUM(D120:D127)</f>
        <v>34675190</v>
      </c>
      <c r="E119" s="167">
        <f>SUM(E120:E127)</f>
        <v>34648350</v>
      </c>
    </row>
    <row r="120" spans="1:5" ht="12" customHeight="1">
      <c r="A120" s="196" t="s">
        <v>80</v>
      </c>
      <c r="B120" s="110" t="s">
        <v>331</v>
      </c>
      <c r="C120" s="167"/>
      <c r="D120" s="254"/>
      <c r="E120" s="103"/>
    </row>
    <row r="121" spans="1:5" ht="12" customHeight="1">
      <c r="A121" s="196" t="s">
        <v>82</v>
      </c>
      <c r="B121" s="175" t="s">
        <v>277</v>
      </c>
      <c r="C121" s="167"/>
      <c r="D121" s="254"/>
      <c r="E121" s="103"/>
    </row>
    <row r="122" spans="1:5" ht="12" customHeight="1">
      <c r="A122" s="196" t="s">
        <v>127</v>
      </c>
      <c r="B122" s="63" t="s">
        <v>260</v>
      </c>
      <c r="C122" s="167"/>
      <c r="D122" s="254"/>
      <c r="E122" s="103"/>
    </row>
    <row r="123" spans="1:5" ht="12" customHeight="1">
      <c r="A123" s="196" t="s">
        <v>128</v>
      </c>
      <c r="B123" s="63" t="s">
        <v>276</v>
      </c>
      <c r="C123" s="167"/>
      <c r="D123" s="254"/>
      <c r="E123" s="103"/>
    </row>
    <row r="124" spans="1:5" ht="12" customHeight="1">
      <c r="A124" s="196" t="s">
        <v>129</v>
      </c>
      <c r="B124" s="63" t="s">
        <v>275</v>
      </c>
      <c r="C124" s="167"/>
      <c r="D124" s="254"/>
      <c r="E124" s="103"/>
    </row>
    <row r="125" spans="1:5" ht="12" customHeight="1">
      <c r="A125" s="196" t="s">
        <v>268</v>
      </c>
      <c r="B125" s="63" t="s">
        <v>263</v>
      </c>
      <c r="C125" s="167"/>
      <c r="D125" s="254">
        <v>34558350</v>
      </c>
      <c r="E125" s="254">
        <v>34558350</v>
      </c>
    </row>
    <row r="126" spans="1:5" ht="12" customHeight="1">
      <c r="A126" s="196" t="s">
        <v>269</v>
      </c>
      <c r="B126" s="63" t="s">
        <v>274</v>
      </c>
      <c r="C126" s="167"/>
      <c r="D126" s="254"/>
      <c r="E126" s="103"/>
    </row>
    <row r="127" spans="1:5" ht="12" customHeight="1" thickBot="1">
      <c r="A127" s="205" t="s">
        <v>270</v>
      </c>
      <c r="B127" s="63" t="s">
        <v>273</v>
      </c>
      <c r="C127" s="169">
        <v>6000000</v>
      </c>
      <c r="D127" s="255">
        <v>116840</v>
      </c>
      <c r="E127" s="105">
        <v>90000</v>
      </c>
    </row>
    <row r="128" spans="1:5" ht="12" customHeight="1" thickBot="1">
      <c r="A128" s="25" t="s">
        <v>8</v>
      </c>
      <c r="B128" s="56" t="s">
        <v>349</v>
      </c>
      <c r="C128" s="166">
        <f>+C93+C114</f>
        <v>1625428014</v>
      </c>
      <c r="D128" s="252">
        <f>+D93+D114</f>
        <v>1636365569</v>
      </c>
      <c r="E128" s="102">
        <f>+E93+E114</f>
        <v>766408566</v>
      </c>
    </row>
    <row r="129" spans="1:5" ht="12" customHeight="1" thickBot="1">
      <c r="A129" s="25" t="s">
        <v>9</v>
      </c>
      <c r="B129" s="56" t="s">
        <v>350</v>
      </c>
      <c r="C129" s="166">
        <f>+C130+C131+C132</f>
        <v>0</v>
      </c>
      <c r="D129" s="252">
        <f>+D130+D131+D132</f>
        <v>21508775</v>
      </c>
      <c r="E129" s="102">
        <f>+E130+E131+E132</f>
        <v>21508775</v>
      </c>
    </row>
    <row r="130" spans="1:5" s="53" customFormat="1" ht="12" customHeight="1">
      <c r="A130" s="196" t="s">
        <v>177</v>
      </c>
      <c r="B130" s="7" t="s">
        <v>404</v>
      </c>
      <c r="C130" s="167"/>
      <c r="D130" s="254"/>
      <c r="E130" s="103"/>
    </row>
    <row r="131" spans="1:5" ht="12" customHeight="1">
      <c r="A131" s="196" t="s">
        <v>178</v>
      </c>
      <c r="B131" s="7" t="s">
        <v>358</v>
      </c>
      <c r="C131" s="167"/>
      <c r="D131" s="167">
        <v>21508775</v>
      </c>
      <c r="E131" s="167">
        <v>21508775</v>
      </c>
    </row>
    <row r="132" spans="1:5" ht="12" customHeight="1" thickBot="1">
      <c r="A132" s="205" t="s">
        <v>179</v>
      </c>
      <c r="B132" s="5" t="s">
        <v>403</v>
      </c>
      <c r="C132" s="167"/>
      <c r="D132" s="254"/>
      <c r="E132" s="103"/>
    </row>
    <row r="133" spans="1:5" ht="12" customHeight="1" thickBot="1">
      <c r="A133" s="25" t="s">
        <v>10</v>
      </c>
      <c r="B133" s="56" t="s">
        <v>351</v>
      </c>
      <c r="C133" s="166">
        <f>+C134+C135+C136+C137+C138+C139</f>
        <v>0</v>
      </c>
      <c r="D133" s="252">
        <f>+D134+D135+D136+D137+D138+D139</f>
        <v>280699998</v>
      </c>
      <c r="E133" s="102">
        <f>+E134+E135+E136+E137+E138+E139</f>
        <v>280699998</v>
      </c>
    </row>
    <row r="134" spans="1:5" ht="12" customHeight="1">
      <c r="A134" s="196" t="s">
        <v>56</v>
      </c>
      <c r="B134" s="7" t="s">
        <v>360</v>
      </c>
      <c r="C134" s="167"/>
      <c r="D134" s="254">
        <v>280699998</v>
      </c>
      <c r="E134" s="254">
        <v>280699998</v>
      </c>
    </row>
    <row r="135" spans="1:5" ht="12" customHeight="1">
      <c r="A135" s="196" t="s">
        <v>57</v>
      </c>
      <c r="B135" s="7" t="s">
        <v>352</v>
      </c>
      <c r="C135" s="167"/>
      <c r="D135" s="254"/>
      <c r="E135" s="103"/>
    </row>
    <row r="136" spans="1:5" ht="12" customHeight="1">
      <c r="A136" s="196" t="s">
        <v>58</v>
      </c>
      <c r="B136" s="7" t="s">
        <v>353</v>
      </c>
      <c r="C136" s="167"/>
      <c r="D136" s="254"/>
      <c r="E136" s="103"/>
    </row>
    <row r="137" spans="1:5" ht="12" customHeight="1">
      <c r="A137" s="196" t="s">
        <v>114</v>
      </c>
      <c r="B137" s="7" t="s">
        <v>402</v>
      </c>
      <c r="C137" s="167"/>
      <c r="D137" s="254"/>
      <c r="E137" s="103"/>
    </row>
    <row r="138" spans="1:5" ht="12" customHeight="1">
      <c r="A138" s="196" t="s">
        <v>115</v>
      </c>
      <c r="B138" s="7" t="s">
        <v>355</v>
      </c>
      <c r="C138" s="167"/>
      <c r="D138" s="254"/>
      <c r="E138" s="103"/>
    </row>
    <row r="139" spans="1:5" s="53" customFormat="1" ht="12" customHeight="1" thickBot="1">
      <c r="A139" s="205" t="s">
        <v>116</v>
      </c>
      <c r="B139" s="5" t="s">
        <v>356</v>
      </c>
      <c r="C139" s="167"/>
      <c r="D139" s="254"/>
      <c r="E139" s="103"/>
    </row>
    <row r="140" spans="1:11" ht="12" customHeight="1" thickBot="1">
      <c r="A140" s="25" t="s">
        <v>11</v>
      </c>
      <c r="B140" s="56" t="s">
        <v>417</v>
      </c>
      <c r="C140" s="172">
        <f>+C141+C142+C144+C145+C143</f>
        <v>117294431</v>
      </c>
      <c r="D140" s="256">
        <f>+D141+D142+D144+D145+D143</f>
        <v>123123253</v>
      </c>
      <c r="E140" s="208">
        <f>+E141+E142+E144+E145+E143</f>
        <v>121579262</v>
      </c>
      <c r="K140" s="95"/>
    </row>
    <row r="141" spans="1:5" ht="12.75">
      <c r="A141" s="196" t="s">
        <v>59</v>
      </c>
      <c r="B141" s="7" t="s">
        <v>278</v>
      </c>
      <c r="C141" s="167"/>
      <c r="D141" s="254"/>
      <c r="E141" s="103"/>
    </row>
    <row r="142" spans="1:5" ht="12" customHeight="1">
      <c r="A142" s="196" t="s">
        <v>60</v>
      </c>
      <c r="B142" s="7" t="s">
        <v>279</v>
      </c>
      <c r="C142" s="167">
        <v>8583031</v>
      </c>
      <c r="D142" s="167">
        <v>8583031</v>
      </c>
      <c r="E142" s="167">
        <v>8583031</v>
      </c>
    </row>
    <row r="143" spans="1:5" ht="12" customHeight="1">
      <c r="A143" s="196" t="s">
        <v>195</v>
      </c>
      <c r="B143" s="7" t="s">
        <v>416</v>
      </c>
      <c r="C143" s="167">
        <v>108711400</v>
      </c>
      <c r="D143" s="254">
        <v>114540222</v>
      </c>
      <c r="E143" s="103">
        <v>112996231</v>
      </c>
    </row>
    <row r="144" spans="1:5" s="53" customFormat="1" ht="12" customHeight="1">
      <c r="A144" s="196" t="s">
        <v>196</v>
      </c>
      <c r="B144" s="7" t="s">
        <v>365</v>
      </c>
      <c r="C144" s="167"/>
      <c r="D144" s="254"/>
      <c r="E144" s="103"/>
    </row>
    <row r="145" spans="1:5" s="53" customFormat="1" ht="12" customHeight="1" thickBot="1">
      <c r="A145" s="205" t="s">
        <v>197</v>
      </c>
      <c r="B145" s="5" t="s">
        <v>295</v>
      </c>
      <c r="C145" s="167"/>
      <c r="D145" s="254"/>
      <c r="E145" s="103"/>
    </row>
    <row r="146" spans="1:5" s="53" customFormat="1" ht="12" customHeight="1" thickBot="1">
      <c r="A146" s="25" t="s">
        <v>12</v>
      </c>
      <c r="B146" s="56" t="s">
        <v>366</v>
      </c>
      <c r="C146" s="245">
        <f>+C147+C148+C149+C150+C151</f>
        <v>0</v>
      </c>
      <c r="D146" s="257">
        <f>+D147+D148+D149+D150+D151</f>
        <v>0</v>
      </c>
      <c r="E146" s="239">
        <f>+E147+E148+E149+E150+E151</f>
        <v>0</v>
      </c>
    </row>
    <row r="147" spans="1:5" s="53" customFormat="1" ht="12" customHeight="1">
      <c r="A147" s="196" t="s">
        <v>61</v>
      </c>
      <c r="B147" s="7" t="s">
        <v>361</v>
      </c>
      <c r="C147" s="167"/>
      <c r="D147" s="254"/>
      <c r="E147" s="103"/>
    </row>
    <row r="148" spans="1:5" s="53" customFormat="1" ht="12" customHeight="1">
      <c r="A148" s="196" t="s">
        <v>62</v>
      </c>
      <c r="B148" s="7" t="s">
        <v>368</v>
      </c>
      <c r="C148" s="167"/>
      <c r="D148" s="254"/>
      <c r="E148" s="103"/>
    </row>
    <row r="149" spans="1:5" s="53" customFormat="1" ht="12" customHeight="1">
      <c r="A149" s="196" t="s">
        <v>207</v>
      </c>
      <c r="B149" s="7" t="s">
        <v>363</v>
      </c>
      <c r="C149" s="167"/>
      <c r="D149" s="254"/>
      <c r="E149" s="103"/>
    </row>
    <row r="150" spans="1:5" s="53" customFormat="1" ht="12" customHeight="1">
      <c r="A150" s="196" t="s">
        <v>208</v>
      </c>
      <c r="B150" s="7" t="s">
        <v>405</v>
      </c>
      <c r="C150" s="167"/>
      <c r="D150" s="254"/>
      <c r="E150" s="103"/>
    </row>
    <row r="151" spans="1:5" ht="12.75" customHeight="1" thickBot="1">
      <c r="A151" s="205" t="s">
        <v>367</v>
      </c>
      <c r="B151" s="5" t="s">
        <v>370</v>
      </c>
      <c r="C151" s="169"/>
      <c r="D151" s="255"/>
      <c r="E151" s="105"/>
    </row>
    <row r="152" spans="1:5" ht="12.75" customHeight="1" thickBot="1">
      <c r="A152" s="234" t="s">
        <v>13</v>
      </c>
      <c r="B152" s="56" t="s">
        <v>371</v>
      </c>
      <c r="C152" s="245"/>
      <c r="D152" s="257"/>
      <c r="E152" s="239"/>
    </row>
    <row r="153" spans="1:5" ht="12.75" customHeight="1" thickBot="1">
      <c r="A153" s="234" t="s">
        <v>14</v>
      </c>
      <c r="B153" s="56" t="s">
        <v>372</v>
      </c>
      <c r="C153" s="245"/>
      <c r="D153" s="257"/>
      <c r="E153" s="239"/>
    </row>
    <row r="154" spans="1:5" ht="12" customHeight="1" thickBot="1">
      <c r="A154" s="25" t="s">
        <v>15</v>
      </c>
      <c r="B154" s="56" t="s">
        <v>374</v>
      </c>
      <c r="C154" s="247">
        <f>+C129+C133+C140+C146+C152+C153</f>
        <v>117294431</v>
      </c>
      <c r="D154" s="259">
        <f>+D129+D133+D140+D146+D152+D153</f>
        <v>425332026</v>
      </c>
      <c r="E154" s="241">
        <f>+E129+E133+E140+E146+E152+E153</f>
        <v>423788035</v>
      </c>
    </row>
    <row r="155" spans="1:5" ht="15" customHeight="1" thickBot="1">
      <c r="A155" s="207" t="s">
        <v>16</v>
      </c>
      <c r="B155" s="153" t="s">
        <v>373</v>
      </c>
      <c r="C155" s="247">
        <f>+C128+C154</f>
        <v>1742722445</v>
      </c>
      <c r="D155" s="259">
        <f>+D128+D154</f>
        <v>2061697595</v>
      </c>
      <c r="E155" s="241">
        <f>+E128+E154</f>
        <v>1190196601</v>
      </c>
    </row>
    <row r="156" spans="1:5" ht="13.5" thickBot="1">
      <c r="A156" s="156"/>
      <c r="B156" s="157"/>
      <c r="C156" s="587">
        <f>C90-C155</f>
        <v>0</v>
      </c>
      <c r="D156" s="587">
        <f>D90-D155</f>
        <v>0</v>
      </c>
      <c r="E156" s="158"/>
    </row>
    <row r="157" spans="1:5" ht="15" customHeight="1" thickBot="1">
      <c r="A157" s="93" t="s">
        <v>485</v>
      </c>
      <c r="B157" s="94"/>
      <c r="C157" s="291">
        <v>57</v>
      </c>
      <c r="D157" s="291">
        <v>57</v>
      </c>
      <c r="E157" s="290">
        <v>49</v>
      </c>
    </row>
    <row r="158" spans="1:5" ht="14.25" customHeight="1" thickBot="1">
      <c r="A158" s="93" t="s">
        <v>486</v>
      </c>
      <c r="B158" s="94"/>
      <c r="C158" s="291">
        <v>40</v>
      </c>
      <c r="D158" s="291">
        <v>40</v>
      </c>
      <c r="E158" s="290">
        <v>30</v>
      </c>
    </row>
  </sheetData>
  <sheetProtection sheet="1"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C9" sqref="C9:E14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851" t="str">
        <f>CONCATENATE("6.1.1. melléklet ",Z_ALAPADATOK!A7," ",Z_ALAPADATOK!B7," ",Z_ALAPADATOK!C7," ",Z_ALAPADATOK!D7," ",Z_ALAPADATOK!E7," ",Z_ALAPADATOK!F7," ",Z_ALAPADATOK!G7," ",Z_ALAPADATOK!H7)</f>
        <v>6.1.1. melléklet a 9 / 2020. ( VII.10. ) önkormányzati rendelethez</v>
      </c>
      <c r="C1" s="852"/>
      <c r="D1" s="852"/>
      <c r="E1" s="852"/>
    </row>
    <row r="2" spans="1:5" s="49" customFormat="1" ht="21" customHeight="1" thickBot="1">
      <c r="A2" s="332" t="s">
        <v>44</v>
      </c>
      <c r="B2" s="850" t="str">
        <f>CONCATENATE(Z_ALAPADATOK!A3)</f>
        <v>Besenyszög Város Önkormányzata</v>
      </c>
      <c r="C2" s="850"/>
      <c r="D2" s="850"/>
      <c r="E2" s="333" t="s">
        <v>38</v>
      </c>
    </row>
    <row r="3" spans="1:5" s="49" customFormat="1" ht="24.75" thickBot="1">
      <c r="A3" s="332" t="s">
        <v>135</v>
      </c>
      <c r="B3" s="850" t="s">
        <v>322</v>
      </c>
      <c r="C3" s="850"/>
      <c r="D3" s="850"/>
      <c r="E3" s="334" t="s">
        <v>42</v>
      </c>
    </row>
    <row r="4" spans="1:5" s="50" customFormat="1" ht="15.75" customHeight="1" thickBot="1">
      <c r="A4" s="326"/>
      <c r="B4" s="326"/>
      <c r="C4" s="327"/>
      <c r="D4" s="328"/>
      <c r="E4" s="327" t="str">
        <f>'Z_6.1.sz.mell'!E4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CONCATENATE('Z_6.1.sz.mell'!E5)</f>
        <v>Teljesítés
2019. XII. 31.</v>
      </c>
    </row>
    <row r="6" spans="1:5" s="45" customFormat="1" ht="12.75" customHeight="1" thickBot="1">
      <c r="A6" s="74" t="s">
        <v>385</v>
      </c>
      <c r="B6" s="75" t="s">
        <v>386</v>
      </c>
      <c r="C6" s="75" t="s">
        <v>387</v>
      </c>
      <c r="D6" s="285" t="s">
        <v>389</v>
      </c>
      <c r="E6" s="76" t="s">
        <v>388</v>
      </c>
    </row>
    <row r="7" spans="1:5" s="45" customFormat="1" ht="15.75" customHeight="1" thickBot="1">
      <c r="A7" s="847" t="s">
        <v>39</v>
      </c>
      <c r="B7" s="848"/>
      <c r="C7" s="848"/>
      <c r="D7" s="848"/>
      <c r="E7" s="849"/>
    </row>
    <row r="8" spans="1:5" s="45" customFormat="1" ht="12" customHeight="1" thickBot="1">
      <c r="A8" s="25" t="s">
        <v>6</v>
      </c>
      <c r="B8" s="19" t="s">
        <v>162</v>
      </c>
      <c r="C8" s="166">
        <f>+C9+C10+C11+C12+C13+C14</f>
        <v>226543851</v>
      </c>
      <c r="D8" s="252">
        <f>+D9+D10+D11+D12+D13+D14</f>
        <v>217116833</v>
      </c>
      <c r="E8" s="102">
        <f>+E9+E10+E11+E12+E13+E14</f>
        <v>217116833</v>
      </c>
    </row>
    <row r="9" spans="1:5" s="51" customFormat="1" ht="12" customHeight="1">
      <c r="A9" s="196" t="s">
        <v>63</v>
      </c>
      <c r="B9" s="179" t="s">
        <v>163</v>
      </c>
      <c r="C9" s="168">
        <v>65427658</v>
      </c>
      <c r="D9" s="253">
        <v>66417722</v>
      </c>
      <c r="E9" s="253">
        <v>66417722</v>
      </c>
    </row>
    <row r="10" spans="1:5" s="52" customFormat="1" ht="12" customHeight="1">
      <c r="A10" s="197" t="s">
        <v>64</v>
      </c>
      <c r="B10" s="180" t="s">
        <v>164</v>
      </c>
      <c r="C10" s="167">
        <v>75411400</v>
      </c>
      <c r="D10" s="254">
        <v>78931217</v>
      </c>
      <c r="E10" s="254">
        <v>78931217</v>
      </c>
    </row>
    <row r="11" spans="1:5" s="52" customFormat="1" ht="12" customHeight="1">
      <c r="A11" s="197" t="s">
        <v>65</v>
      </c>
      <c r="B11" s="180" t="s">
        <v>165</v>
      </c>
      <c r="C11" s="167">
        <v>49829765</v>
      </c>
      <c r="D11" s="254">
        <v>49006795</v>
      </c>
      <c r="E11" s="254">
        <v>49006795</v>
      </c>
    </row>
    <row r="12" spans="1:5" s="52" customFormat="1" ht="12" customHeight="1">
      <c r="A12" s="197" t="s">
        <v>66</v>
      </c>
      <c r="B12" s="180" t="s">
        <v>166</v>
      </c>
      <c r="C12" s="167">
        <v>4035350</v>
      </c>
      <c r="D12" s="254">
        <v>5111161</v>
      </c>
      <c r="E12" s="254">
        <v>5111161</v>
      </c>
    </row>
    <row r="13" spans="1:5" s="52" customFormat="1" ht="12" customHeight="1">
      <c r="A13" s="197" t="s">
        <v>97</v>
      </c>
      <c r="B13" s="180" t="s">
        <v>393</v>
      </c>
      <c r="C13" s="167">
        <v>31839678</v>
      </c>
      <c r="D13" s="254">
        <v>16861247</v>
      </c>
      <c r="E13" s="254">
        <v>16861247</v>
      </c>
    </row>
    <row r="14" spans="1:5" s="51" customFormat="1" ht="12" customHeight="1" thickBot="1">
      <c r="A14" s="198" t="s">
        <v>67</v>
      </c>
      <c r="B14" s="181" t="s">
        <v>334</v>
      </c>
      <c r="C14" s="167"/>
      <c r="D14" s="254">
        <v>788691</v>
      </c>
      <c r="E14" s="254">
        <v>788691</v>
      </c>
    </row>
    <row r="15" spans="1:5" s="51" customFormat="1" ht="12" customHeight="1" thickBot="1">
      <c r="A15" s="25" t="s">
        <v>7</v>
      </c>
      <c r="B15" s="109" t="s">
        <v>167</v>
      </c>
      <c r="C15" s="166">
        <f>+C16+C17+C18+C19+C20</f>
        <v>61730525</v>
      </c>
      <c r="D15" s="252">
        <f>+D16+D17+D18+D19+D20</f>
        <v>170483392</v>
      </c>
      <c r="E15" s="102">
        <f>+E16+E17+E18+E19+E20</f>
        <v>183761564</v>
      </c>
    </row>
    <row r="16" spans="1:5" s="51" customFormat="1" ht="12" customHeight="1">
      <c r="A16" s="196" t="s">
        <v>69</v>
      </c>
      <c r="B16" s="179" t="s">
        <v>168</v>
      </c>
      <c r="C16" s="168"/>
      <c r="D16" s="253"/>
      <c r="E16" s="104"/>
    </row>
    <row r="17" spans="1:5" s="51" customFormat="1" ht="12" customHeight="1">
      <c r="A17" s="197" t="s">
        <v>70</v>
      </c>
      <c r="B17" s="180" t="s">
        <v>169</v>
      </c>
      <c r="C17" s="167"/>
      <c r="D17" s="254"/>
      <c r="E17" s="103"/>
    </row>
    <row r="18" spans="1:5" s="51" customFormat="1" ht="12" customHeight="1">
      <c r="A18" s="197" t="s">
        <v>71</v>
      </c>
      <c r="B18" s="180" t="s">
        <v>325</v>
      </c>
      <c r="C18" s="167"/>
      <c r="D18" s="254"/>
      <c r="E18" s="103"/>
    </row>
    <row r="19" spans="1:5" s="51" customFormat="1" ht="12" customHeight="1">
      <c r="A19" s="197" t="s">
        <v>72</v>
      </c>
      <c r="B19" s="180" t="s">
        <v>326</v>
      </c>
      <c r="C19" s="167"/>
      <c r="D19" s="254"/>
      <c r="E19" s="103"/>
    </row>
    <row r="20" spans="1:5" s="51" customFormat="1" ht="12" customHeight="1">
      <c r="A20" s="197" t="s">
        <v>73</v>
      </c>
      <c r="B20" s="180" t="s">
        <v>170</v>
      </c>
      <c r="C20" s="167">
        <v>61730525</v>
      </c>
      <c r="D20" s="254">
        <v>170483392</v>
      </c>
      <c r="E20" s="103">
        <v>183761564</v>
      </c>
    </row>
    <row r="21" spans="1:5" s="52" customFormat="1" ht="12" customHeight="1" thickBot="1">
      <c r="A21" s="198" t="s">
        <v>80</v>
      </c>
      <c r="B21" s="181" t="s">
        <v>171</v>
      </c>
      <c r="C21" s="169">
        <v>2742525</v>
      </c>
      <c r="D21" s="255">
        <v>99454067</v>
      </c>
      <c r="E21" s="105">
        <v>99454067</v>
      </c>
    </row>
    <row r="22" spans="1:5" s="52" customFormat="1" ht="12" customHeight="1" thickBot="1">
      <c r="A22" s="25" t="s">
        <v>8</v>
      </c>
      <c r="B22" s="19" t="s">
        <v>172</v>
      </c>
      <c r="C22" s="166">
        <f>+C23+C24+C25+C26+C27</f>
        <v>0</v>
      </c>
      <c r="D22" s="252">
        <f>+D23+D24+D25+D26+D27</f>
        <v>297668709</v>
      </c>
      <c r="E22" s="102">
        <f>+E23+E24+E25+E26+E27</f>
        <v>297668709</v>
      </c>
    </row>
    <row r="23" spans="1:5" s="52" customFormat="1" ht="12" customHeight="1">
      <c r="A23" s="196" t="s">
        <v>52</v>
      </c>
      <c r="B23" s="179" t="s">
        <v>173</v>
      </c>
      <c r="C23" s="168"/>
      <c r="D23" s="253">
        <v>2000000</v>
      </c>
      <c r="E23" s="104">
        <v>2000000</v>
      </c>
    </row>
    <row r="24" spans="1:5" s="51" customFormat="1" ht="12" customHeight="1">
      <c r="A24" s="197" t="s">
        <v>53</v>
      </c>
      <c r="B24" s="180" t="s">
        <v>174</v>
      </c>
      <c r="C24" s="167"/>
      <c r="D24" s="254"/>
      <c r="E24" s="103"/>
    </row>
    <row r="25" spans="1:5" s="52" customFormat="1" ht="12" customHeight="1">
      <c r="A25" s="197" t="s">
        <v>54</v>
      </c>
      <c r="B25" s="180" t="s">
        <v>327</v>
      </c>
      <c r="C25" s="167"/>
      <c r="D25" s="254"/>
      <c r="E25" s="103"/>
    </row>
    <row r="26" spans="1:5" s="52" customFormat="1" ht="12" customHeight="1">
      <c r="A26" s="197" t="s">
        <v>55</v>
      </c>
      <c r="B26" s="180" t="s">
        <v>328</v>
      </c>
      <c r="C26" s="167"/>
      <c r="D26" s="254"/>
      <c r="E26" s="103"/>
    </row>
    <row r="27" spans="1:5" s="52" customFormat="1" ht="12" customHeight="1">
      <c r="A27" s="197" t="s">
        <v>110</v>
      </c>
      <c r="B27" s="180" t="s">
        <v>175</v>
      </c>
      <c r="C27" s="167"/>
      <c r="D27" s="254">
        <v>295668709</v>
      </c>
      <c r="E27" s="254">
        <v>295668709</v>
      </c>
    </row>
    <row r="28" spans="1:5" s="52" customFormat="1" ht="12" customHeight="1" thickBot="1">
      <c r="A28" s="198" t="s">
        <v>111</v>
      </c>
      <c r="B28" s="181" t="s">
        <v>176</v>
      </c>
      <c r="C28" s="169"/>
      <c r="D28" s="255"/>
      <c r="E28" s="105"/>
    </row>
    <row r="29" spans="1:5" s="52" customFormat="1" ht="12" customHeight="1" thickBot="1">
      <c r="A29" s="25" t="s">
        <v>112</v>
      </c>
      <c r="B29" s="19" t="s">
        <v>476</v>
      </c>
      <c r="C29" s="172">
        <f>SUM(C30:C36)</f>
        <v>75500000</v>
      </c>
      <c r="D29" s="172">
        <f>SUM(D30:D36)</f>
        <v>75500000</v>
      </c>
      <c r="E29" s="208">
        <f>SUM(E30:E36)</f>
        <v>104503497</v>
      </c>
    </row>
    <row r="30" spans="1:5" s="52" customFormat="1" ht="12" customHeight="1">
      <c r="A30" s="196" t="s">
        <v>177</v>
      </c>
      <c r="B30" s="179" t="str">
        <f>'Z_1.1.sz.mell.'!B33</f>
        <v>Építményadó</v>
      </c>
      <c r="C30" s="168"/>
      <c r="D30" s="168"/>
      <c r="E30" s="104"/>
    </row>
    <row r="31" spans="1:5" s="52" customFormat="1" ht="12" customHeight="1">
      <c r="A31" s="197" t="s">
        <v>178</v>
      </c>
      <c r="B31" s="179" t="str">
        <f>'Z_1.1.sz.mell.'!B34</f>
        <v>Telekadó</v>
      </c>
      <c r="C31" s="167"/>
      <c r="D31" s="167"/>
      <c r="E31" s="103"/>
    </row>
    <row r="32" spans="1:5" s="52" customFormat="1" ht="12" customHeight="1">
      <c r="A32" s="197" t="s">
        <v>179</v>
      </c>
      <c r="B32" s="179" t="str">
        <f>'Z_1.1.sz.mell.'!B35</f>
        <v>Iparűzési adó</v>
      </c>
      <c r="C32" s="167">
        <v>67000000</v>
      </c>
      <c r="D32" s="167">
        <v>67000000</v>
      </c>
      <c r="E32" s="103">
        <v>96057437</v>
      </c>
    </row>
    <row r="33" spans="1:5" s="52" customFormat="1" ht="12" customHeight="1">
      <c r="A33" s="197" t="s">
        <v>180</v>
      </c>
      <c r="B33" s="179" t="str">
        <f>'Z_1.1.sz.mell.'!B36</f>
        <v>Talajterhelési díj</v>
      </c>
      <c r="C33" s="167"/>
      <c r="D33" s="167"/>
      <c r="E33" s="103"/>
    </row>
    <row r="34" spans="1:5" s="52" customFormat="1" ht="12" customHeight="1">
      <c r="A34" s="197" t="s">
        <v>480</v>
      </c>
      <c r="B34" s="179" t="str">
        <f>'Z_1.1.sz.mell.'!B37</f>
        <v>Gépjárműadó</v>
      </c>
      <c r="C34" s="167">
        <v>8000000</v>
      </c>
      <c r="D34" s="167">
        <v>8000000</v>
      </c>
      <c r="E34" s="103">
        <v>8061961</v>
      </c>
    </row>
    <row r="35" spans="1:5" s="52" customFormat="1" ht="12" customHeight="1">
      <c r="A35" s="197" t="s">
        <v>481</v>
      </c>
      <c r="B35" s="179" t="str">
        <f>'Z_1.1.sz.mell.'!B38</f>
        <v>Kommunális adó</v>
      </c>
      <c r="C35" s="167"/>
      <c r="D35" s="167"/>
      <c r="E35" s="103"/>
    </row>
    <row r="36" spans="1:5" s="52" customFormat="1" ht="12" customHeight="1" thickBot="1">
      <c r="A36" s="198" t="s">
        <v>482</v>
      </c>
      <c r="B36" s="179" t="str">
        <f>'Z_1.1.sz.mell.'!B39</f>
        <v>Egyéb közhatalmi  bevételek</v>
      </c>
      <c r="C36" s="169">
        <v>500000</v>
      </c>
      <c r="D36" s="169">
        <v>500000</v>
      </c>
      <c r="E36" s="105">
        <v>384099</v>
      </c>
    </row>
    <row r="37" spans="1:5" s="52" customFormat="1" ht="12" customHeight="1" thickBot="1">
      <c r="A37" s="25" t="s">
        <v>10</v>
      </c>
      <c r="B37" s="19" t="s">
        <v>335</v>
      </c>
      <c r="C37" s="166">
        <f>SUM(C38:C48)</f>
        <v>30000000</v>
      </c>
      <c r="D37" s="252">
        <f>SUM(D38:D48)</f>
        <v>46434975</v>
      </c>
      <c r="E37" s="102">
        <f>SUM(E38:E48)</f>
        <v>59252072</v>
      </c>
    </row>
    <row r="38" spans="1:5" s="52" customFormat="1" ht="12" customHeight="1">
      <c r="A38" s="196" t="s">
        <v>56</v>
      </c>
      <c r="B38" s="179" t="s">
        <v>184</v>
      </c>
      <c r="C38" s="168"/>
      <c r="D38" s="253"/>
      <c r="E38" s="104">
        <v>21259061</v>
      </c>
    </row>
    <row r="39" spans="1:5" s="52" customFormat="1" ht="12" customHeight="1">
      <c r="A39" s="197" t="s">
        <v>57</v>
      </c>
      <c r="B39" s="180" t="s">
        <v>185</v>
      </c>
      <c r="C39" s="167">
        <v>10545910</v>
      </c>
      <c r="D39" s="254">
        <v>25274384</v>
      </c>
      <c r="E39" s="103">
        <v>10856723</v>
      </c>
    </row>
    <row r="40" spans="1:5" s="52" customFormat="1" ht="12" customHeight="1">
      <c r="A40" s="197" t="s">
        <v>58</v>
      </c>
      <c r="B40" s="180" t="s">
        <v>186</v>
      </c>
      <c r="C40" s="167">
        <v>850397</v>
      </c>
      <c r="D40" s="167">
        <v>850397</v>
      </c>
      <c r="E40" s="103">
        <v>1610754</v>
      </c>
    </row>
    <row r="41" spans="1:5" s="52" customFormat="1" ht="12" customHeight="1">
      <c r="A41" s="197" t="s">
        <v>114</v>
      </c>
      <c r="B41" s="180" t="s">
        <v>187</v>
      </c>
      <c r="C41" s="167">
        <v>8000000</v>
      </c>
      <c r="D41" s="167">
        <v>8000000</v>
      </c>
      <c r="E41" s="103">
        <v>8603425</v>
      </c>
    </row>
    <row r="42" spans="1:5" s="52" customFormat="1" ht="12" customHeight="1">
      <c r="A42" s="197" t="s">
        <v>115</v>
      </c>
      <c r="B42" s="180" t="s">
        <v>188</v>
      </c>
      <c r="C42" s="167">
        <v>6467785</v>
      </c>
      <c r="D42" s="167">
        <v>6467785</v>
      </c>
      <c r="E42" s="103">
        <v>5256201</v>
      </c>
    </row>
    <row r="43" spans="1:5" s="52" customFormat="1" ht="12" customHeight="1">
      <c r="A43" s="197" t="s">
        <v>116</v>
      </c>
      <c r="B43" s="180" t="s">
        <v>189</v>
      </c>
      <c r="C43" s="167">
        <v>4135908</v>
      </c>
      <c r="D43" s="167">
        <v>5842409</v>
      </c>
      <c r="E43" s="103">
        <v>9669951</v>
      </c>
    </row>
    <row r="44" spans="1:5" s="52" customFormat="1" ht="12" customHeight="1">
      <c r="A44" s="197" t="s">
        <v>117</v>
      </c>
      <c r="B44" s="180" t="s">
        <v>190</v>
      </c>
      <c r="C44" s="167"/>
      <c r="D44" s="254"/>
      <c r="E44" s="103"/>
    </row>
    <row r="45" spans="1:5" s="52" customFormat="1" ht="12" customHeight="1">
      <c r="A45" s="197" t="s">
        <v>118</v>
      </c>
      <c r="B45" s="180" t="s">
        <v>483</v>
      </c>
      <c r="C45" s="167"/>
      <c r="D45" s="254"/>
      <c r="E45" s="103"/>
    </row>
    <row r="46" spans="1:5" s="52" customFormat="1" ht="12" customHeight="1">
      <c r="A46" s="197" t="s">
        <v>182</v>
      </c>
      <c r="B46" s="180" t="s">
        <v>192</v>
      </c>
      <c r="C46" s="170"/>
      <c r="D46" s="286"/>
      <c r="E46" s="106">
        <v>2202</v>
      </c>
    </row>
    <row r="47" spans="1:5" s="52" customFormat="1" ht="12" customHeight="1">
      <c r="A47" s="198" t="s">
        <v>183</v>
      </c>
      <c r="B47" s="181" t="s">
        <v>337</v>
      </c>
      <c r="C47" s="171"/>
      <c r="D47" s="287"/>
      <c r="E47" s="107">
        <v>274605</v>
      </c>
    </row>
    <row r="48" spans="1:5" s="52" customFormat="1" ht="12" customHeight="1" thickBot="1">
      <c r="A48" s="198" t="s">
        <v>336</v>
      </c>
      <c r="B48" s="181" t="s">
        <v>193</v>
      </c>
      <c r="C48" s="171"/>
      <c r="D48" s="287"/>
      <c r="E48" s="287">
        <v>1719150</v>
      </c>
    </row>
    <row r="49" spans="1:5" s="52" customFormat="1" ht="12" customHeight="1" thickBot="1">
      <c r="A49" s="25" t="s">
        <v>11</v>
      </c>
      <c r="B49" s="19" t="s">
        <v>194</v>
      </c>
      <c r="C49" s="166">
        <f>SUM(C50:C54)</f>
        <v>0</v>
      </c>
      <c r="D49" s="252">
        <f>SUM(D50:D54)</f>
        <v>0</v>
      </c>
      <c r="E49" s="102">
        <f>SUM(E50:E54)</f>
        <v>8989915</v>
      </c>
    </row>
    <row r="50" spans="1:5" s="52" customFormat="1" ht="12" customHeight="1">
      <c r="A50" s="196" t="s">
        <v>59</v>
      </c>
      <c r="B50" s="179" t="s">
        <v>198</v>
      </c>
      <c r="C50" s="219"/>
      <c r="D50" s="288"/>
      <c r="E50" s="108"/>
    </row>
    <row r="51" spans="1:5" s="52" customFormat="1" ht="12" customHeight="1">
      <c r="A51" s="197" t="s">
        <v>60</v>
      </c>
      <c r="B51" s="180" t="s">
        <v>199</v>
      </c>
      <c r="C51" s="170"/>
      <c r="D51" s="286"/>
      <c r="E51" s="106">
        <v>8982041</v>
      </c>
    </row>
    <row r="52" spans="1:5" s="52" customFormat="1" ht="12" customHeight="1">
      <c r="A52" s="197" t="s">
        <v>195</v>
      </c>
      <c r="B52" s="180" t="s">
        <v>200</v>
      </c>
      <c r="C52" s="170"/>
      <c r="D52" s="286"/>
      <c r="E52" s="106">
        <v>7874</v>
      </c>
    </row>
    <row r="53" spans="1:5" s="52" customFormat="1" ht="12" customHeight="1">
      <c r="A53" s="197" t="s">
        <v>196</v>
      </c>
      <c r="B53" s="180" t="s">
        <v>201</v>
      </c>
      <c r="C53" s="170"/>
      <c r="D53" s="286"/>
      <c r="E53" s="106"/>
    </row>
    <row r="54" spans="1:5" s="52" customFormat="1" ht="12" customHeight="1" thickBot="1">
      <c r="A54" s="198" t="s">
        <v>197</v>
      </c>
      <c r="B54" s="181" t="s">
        <v>202</v>
      </c>
      <c r="C54" s="171"/>
      <c r="D54" s="287"/>
      <c r="E54" s="107"/>
    </row>
    <row r="55" spans="1:5" s="52" customFormat="1" ht="12" customHeight="1" thickBot="1">
      <c r="A55" s="25" t="s">
        <v>119</v>
      </c>
      <c r="B55" s="19" t="s">
        <v>203</v>
      </c>
      <c r="C55" s="166">
        <f>SUM(C56:C58)</f>
        <v>0</v>
      </c>
      <c r="D55" s="252">
        <f>SUM(D56:D58)</f>
        <v>1464615</v>
      </c>
      <c r="E55" s="102">
        <f>SUM(E56:E58)</f>
        <v>3082418</v>
      </c>
    </row>
    <row r="56" spans="1:5" s="52" customFormat="1" ht="12" customHeight="1">
      <c r="A56" s="196" t="s">
        <v>61</v>
      </c>
      <c r="B56" s="179" t="s">
        <v>204</v>
      </c>
      <c r="C56" s="168"/>
      <c r="D56" s="253"/>
      <c r="E56" s="104"/>
    </row>
    <row r="57" spans="1:5" s="52" customFormat="1" ht="12" customHeight="1">
      <c r="A57" s="197" t="s">
        <v>62</v>
      </c>
      <c r="B57" s="180" t="s">
        <v>329</v>
      </c>
      <c r="C57" s="167"/>
      <c r="D57" s="254">
        <v>1000000</v>
      </c>
      <c r="E57" s="103">
        <v>1117803</v>
      </c>
    </row>
    <row r="58" spans="1:5" s="52" customFormat="1" ht="12" customHeight="1">
      <c r="A58" s="197" t="s">
        <v>207</v>
      </c>
      <c r="B58" s="180" t="s">
        <v>205</v>
      </c>
      <c r="C58" s="167"/>
      <c r="D58" s="254">
        <v>464615</v>
      </c>
      <c r="E58" s="103">
        <v>1964615</v>
      </c>
    </row>
    <row r="59" spans="1:5" s="52" customFormat="1" ht="12" customHeight="1" thickBot="1">
      <c r="A59" s="198" t="s">
        <v>208</v>
      </c>
      <c r="B59" s="181" t="s">
        <v>206</v>
      </c>
      <c r="C59" s="169"/>
      <c r="D59" s="255"/>
      <c r="E59" s="105"/>
    </row>
    <row r="60" spans="1:5" s="52" customFormat="1" ht="12" customHeight="1" thickBot="1">
      <c r="A60" s="25" t="s">
        <v>13</v>
      </c>
      <c r="B60" s="109" t="s">
        <v>209</v>
      </c>
      <c r="C60" s="166">
        <f>SUM(C61:C63)</f>
        <v>21351678</v>
      </c>
      <c r="D60" s="252">
        <f>SUM(D61:D63)</f>
        <v>10212440</v>
      </c>
      <c r="E60" s="102">
        <f>SUM(E61:E63)</f>
        <v>14270135</v>
      </c>
    </row>
    <row r="61" spans="1:5" s="52" customFormat="1" ht="12" customHeight="1">
      <c r="A61" s="196" t="s">
        <v>120</v>
      </c>
      <c r="B61" s="179" t="s">
        <v>211</v>
      </c>
      <c r="C61" s="170"/>
      <c r="D61" s="286"/>
      <c r="E61" s="106"/>
    </row>
    <row r="62" spans="1:5" s="52" customFormat="1" ht="12" customHeight="1">
      <c r="A62" s="197" t="s">
        <v>121</v>
      </c>
      <c r="B62" s="180" t="s">
        <v>330</v>
      </c>
      <c r="C62" s="170"/>
      <c r="D62" s="286"/>
      <c r="E62" s="106">
        <v>1384184</v>
      </c>
    </row>
    <row r="63" spans="1:5" s="52" customFormat="1" ht="12" customHeight="1">
      <c r="A63" s="197" t="s">
        <v>144</v>
      </c>
      <c r="B63" s="180" t="s">
        <v>212</v>
      </c>
      <c r="C63" s="170">
        <v>21351678</v>
      </c>
      <c r="D63" s="286">
        <v>10212440</v>
      </c>
      <c r="E63" s="106">
        <v>12885951</v>
      </c>
    </row>
    <row r="64" spans="1:5" s="52" customFormat="1" ht="12" customHeight="1" thickBot="1">
      <c r="A64" s="198" t="s">
        <v>210</v>
      </c>
      <c r="B64" s="181" t="s">
        <v>213</v>
      </c>
      <c r="C64" s="170"/>
      <c r="D64" s="286"/>
      <c r="E64" s="106"/>
    </row>
    <row r="65" spans="1:5" s="52" customFormat="1" ht="12" customHeight="1" thickBot="1">
      <c r="A65" s="25" t="s">
        <v>14</v>
      </c>
      <c r="B65" s="19" t="s">
        <v>214</v>
      </c>
      <c r="C65" s="172">
        <f>+C8+C15+C22+C29+C37+C49+C55+C60</f>
        <v>415126054</v>
      </c>
      <c r="D65" s="256">
        <f>+D8+D15+D22+D29+D37+D49+D55+D60</f>
        <v>818880964</v>
      </c>
      <c r="E65" s="208">
        <f>+E8+E15+E22+E29+E37+E49+E55+E60</f>
        <v>888645143</v>
      </c>
    </row>
    <row r="66" spans="1:5" s="52" customFormat="1" ht="12" customHeight="1" thickBot="1">
      <c r="A66" s="199" t="s">
        <v>299</v>
      </c>
      <c r="B66" s="109" t="s">
        <v>216</v>
      </c>
      <c r="C66" s="166">
        <f>SUM(C67:C69)</f>
        <v>209767404</v>
      </c>
      <c r="D66" s="252">
        <f>SUM(D67:D69)</f>
        <v>37952321</v>
      </c>
      <c r="E66" s="102">
        <f>SUM(E67:E69)</f>
        <v>37952321</v>
      </c>
    </row>
    <row r="67" spans="1:5" s="52" customFormat="1" ht="12" customHeight="1">
      <c r="A67" s="196" t="s">
        <v>244</v>
      </c>
      <c r="B67" s="179" t="s">
        <v>217</v>
      </c>
      <c r="C67" s="170">
        <v>209767404</v>
      </c>
      <c r="D67" s="286">
        <v>16443546</v>
      </c>
      <c r="E67" s="286">
        <v>16443546</v>
      </c>
    </row>
    <row r="68" spans="1:5" s="52" customFormat="1" ht="12" customHeight="1">
      <c r="A68" s="197" t="s">
        <v>253</v>
      </c>
      <c r="B68" s="180" t="s">
        <v>218</v>
      </c>
      <c r="C68" s="170"/>
      <c r="D68" s="286">
        <v>21508775</v>
      </c>
      <c r="E68" s="286">
        <v>21508775</v>
      </c>
    </row>
    <row r="69" spans="1:5" s="52" customFormat="1" ht="12" customHeight="1" thickBot="1">
      <c r="A69" s="206" t="s">
        <v>254</v>
      </c>
      <c r="B69" s="320" t="s">
        <v>219</v>
      </c>
      <c r="C69" s="321"/>
      <c r="D69" s="289"/>
      <c r="E69" s="322"/>
    </row>
    <row r="70" spans="1:5" s="52" customFormat="1" ht="12" customHeight="1" thickBot="1">
      <c r="A70" s="199" t="s">
        <v>220</v>
      </c>
      <c r="B70" s="109" t="s">
        <v>221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2" customFormat="1" ht="12" customHeight="1">
      <c r="A71" s="196" t="s">
        <v>98</v>
      </c>
      <c r="B71" s="307" t="s">
        <v>222</v>
      </c>
      <c r="C71" s="170"/>
      <c r="D71" s="170"/>
      <c r="E71" s="106"/>
    </row>
    <row r="72" spans="1:5" s="52" customFormat="1" ht="12" customHeight="1">
      <c r="A72" s="197" t="s">
        <v>99</v>
      </c>
      <c r="B72" s="307" t="s">
        <v>490</v>
      </c>
      <c r="C72" s="170"/>
      <c r="D72" s="170"/>
      <c r="E72" s="106"/>
    </row>
    <row r="73" spans="1:5" s="52" customFormat="1" ht="12" customHeight="1">
      <c r="A73" s="197" t="s">
        <v>245</v>
      </c>
      <c r="B73" s="307" t="s">
        <v>223</v>
      </c>
      <c r="C73" s="170"/>
      <c r="D73" s="170"/>
      <c r="E73" s="106"/>
    </row>
    <row r="74" spans="1:5" s="52" customFormat="1" ht="12" customHeight="1" thickBot="1">
      <c r="A74" s="198" t="s">
        <v>246</v>
      </c>
      <c r="B74" s="308" t="s">
        <v>491</v>
      </c>
      <c r="C74" s="170"/>
      <c r="D74" s="170"/>
      <c r="E74" s="106"/>
    </row>
    <row r="75" spans="1:5" s="52" customFormat="1" ht="12" customHeight="1" thickBot="1">
      <c r="A75" s="199" t="s">
        <v>224</v>
      </c>
      <c r="B75" s="109" t="s">
        <v>225</v>
      </c>
      <c r="C75" s="166">
        <f>SUM(C76:C77)</f>
        <v>1067055787</v>
      </c>
      <c r="D75" s="166">
        <f>SUM(D76:D77)</f>
        <v>1117539372</v>
      </c>
      <c r="E75" s="102">
        <f>SUM(E76:E77)</f>
        <v>1117899593</v>
      </c>
    </row>
    <row r="76" spans="1:5" s="52" customFormat="1" ht="12" customHeight="1">
      <c r="A76" s="196" t="s">
        <v>247</v>
      </c>
      <c r="B76" s="179" t="s">
        <v>226</v>
      </c>
      <c r="C76" s="170">
        <v>1067055787</v>
      </c>
      <c r="D76" s="170">
        <v>1117539372</v>
      </c>
      <c r="E76" s="170">
        <v>1117899593</v>
      </c>
    </row>
    <row r="77" spans="1:5" s="52" customFormat="1" ht="12" customHeight="1" thickBot="1">
      <c r="A77" s="198" t="s">
        <v>248</v>
      </c>
      <c r="B77" s="181" t="s">
        <v>227</v>
      </c>
      <c r="C77" s="170"/>
      <c r="D77" s="170"/>
      <c r="E77" s="106"/>
    </row>
    <row r="78" spans="1:5" s="51" customFormat="1" ht="12" customHeight="1" thickBot="1">
      <c r="A78" s="199" t="s">
        <v>228</v>
      </c>
      <c r="B78" s="109" t="s">
        <v>229</v>
      </c>
      <c r="C78" s="166">
        <f>SUM(C79:C81)</f>
        <v>0</v>
      </c>
      <c r="D78" s="166">
        <f>SUM(D79:D81)</f>
        <v>0</v>
      </c>
      <c r="E78" s="102">
        <f>SUM(E79:E81)</f>
        <v>9483636</v>
      </c>
    </row>
    <row r="79" spans="1:5" s="52" customFormat="1" ht="12" customHeight="1">
      <c r="A79" s="196" t="s">
        <v>249</v>
      </c>
      <c r="B79" s="179" t="s">
        <v>230</v>
      </c>
      <c r="C79" s="170"/>
      <c r="D79" s="170"/>
      <c r="E79" s="106">
        <v>9483636</v>
      </c>
    </row>
    <row r="80" spans="1:5" s="52" customFormat="1" ht="12" customHeight="1">
      <c r="A80" s="197" t="s">
        <v>250</v>
      </c>
      <c r="B80" s="180" t="s">
        <v>231</v>
      </c>
      <c r="C80" s="170"/>
      <c r="D80" s="170"/>
      <c r="E80" s="106"/>
    </row>
    <row r="81" spans="1:5" s="52" customFormat="1" ht="12" customHeight="1" thickBot="1">
      <c r="A81" s="198" t="s">
        <v>251</v>
      </c>
      <c r="B81" s="181" t="s">
        <v>492</v>
      </c>
      <c r="C81" s="170"/>
      <c r="D81" s="170"/>
      <c r="E81" s="106"/>
    </row>
    <row r="82" spans="1:5" s="52" customFormat="1" ht="12" customHeight="1" thickBot="1">
      <c r="A82" s="199" t="s">
        <v>232</v>
      </c>
      <c r="B82" s="109" t="s">
        <v>252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2" customFormat="1" ht="12" customHeight="1">
      <c r="A83" s="200" t="s">
        <v>233</v>
      </c>
      <c r="B83" s="179" t="s">
        <v>234</v>
      </c>
      <c r="C83" s="170"/>
      <c r="D83" s="170"/>
      <c r="E83" s="106"/>
    </row>
    <row r="84" spans="1:5" s="52" customFormat="1" ht="12" customHeight="1">
      <c r="A84" s="201" t="s">
        <v>235</v>
      </c>
      <c r="B84" s="180" t="s">
        <v>236</v>
      </c>
      <c r="C84" s="170"/>
      <c r="D84" s="170"/>
      <c r="E84" s="106"/>
    </row>
    <row r="85" spans="1:5" s="52" customFormat="1" ht="12" customHeight="1">
      <c r="A85" s="201" t="s">
        <v>237</v>
      </c>
      <c r="B85" s="180" t="s">
        <v>238</v>
      </c>
      <c r="C85" s="170"/>
      <c r="D85" s="170"/>
      <c r="E85" s="106"/>
    </row>
    <row r="86" spans="1:5" s="51" customFormat="1" ht="12" customHeight="1" thickBot="1">
      <c r="A86" s="202" t="s">
        <v>239</v>
      </c>
      <c r="B86" s="181" t="s">
        <v>240</v>
      </c>
      <c r="C86" s="170"/>
      <c r="D86" s="170"/>
      <c r="E86" s="106"/>
    </row>
    <row r="87" spans="1:5" s="51" customFormat="1" ht="12" customHeight="1" thickBot="1">
      <c r="A87" s="199" t="s">
        <v>241</v>
      </c>
      <c r="B87" s="109" t="s">
        <v>376</v>
      </c>
      <c r="C87" s="222"/>
      <c r="D87" s="222"/>
      <c r="E87" s="223"/>
    </row>
    <row r="88" spans="1:5" s="51" customFormat="1" ht="12" customHeight="1" thickBot="1">
      <c r="A88" s="199" t="s">
        <v>394</v>
      </c>
      <c r="B88" s="109" t="s">
        <v>242</v>
      </c>
      <c r="C88" s="222"/>
      <c r="D88" s="222"/>
      <c r="E88" s="223"/>
    </row>
    <row r="89" spans="1:5" s="51" customFormat="1" ht="12" customHeight="1" thickBot="1">
      <c r="A89" s="199" t="s">
        <v>395</v>
      </c>
      <c r="B89" s="186" t="s">
        <v>379</v>
      </c>
      <c r="C89" s="172">
        <f>+C66+C70+C75+C78+C82+C88+C87</f>
        <v>1276823191</v>
      </c>
      <c r="D89" s="172">
        <f>+D66+D70+D75+D78+D82+D88+D87</f>
        <v>1155491693</v>
      </c>
      <c r="E89" s="208">
        <f>+E66+E70+E75+E78+E82+E88+E87</f>
        <v>1165335550</v>
      </c>
    </row>
    <row r="90" spans="1:5" s="51" customFormat="1" ht="12" customHeight="1" thickBot="1">
      <c r="A90" s="203" t="s">
        <v>396</v>
      </c>
      <c r="B90" s="187" t="s">
        <v>397</v>
      </c>
      <c r="C90" s="172">
        <f>+C65+C89</f>
        <v>1691949245</v>
      </c>
      <c r="D90" s="172">
        <f>+D65+D89</f>
        <v>1974372657</v>
      </c>
      <c r="E90" s="208">
        <f>+E65+E89</f>
        <v>2053980693</v>
      </c>
    </row>
    <row r="91" spans="1:3" s="52" customFormat="1" ht="15" customHeight="1" thickBot="1">
      <c r="A91" s="86"/>
      <c r="B91" s="87"/>
      <c r="C91" s="148"/>
    </row>
    <row r="92" spans="1:5" s="45" customFormat="1" ht="16.5" customHeight="1" thickBot="1">
      <c r="A92" s="847" t="s">
        <v>40</v>
      </c>
      <c r="B92" s="848"/>
      <c r="C92" s="848"/>
      <c r="D92" s="848"/>
      <c r="E92" s="849"/>
    </row>
    <row r="93" spans="1:5" s="53" customFormat="1" ht="12" customHeight="1" thickBot="1">
      <c r="A93" s="173" t="s">
        <v>6</v>
      </c>
      <c r="B93" s="24" t="s">
        <v>401</v>
      </c>
      <c r="C93" s="165">
        <f>+C94+C95+C96+C97+C98+C111</f>
        <v>451561623</v>
      </c>
      <c r="D93" s="165">
        <f>+D94+D95+D96+D97+D98+D111</f>
        <v>626304452</v>
      </c>
      <c r="E93" s="235">
        <f>+E94+E95+E96+E97+E98+E111</f>
        <v>501621942</v>
      </c>
    </row>
    <row r="94" spans="1:5" ht="12" customHeight="1">
      <c r="A94" s="204" t="s">
        <v>63</v>
      </c>
      <c r="B94" s="8" t="s">
        <v>35</v>
      </c>
      <c r="C94" s="242">
        <v>134551393</v>
      </c>
      <c r="D94" s="242">
        <v>144835443</v>
      </c>
      <c r="E94" s="236">
        <v>143970642</v>
      </c>
    </row>
    <row r="95" spans="1:5" ht="12" customHeight="1">
      <c r="A95" s="197" t="s">
        <v>64</v>
      </c>
      <c r="B95" s="6" t="s">
        <v>122</v>
      </c>
      <c r="C95" s="167">
        <v>22532339</v>
      </c>
      <c r="D95" s="167">
        <v>23745114</v>
      </c>
      <c r="E95" s="103">
        <v>23386984</v>
      </c>
    </row>
    <row r="96" spans="1:5" ht="12" customHeight="1">
      <c r="A96" s="197" t="s">
        <v>65</v>
      </c>
      <c r="B96" s="6" t="s">
        <v>90</v>
      </c>
      <c r="C96" s="169">
        <v>173000477</v>
      </c>
      <c r="D96" s="167">
        <v>274574590</v>
      </c>
      <c r="E96" s="105">
        <v>221723703</v>
      </c>
    </row>
    <row r="97" spans="1:5" ht="12" customHeight="1">
      <c r="A97" s="197" t="s">
        <v>66</v>
      </c>
      <c r="B97" s="9" t="s">
        <v>123</v>
      </c>
      <c r="C97" s="169">
        <v>11784000</v>
      </c>
      <c r="D97" s="255">
        <v>16937241</v>
      </c>
      <c r="E97" s="105">
        <v>14472091</v>
      </c>
    </row>
    <row r="98" spans="1:5" ht="12" customHeight="1">
      <c r="A98" s="197" t="s">
        <v>75</v>
      </c>
      <c r="B98" s="17" t="s">
        <v>124</v>
      </c>
      <c r="C98" s="169">
        <f>SUM(C99:C110)</f>
        <v>109693414</v>
      </c>
      <c r="D98" s="169">
        <f>SUM(D99:D110)</f>
        <v>101030145</v>
      </c>
      <c r="E98" s="169">
        <f>SUM(E99:E110)</f>
        <v>98068522</v>
      </c>
    </row>
    <row r="99" spans="1:5" ht="12" customHeight="1">
      <c r="A99" s="197" t="s">
        <v>67</v>
      </c>
      <c r="B99" s="6" t="s">
        <v>398</v>
      </c>
      <c r="C99" s="169"/>
      <c r="D99" s="255">
        <v>321833</v>
      </c>
      <c r="E99" s="105">
        <v>321833</v>
      </c>
    </row>
    <row r="100" spans="1:5" ht="12" customHeight="1">
      <c r="A100" s="197" t="s">
        <v>68</v>
      </c>
      <c r="B100" s="62" t="s">
        <v>342</v>
      </c>
      <c r="C100" s="169"/>
      <c r="D100" s="255"/>
      <c r="E100" s="105"/>
    </row>
    <row r="101" spans="1:5" ht="12" customHeight="1">
      <c r="A101" s="197" t="s">
        <v>76</v>
      </c>
      <c r="B101" s="62" t="s">
        <v>341</v>
      </c>
      <c r="C101" s="169"/>
      <c r="D101" s="255"/>
      <c r="E101" s="105"/>
    </row>
    <row r="102" spans="1:5" ht="12" customHeight="1">
      <c r="A102" s="197" t="s">
        <v>77</v>
      </c>
      <c r="B102" s="62" t="s">
        <v>258</v>
      </c>
      <c r="C102" s="169"/>
      <c r="D102" s="255"/>
      <c r="E102" s="105"/>
    </row>
    <row r="103" spans="1:5" ht="12" customHeight="1">
      <c r="A103" s="197" t="s">
        <v>78</v>
      </c>
      <c r="B103" s="63" t="s">
        <v>259</v>
      </c>
      <c r="C103" s="169"/>
      <c r="D103" s="255"/>
      <c r="E103" s="105"/>
    </row>
    <row r="104" spans="1:5" ht="12" customHeight="1">
      <c r="A104" s="197" t="s">
        <v>79</v>
      </c>
      <c r="B104" s="63" t="s">
        <v>260</v>
      </c>
      <c r="C104" s="169"/>
      <c r="D104" s="255"/>
      <c r="E104" s="105"/>
    </row>
    <row r="105" spans="1:5" ht="12" customHeight="1">
      <c r="A105" s="197" t="s">
        <v>81</v>
      </c>
      <c r="B105" s="62" t="s">
        <v>261</v>
      </c>
      <c r="C105" s="169">
        <v>109693414</v>
      </c>
      <c r="D105" s="255">
        <v>99708312</v>
      </c>
      <c r="E105" s="105">
        <v>96746689</v>
      </c>
    </row>
    <row r="106" spans="1:5" ht="12" customHeight="1">
      <c r="A106" s="197" t="s">
        <v>125</v>
      </c>
      <c r="B106" s="62" t="s">
        <v>262</v>
      </c>
      <c r="C106" s="169"/>
      <c r="D106" s="255"/>
      <c r="E106" s="105"/>
    </row>
    <row r="107" spans="1:5" ht="12" customHeight="1">
      <c r="A107" s="197" t="s">
        <v>256</v>
      </c>
      <c r="B107" s="63" t="s">
        <v>263</v>
      </c>
      <c r="C107" s="167"/>
      <c r="D107" s="255">
        <v>1000000</v>
      </c>
      <c r="E107" s="105">
        <v>1000000</v>
      </c>
    </row>
    <row r="108" spans="1:5" ht="12" customHeight="1">
      <c r="A108" s="205" t="s">
        <v>257</v>
      </c>
      <c r="B108" s="64" t="s">
        <v>264</v>
      </c>
      <c r="C108" s="169"/>
      <c r="D108" s="255"/>
      <c r="E108" s="105"/>
    </row>
    <row r="109" spans="1:5" ht="12" customHeight="1">
      <c r="A109" s="197" t="s">
        <v>339</v>
      </c>
      <c r="B109" s="64" t="s">
        <v>265</v>
      </c>
      <c r="C109" s="169"/>
      <c r="D109" s="255"/>
      <c r="E109" s="105"/>
    </row>
    <row r="110" spans="1:5" ht="12" customHeight="1">
      <c r="A110" s="197" t="s">
        <v>340</v>
      </c>
      <c r="B110" s="63" t="s">
        <v>266</v>
      </c>
      <c r="C110" s="167"/>
      <c r="D110" s="254"/>
      <c r="E110" s="103"/>
    </row>
    <row r="111" spans="1:5" ht="12" customHeight="1">
      <c r="A111" s="197" t="s">
        <v>344</v>
      </c>
      <c r="B111" s="9" t="s">
        <v>36</v>
      </c>
      <c r="C111" s="167"/>
      <c r="D111" s="254">
        <f>SUM(D112:D113)</f>
        <v>65181919</v>
      </c>
      <c r="E111" s="103"/>
    </row>
    <row r="112" spans="1:5" ht="12" customHeight="1">
      <c r="A112" s="198" t="s">
        <v>345</v>
      </c>
      <c r="B112" s="6" t="s">
        <v>399</v>
      </c>
      <c r="C112" s="169"/>
      <c r="D112" s="255"/>
      <c r="E112" s="105"/>
    </row>
    <row r="113" spans="1:5" ht="12" customHeight="1" thickBot="1">
      <c r="A113" s="206" t="s">
        <v>346</v>
      </c>
      <c r="B113" s="65" t="s">
        <v>400</v>
      </c>
      <c r="C113" s="243"/>
      <c r="D113" s="243">
        <v>65181919</v>
      </c>
      <c r="E113" s="237"/>
    </row>
    <row r="114" spans="1:5" ht="12" customHeight="1" thickBot="1">
      <c r="A114" s="25" t="s">
        <v>7</v>
      </c>
      <c r="B114" s="23" t="s">
        <v>267</v>
      </c>
      <c r="C114" s="166">
        <f>+C115+C117+C119</f>
        <v>1168366391</v>
      </c>
      <c r="D114" s="252">
        <f>+D115+D117+D119</f>
        <v>969885927</v>
      </c>
      <c r="E114" s="102">
        <f>+E115+E117+E119</f>
        <v>224971655</v>
      </c>
    </row>
    <row r="115" spans="1:5" ht="12" customHeight="1">
      <c r="A115" s="196" t="s">
        <v>69</v>
      </c>
      <c r="B115" s="6" t="s">
        <v>143</v>
      </c>
      <c r="C115" s="168">
        <v>1021465591</v>
      </c>
      <c r="D115" s="253">
        <v>848360348</v>
      </c>
      <c r="E115" s="104">
        <v>130412370</v>
      </c>
    </row>
    <row r="116" spans="1:5" ht="12" customHeight="1">
      <c r="A116" s="196" t="s">
        <v>70</v>
      </c>
      <c r="B116" s="10" t="s">
        <v>271</v>
      </c>
      <c r="C116" s="168">
        <v>983055591</v>
      </c>
      <c r="D116" s="253">
        <v>789731783</v>
      </c>
      <c r="E116" s="104">
        <v>77826441</v>
      </c>
    </row>
    <row r="117" spans="1:5" ht="12" customHeight="1">
      <c r="A117" s="196" t="s">
        <v>71</v>
      </c>
      <c r="B117" s="10" t="s">
        <v>126</v>
      </c>
      <c r="C117" s="167">
        <v>140900800</v>
      </c>
      <c r="D117" s="254">
        <v>121525579</v>
      </c>
      <c r="E117" s="103">
        <v>94559285</v>
      </c>
    </row>
    <row r="118" spans="1:5" ht="12" customHeight="1">
      <c r="A118" s="196" t="s">
        <v>72</v>
      </c>
      <c r="B118" s="10" t="s">
        <v>272</v>
      </c>
      <c r="C118" s="167">
        <v>123591800</v>
      </c>
      <c r="D118" s="254">
        <v>97316378</v>
      </c>
      <c r="E118" s="103">
        <v>75079679</v>
      </c>
    </row>
    <row r="119" spans="1:5" ht="12" customHeight="1">
      <c r="A119" s="196" t="s">
        <v>73</v>
      </c>
      <c r="B119" s="111" t="s">
        <v>145</v>
      </c>
      <c r="C119" s="167">
        <f>SUM(C120:C127)</f>
        <v>6000000</v>
      </c>
      <c r="D119" s="167">
        <f>SUM(D120:D127)</f>
        <v>0</v>
      </c>
      <c r="E119" s="167">
        <f>SUM(E120:E127)</f>
        <v>0</v>
      </c>
    </row>
    <row r="120" spans="1:5" ht="12" customHeight="1">
      <c r="A120" s="196" t="s">
        <v>80</v>
      </c>
      <c r="B120" s="110" t="s">
        <v>331</v>
      </c>
      <c r="C120" s="167"/>
      <c r="D120" s="254"/>
      <c r="E120" s="103"/>
    </row>
    <row r="121" spans="1:5" ht="12" customHeight="1">
      <c r="A121" s="196" t="s">
        <v>82</v>
      </c>
      <c r="B121" s="175" t="s">
        <v>277</v>
      </c>
      <c r="C121" s="167"/>
      <c r="D121" s="254"/>
      <c r="E121" s="103"/>
    </row>
    <row r="122" spans="1:5" ht="12" customHeight="1">
      <c r="A122" s="196" t="s">
        <v>127</v>
      </c>
      <c r="B122" s="63" t="s">
        <v>260</v>
      </c>
      <c r="C122" s="167"/>
      <c r="D122" s="254"/>
      <c r="E122" s="103"/>
    </row>
    <row r="123" spans="1:5" ht="12" customHeight="1">
      <c r="A123" s="196" t="s">
        <v>128</v>
      </c>
      <c r="B123" s="63" t="s">
        <v>276</v>
      </c>
      <c r="C123" s="167"/>
      <c r="D123" s="254"/>
      <c r="E123" s="103"/>
    </row>
    <row r="124" spans="1:5" ht="12" customHeight="1">
      <c r="A124" s="196" t="s">
        <v>129</v>
      </c>
      <c r="B124" s="63" t="s">
        <v>275</v>
      </c>
      <c r="C124" s="167"/>
      <c r="D124" s="254"/>
      <c r="E124" s="103"/>
    </row>
    <row r="125" spans="1:5" ht="12" customHeight="1">
      <c r="A125" s="196" t="s">
        <v>268</v>
      </c>
      <c r="B125" s="63" t="s">
        <v>263</v>
      </c>
      <c r="C125" s="167"/>
      <c r="D125" s="254"/>
      <c r="E125" s="254"/>
    </row>
    <row r="126" spans="1:5" ht="12" customHeight="1">
      <c r="A126" s="196" t="s">
        <v>269</v>
      </c>
      <c r="B126" s="63" t="s">
        <v>274</v>
      </c>
      <c r="C126" s="167"/>
      <c r="D126" s="254"/>
      <c r="E126" s="103"/>
    </row>
    <row r="127" spans="1:5" ht="12" customHeight="1" thickBot="1">
      <c r="A127" s="205" t="s">
        <v>270</v>
      </c>
      <c r="B127" s="63" t="s">
        <v>273</v>
      </c>
      <c r="C127" s="169">
        <v>6000000</v>
      </c>
      <c r="D127" s="255"/>
      <c r="E127" s="105"/>
    </row>
    <row r="128" spans="1:5" ht="12" customHeight="1" thickBot="1">
      <c r="A128" s="25" t="s">
        <v>8</v>
      </c>
      <c r="B128" s="56" t="s">
        <v>349</v>
      </c>
      <c r="C128" s="166">
        <f>+C93+C114</f>
        <v>1619928014</v>
      </c>
      <c r="D128" s="252">
        <f>+D93+D114</f>
        <v>1596190379</v>
      </c>
      <c r="E128" s="102">
        <f>+E93+E114</f>
        <v>726593597</v>
      </c>
    </row>
    <row r="129" spans="1:5" ht="12" customHeight="1" thickBot="1">
      <c r="A129" s="25" t="s">
        <v>9</v>
      </c>
      <c r="B129" s="56" t="s">
        <v>350</v>
      </c>
      <c r="C129" s="166">
        <f>+C130+C131+C132</f>
        <v>0</v>
      </c>
      <c r="D129" s="252">
        <f>+D130+D131+D132</f>
        <v>21508775</v>
      </c>
      <c r="E129" s="102">
        <f>+E130+E131+E132</f>
        <v>21508775</v>
      </c>
    </row>
    <row r="130" spans="1:5" s="53" customFormat="1" ht="12" customHeight="1">
      <c r="A130" s="196" t="s">
        <v>177</v>
      </c>
      <c r="B130" s="7" t="s">
        <v>404</v>
      </c>
      <c r="C130" s="167"/>
      <c r="D130" s="254"/>
      <c r="E130" s="103"/>
    </row>
    <row r="131" spans="1:5" ht="12" customHeight="1">
      <c r="A131" s="196" t="s">
        <v>178</v>
      </c>
      <c r="B131" s="7" t="s">
        <v>358</v>
      </c>
      <c r="C131" s="167"/>
      <c r="D131" s="167">
        <v>21508775</v>
      </c>
      <c r="E131" s="167">
        <v>21508775</v>
      </c>
    </row>
    <row r="132" spans="1:5" ht="12" customHeight="1" thickBot="1">
      <c r="A132" s="205" t="s">
        <v>179</v>
      </c>
      <c r="B132" s="5" t="s">
        <v>403</v>
      </c>
      <c r="C132" s="167"/>
      <c r="D132" s="254"/>
      <c r="E132" s="103"/>
    </row>
    <row r="133" spans="1:5" ht="12" customHeight="1" thickBot="1">
      <c r="A133" s="25" t="s">
        <v>10</v>
      </c>
      <c r="B133" s="56" t="s">
        <v>351</v>
      </c>
      <c r="C133" s="166">
        <f>+C134+C135+C136+C137+C138+C139</f>
        <v>0</v>
      </c>
      <c r="D133" s="252">
        <f>+D134+D135+D136+D137+D138+D139</f>
        <v>280699998</v>
      </c>
      <c r="E133" s="102">
        <f>+E134+E135+E136+E137+E138+E139</f>
        <v>280699998</v>
      </c>
    </row>
    <row r="134" spans="1:5" ht="12" customHeight="1">
      <c r="A134" s="196" t="s">
        <v>56</v>
      </c>
      <c r="B134" s="7" t="s">
        <v>360</v>
      </c>
      <c r="C134" s="167"/>
      <c r="D134" s="254">
        <v>280699998</v>
      </c>
      <c r="E134" s="254">
        <v>280699998</v>
      </c>
    </row>
    <row r="135" spans="1:5" ht="12" customHeight="1">
      <c r="A135" s="196" t="s">
        <v>57</v>
      </c>
      <c r="B135" s="7" t="s">
        <v>352</v>
      </c>
      <c r="C135" s="167"/>
      <c r="D135" s="254"/>
      <c r="E135" s="103"/>
    </row>
    <row r="136" spans="1:5" ht="12" customHeight="1">
      <c r="A136" s="196" t="s">
        <v>58</v>
      </c>
      <c r="B136" s="7" t="s">
        <v>353</v>
      </c>
      <c r="C136" s="167"/>
      <c r="D136" s="254"/>
      <c r="E136" s="103"/>
    </row>
    <row r="137" spans="1:5" ht="12" customHeight="1">
      <c r="A137" s="196" t="s">
        <v>114</v>
      </c>
      <c r="B137" s="7" t="s">
        <v>402</v>
      </c>
      <c r="C137" s="167"/>
      <c r="D137" s="254"/>
      <c r="E137" s="103"/>
    </row>
    <row r="138" spans="1:5" ht="12" customHeight="1">
      <c r="A138" s="196" t="s">
        <v>115</v>
      </c>
      <c r="B138" s="7" t="s">
        <v>355</v>
      </c>
      <c r="C138" s="167"/>
      <c r="D138" s="254"/>
      <c r="E138" s="103"/>
    </row>
    <row r="139" spans="1:5" s="53" customFormat="1" ht="12" customHeight="1" thickBot="1">
      <c r="A139" s="205" t="s">
        <v>116</v>
      </c>
      <c r="B139" s="5" t="s">
        <v>356</v>
      </c>
      <c r="C139" s="167"/>
      <c r="D139" s="254"/>
      <c r="E139" s="103"/>
    </row>
    <row r="140" spans="1:11" ht="12" customHeight="1" thickBot="1">
      <c r="A140" s="25" t="s">
        <v>11</v>
      </c>
      <c r="B140" s="56" t="s">
        <v>417</v>
      </c>
      <c r="C140" s="172">
        <f>+C141+C142+C144+C145+C143</f>
        <v>72021231</v>
      </c>
      <c r="D140" s="256">
        <f>+D141+D142+D144+D145+D143</f>
        <v>75973505</v>
      </c>
      <c r="E140" s="208">
        <f>+E141+E142+E144+E145+E143</f>
        <v>74429514</v>
      </c>
      <c r="K140" s="95"/>
    </row>
    <row r="141" spans="1:5" ht="12.75">
      <c r="A141" s="196" t="s">
        <v>59</v>
      </c>
      <c r="B141" s="7" t="s">
        <v>278</v>
      </c>
      <c r="C141" s="167"/>
      <c r="D141" s="254"/>
      <c r="E141" s="103"/>
    </row>
    <row r="142" spans="1:5" ht="12" customHeight="1">
      <c r="A142" s="196" t="s">
        <v>60</v>
      </c>
      <c r="B142" s="7" t="s">
        <v>279</v>
      </c>
      <c r="C142" s="167">
        <v>8583031</v>
      </c>
      <c r="D142" s="167">
        <v>8583031</v>
      </c>
      <c r="E142" s="167">
        <v>8583031</v>
      </c>
    </row>
    <row r="143" spans="1:5" ht="12" customHeight="1">
      <c r="A143" s="196" t="s">
        <v>195</v>
      </c>
      <c r="B143" s="7" t="s">
        <v>416</v>
      </c>
      <c r="C143" s="167">
        <v>63438200</v>
      </c>
      <c r="D143" s="254">
        <v>67390474</v>
      </c>
      <c r="E143" s="103">
        <v>65846483</v>
      </c>
    </row>
    <row r="144" spans="1:5" s="53" customFormat="1" ht="12" customHeight="1">
      <c r="A144" s="196" t="s">
        <v>196</v>
      </c>
      <c r="B144" s="7" t="s">
        <v>365</v>
      </c>
      <c r="C144" s="167"/>
      <c r="D144" s="254"/>
      <c r="E144" s="103"/>
    </row>
    <row r="145" spans="1:5" s="53" customFormat="1" ht="12" customHeight="1" thickBot="1">
      <c r="A145" s="205" t="s">
        <v>197</v>
      </c>
      <c r="B145" s="5" t="s">
        <v>295</v>
      </c>
      <c r="C145" s="167"/>
      <c r="D145" s="254"/>
      <c r="E145" s="103"/>
    </row>
    <row r="146" spans="1:5" s="53" customFormat="1" ht="12" customHeight="1" thickBot="1">
      <c r="A146" s="25" t="s">
        <v>12</v>
      </c>
      <c r="B146" s="56" t="s">
        <v>366</v>
      </c>
      <c r="C146" s="245">
        <f>+C147+C148+C149+C150+C151</f>
        <v>0</v>
      </c>
      <c r="D146" s="257">
        <f>+D147+D148+D149+D150+D151</f>
        <v>0</v>
      </c>
      <c r="E146" s="239">
        <f>+E147+E148+E149+E150+E151</f>
        <v>0</v>
      </c>
    </row>
    <row r="147" spans="1:5" s="53" customFormat="1" ht="12" customHeight="1">
      <c r="A147" s="196" t="s">
        <v>61</v>
      </c>
      <c r="B147" s="7" t="s">
        <v>361</v>
      </c>
      <c r="C147" s="167"/>
      <c r="D147" s="254"/>
      <c r="E147" s="103"/>
    </row>
    <row r="148" spans="1:5" s="53" customFormat="1" ht="12" customHeight="1">
      <c r="A148" s="196" t="s">
        <v>62</v>
      </c>
      <c r="B148" s="7" t="s">
        <v>368</v>
      </c>
      <c r="C148" s="167"/>
      <c r="D148" s="254"/>
      <c r="E148" s="103"/>
    </row>
    <row r="149" spans="1:5" s="53" customFormat="1" ht="12" customHeight="1">
      <c r="A149" s="196" t="s">
        <v>207</v>
      </c>
      <c r="B149" s="7" t="s">
        <v>363</v>
      </c>
      <c r="C149" s="167"/>
      <c r="D149" s="254"/>
      <c r="E149" s="103"/>
    </row>
    <row r="150" spans="1:5" s="53" customFormat="1" ht="12" customHeight="1">
      <c r="A150" s="196" t="s">
        <v>208</v>
      </c>
      <c r="B150" s="7" t="s">
        <v>405</v>
      </c>
      <c r="C150" s="167"/>
      <c r="D150" s="254"/>
      <c r="E150" s="103"/>
    </row>
    <row r="151" spans="1:5" ht="12.75" customHeight="1" thickBot="1">
      <c r="A151" s="205" t="s">
        <v>367</v>
      </c>
      <c r="B151" s="5" t="s">
        <v>370</v>
      </c>
      <c r="C151" s="169"/>
      <c r="D151" s="255"/>
      <c r="E151" s="105"/>
    </row>
    <row r="152" spans="1:5" ht="12.75" customHeight="1" thickBot="1">
      <c r="A152" s="234" t="s">
        <v>13</v>
      </c>
      <c r="B152" s="56" t="s">
        <v>371</v>
      </c>
      <c r="C152" s="245"/>
      <c r="D152" s="257"/>
      <c r="E152" s="239"/>
    </row>
    <row r="153" spans="1:5" ht="12.75" customHeight="1" thickBot="1">
      <c r="A153" s="234" t="s">
        <v>14</v>
      </c>
      <c r="B153" s="56" t="s">
        <v>372</v>
      </c>
      <c r="C153" s="245"/>
      <c r="D153" s="257"/>
      <c r="E153" s="239"/>
    </row>
    <row r="154" spans="1:5" ht="12" customHeight="1" thickBot="1">
      <c r="A154" s="25" t="s">
        <v>15</v>
      </c>
      <c r="B154" s="56" t="s">
        <v>374</v>
      </c>
      <c r="C154" s="247">
        <f>+C129+C133+C140+C146+C152+C153</f>
        <v>72021231</v>
      </c>
      <c r="D154" s="259">
        <f>+D129+D133+D140+D146+D152+D153</f>
        <v>378182278</v>
      </c>
      <c r="E154" s="241">
        <f>+E129+E133+E140+E146+E152+E153</f>
        <v>376638287</v>
      </c>
    </row>
    <row r="155" spans="1:5" ht="15" customHeight="1" thickBot="1">
      <c r="A155" s="207" t="s">
        <v>16</v>
      </c>
      <c r="B155" s="153" t="s">
        <v>373</v>
      </c>
      <c r="C155" s="247">
        <f>+C128+C154</f>
        <v>1691949245</v>
      </c>
      <c r="D155" s="259">
        <f>+D128+D154</f>
        <v>1974372657</v>
      </c>
      <c r="E155" s="241">
        <f>+E128+E154</f>
        <v>1103231884</v>
      </c>
    </row>
    <row r="156" spans="1:5" ht="13.5" thickBot="1">
      <c r="A156" s="156"/>
      <c r="B156" s="157"/>
      <c r="C156" s="587">
        <f>C90-C155</f>
        <v>0</v>
      </c>
      <c r="D156" s="587">
        <f>D90-D155</f>
        <v>0</v>
      </c>
      <c r="E156" s="158"/>
    </row>
    <row r="157" spans="1:5" ht="15" customHeight="1" thickBot="1">
      <c r="A157" s="301" t="s">
        <v>485</v>
      </c>
      <c r="B157" s="302"/>
      <c r="C157" s="291">
        <v>57</v>
      </c>
      <c r="D157" s="291">
        <v>57</v>
      </c>
      <c r="E157" s="290">
        <v>49</v>
      </c>
    </row>
    <row r="158" spans="1:5" ht="14.25" customHeight="1" thickBot="1">
      <c r="A158" s="303" t="s">
        <v>486</v>
      </c>
      <c r="B158" s="304"/>
      <c r="C158" s="291">
        <v>40</v>
      </c>
      <c r="D158" s="291">
        <v>40</v>
      </c>
      <c r="E158" s="290">
        <v>30</v>
      </c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67">
      <selection activeCell="D76" sqref="D76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335"/>
      <c r="C1" s="336"/>
      <c r="D1" s="336"/>
      <c r="E1" s="590" t="str">
        <f>CONCATENATE("6.1.2. melléklet ",Z_ALAPADATOK!A7," ",Z_ALAPADATOK!B7," ",Z_ALAPADATOK!C7," ",Z_ALAPADATOK!D7," ",Z_ALAPADATOK!E7," ",Z_ALAPADATOK!F7," ",Z_ALAPADATOK!G7," ",Z_ALAPADATOK!H7)</f>
        <v>6.1.2. melléklet a 9 / 2020. ( VII.10. ) önkormányzati rendelethez</v>
      </c>
    </row>
    <row r="2" spans="1:5" s="49" customFormat="1" ht="21" customHeight="1" thickBot="1">
      <c r="A2" s="332" t="s">
        <v>44</v>
      </c>
      <c r="B2" s="850" t="str">
        <f>CONCATENATE(Z_ALAPADATOK!A3)</f>
        <v>Besenyszög Város Önkormányzata</v>
      </c>
      <c r="C2" s="850"/>
      <c r="D2" s="850"/>
      <c r="E2" s="333" t="s">
        <v>38</v>
      </c>
    </row>
    <row r="3" spans="1:5" s="49" customFormat="1" ht="24.75" thickBot="1">
      <c r="A3" s="332" t="s">
        <v>135</v>
      </c>
      <c r="B3" s="850" t="s">
        <v>323</v>
      </c>
      <c r="C3" s="850"/>
      <c r="D3" s="850"/>
      <c r="E3" s="334" t="s">
        <v>42</v>
      </c>
    </row>
    <row r="4" spans="1:5" s="50" customFormat="1" ht="15.75" customHeight="1" thickBot="1">
      <c r="A4" s="326"/>
      <c r="B4" s="326"/>
      <c r="C4" s="327"/>
      <c r="D4" s="328"/>
      <c r="E4" s="327" t="str">
        <f>'Z_6.1.1.sz.mell'!E4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CONCATENATE('Z_6.1.1.sz.mell'!E5)</f>
        <v>Teljesítés
2019. XII. 31.</v>
      </c>
    </row>
    <row r="6" spans="1:5" s="45" customFormat="1" ht="12.75" customHeight="1" thickBot="1">
      <c r="A6" s="74" t="s">
        <v>385</v>
      </c>
      <c r="B6" s="75" t="s">
        <v>386</v>
      </c>
      <c r="C6" s="75" t="s">
        <v>387</v>
      </c>
      <c r="D6" s="285" t="s">
        <v>389</v>
      </c>
      <c r="E6" s="76" t="s">
        <v>388</v>
      </c>
    </row>
    <row r="7" spans="1:5" s="45" customFormat="1" ht="15.75" customHeight="1" thickBot="1">
      <c r="A7" s="847" t="s">
        <v>39</v>
      </c>
      <c r="B7" s="848"/>
      <c r="C7" s="848"/>
      <c r="D7" s="848"/>
      <c r="E7" s="849"/>
    </row>
    <row r="8" spans="1:5" s="45" customFormat="1" ht="12" customHeight="1" thickBot="1">
      <c r="A8" s="25" t="s">
        <v>6</v>
      </c>
      <c r="B8" s="19" t="s">
        <v>162</v>
      </c>
      <c r="C8" s="166">
        <f>+C9+C10+C11+C12+C13+C14</f>
        <v>0</v>
      </c>
      <c r="D8" s="252">
        <f>+D9+D10+D11+D12+D13+D14</f>
        <v>0</v>
      </c>
      <c r="E8" s="102">
        <f>+E9+E10+E11+E12+E13+E14</f>
        <v>0</v>
      </c>
    </row>
    <row r="9" spans="1:5" s="51" customFormat="1" ht="12" customHeight="1">
      <c r="A9" s="196" t="s">
        <v>63</v>
      </c>
      <c r="B9" s="179" t="s">
        <v>163</v>
      </c>
      <c r="C9" s="168"/>
      <c r="D9" s="253"/>
      <c r="E9" s="104"/>
    </row>
    <row r="10" spans="1:5" s="52" customFormat="1" ht="12" customHeight="1">
      <c r="A10" s="197" t="s">
        <v>64</v>
      </c>
      <c r="B10" s="180" t="s">
        <v>164</v>
      </c>
      <c r="C10" s="167"/>
      <c r="D10" s="254"/>
      <c r="E10" s="103"/>
    </row>
    <row r="11" spans="1:5" s="52" customFormat="1" ht="12" customHeight="1">
      <c r="A11" s="197" t="s">
        <v>65</v>
      </c>
      <c r="B11" s="180" t="s">
        <v>165</v>
      </c>
      <c r="C11" s="167"/>
      <c r="D11" s="254"/>
      <c r="E11" s="103"/>
    </row>
    <row r="12" spans="1:5" s="52" customFormat="1" ht="12" customHeight="1">
      <c r="A12" s="197" t="s">
        <v>66</v>
      </c>
      <c r="B12" s="180" t="s">
        <v>166</v>
      </c>
      <c r="C12" s="167"/>
      <c r="D12" s="254"/>
      <c r="E12" s="103"/>
    </row>
    <row r="13" spans="1:5" s="52" customFormat="1" ht="12" customHeight="1">
      <c r="A13" s="197" t="s">
        <v>97</v>
      </c>
      <c r="B13" s="180" t="s">
        <v>393</v>
      </c>
      <c r="C13" s="167"/>
      <c r="D13" s="254"/>
      <c r="E13" s="103"/>
    </row>
    <row r="14" spans="1:5" s="51" customFormat="1" ht="12" customHeight="1" thickBot="1">
      <c r="A14" s="198" t="s">
        <v>67</v>
      </c>
      <c r="B14" s="181" t="s">
        <v>334</v>
      </c>
      <c r="C14" s="167"/>
      <c r="D14" s="254"/>
      <c r="E14" s="103"/>
    </row>
    <row r="15" spans="1:5" s="51" customFormat="1" ht="12" customHeight="1" thickBot="1">
      <c r="A15" s="25" t="s">
        <v>7</v>
      </c>
      <c r="B15" s="109" t="s">
        <v>167</v>
      </c>
      <c r="C15" s="166">
        <f>+C16+C17+C18+C19+C20</f>
        <v>0</v>
      </c>
      <c r="D15" s="252">
        <f>+D16+D17+D18+D19+D20</f>
        <v>0</v>
      </c>
      <c r="E15" s="102">
        <f>+E16+E17+E18+E19+E20</f>
        <v>0</v>
      </c>
    </row>
    <row r="16" spans="1:5" s="51" customFormat="1" ht="12" customHeight="1">
      <c r="A16" s="196" t="s">
        <v>69</v>
      </c>
      <c r="B16" s="179" t="s">
        <v>168</v>
      </c>
      <c r="C16" s="168"/>
      <c r="D16" s="253"/>
      <c r="E16" s="104"/>
    </row>
    <row r="17" spans="1:5" s="51" customFormat="1" ht="12" customHeight="1">
      <c r="A17" s="197" t="s">
        <v>70</v>
      </c>
      <c r="B17" s="180" t="s">
        <v>169</v>
      </c>
      <c r="C17" s="167"/>
      <c r="D17" s="254"/>
      <c r="E17" s="103"/>
    </row>
    <row r="18" spans="1:5" s="51" customFormat="1" ht="12" customHeight="1">
      <c r="A18" s="197" t="s">
        <v>71</v>
      </c>
      <c r="B18" s="180" t="s">
        <v>325</v>
      </c>
      <c r="C18" s="167"/>
      <c r="D18" s="254"/>
      <c r="E18" s="103"/>
    </row>
    <row r="19" spans="1:5" s="51" customFormat="1" ht="12" customHeight="1">
      <c r="A19" s="197" t="s">
        <v>72</v>
      </c>
      <c r="B19" s="180" t="s">
        <v>326</v>
      </c>
      <c r="C19" s="167"/>
      <c r="D19" s="254"/>
      <c r="E19" s="103"/>
    </row>
    <row r="20" spans="1:5" s="51" customFormat="1" ht="12" customHeight="1">
      <c r="A20" s="197" t="s">
        <v>73</v>
      </c>
      <c r="B20" s="180" t="s">
        <v>170</v>
      </c>
      <c r="C20" s="167"/>
      <c r="D20" s="254"/>
      <c r="E20" s="103"/>
    </row>
    <row r="21" spans="1:5" s="52" customFormat="1" ht="12" customHeight="1" thickBot="1">
      <c r="A21" s="198" t="s">
        <v>80</v>
      </c>
      <c r="B21" s="181" t="s">
        <v>171</v>
      </c>
      <c r="C21" s="169"/>
      <c r="D21" s="255"/>
      <c r="E21" s="105"/>
    </row>
    <row r="22" spans="1:5" s="52" customFormat="1" ht="12" customHeight="1" thickBot="1">
      <c r="A22" s="25" t="s">
        <v>8</v>
      </c>
      <c r="B22" s="19" t="s">
        <v>172</v>
      </c>
      <c r="C22" s="166">
        <f>+C23+C24+C25+C26+C27</f>
        <v>0</v>
      </c>
      <c r="D22" s="252">
        <f>+D23+D24+D25+D26+D27</f>
        <v>0</v>
      </c>
      <c r="E22" s="102">
        <f>+E23+E24+E25+E26+E27</f>
        <v>0</v>
      </c>
    </row>
    <row r="23" spans="1:5" s="52" customFormat="1" ht="12" customHeight="1">
      <c r="A23" s="196" t="s">
        <v>52</v>
      </c>
      <c r="B23" s="179" t="s">
        <v>173</v>
      </c>
      <c r="C23" s="168"/>
      <c r="D23" s="253"/>
      <c r="E23" s="104"/>
    </row>
    <row r="24" spans="1:5" s="51" customFormat="1" ht="12" customHeight="1">
      <c r="A24" s="197" t="s">
        <v>53</v>
      </c>
      <c r="B24" s="180" t="s">
        <v>174</v>
      </c>
      <c r="C24" s="167"/>
      <c r="D24" s="254"/>
      <c r="E24" s="103"/>
    </row>
    <row r="25" spans="1:5" s="52" customFormat="1" ht="12" customHeight="1">
      <c r="A25" s="197" t="s">
        <v>54</v>
      </c>
      <c r="B25" s="180" t="s">
        <v>327</v>
      </c>
      <c r="C25" s="167"/>
      <c r="D25" s="254"/>
      <c r="E25" s="103"/>
    </row>
    <row r="26" spans="1:5" s="52" customFormat="1" ht="12" customHeight="1">
      <c r="A26" s="197" t="s">
        <v>55</v>
      </c>
      <c r="B26" s="180" t="s">
        <v>328</v>
      </c>
      <c r="C26" s="167"/>
      <c r="D26" s="254"/>
      <c r="E26" s="103"/>
    </row>
    <row r="27" spans="1:5" s="52" customFormat="1" ht="12" customHeight="1">
      <c r="A27" s="197" t="s">
        <v>110</v>
      </c>
      <c r="B27" s="180" t="s">
        <v>175</v>
      </c>
      <c r="C27" s="167"/>
      <c r="D27" s="254"/>
      <c r="E27" s="103"/>
    </row>
    <row r="28" spans="1:5" s="52" customFormat="1" ht="12" customHeight="1" thickBot="1">
      <c r="A28" s="198" t="s">
        <v>111</v>
      </c>
      <c r="B28" s="181" t="s">
        <v>176</v>
      </c>
      <c r="C28" s="169"/>
      <c r="D28" s="255"/>
      <c r="E28" s="105"/>
    </row>
    <row r="29" spans="1:5" s="52" customFormat="1" ht="12" customHeight="1" thickBot="1">
      <c r="A29" s="25" t="s">
        <v>112</v>
      </c>
      <c r="B29" s="19" t="s">
        <v>476</v>
      </c>
      <c r="C29" s="172">
        <f>SUM(C30:C36)</f>
        <v>0</v>
      </c>
      <c r="D29" s="172">
        <f>SUM(D30:D36)</f>
        <v>0</v>
      </c>
      <c r="E29" s="208">
        <f>SUM(E30:E36)</f>
        <v>0</v>
      </c>
    </row>
    <row r="30" spans="1:5" s="52" customFormat="1" ht="12" customHeight="1">
      <c r="A30" s="196" t="s">
        <v>177</v>
      </c>
      <c r="B30" s="179" t="str">
        <f>'Z_1.1.sz.mell.'!B33</f>
        <v>Építményadó</v>
      </c>
      <c r="C30" s="168"/>
      <c r="D30" s="168"/>
      <c r="E30" s="104"/>
    </row>
    <row r="31" spans="1:5" s="52" customFormat="1" ht="12" customHeight="1">
      <c r="A31" s="197" t="s">
        <v>178</v>
      </c>
      <c r="B31" s="179" t="str">
        <f>'Z_1.1.sz.mell.'!B34</f>
        <v>Telekadó</v>
      </c>
      <c r="C31" s="167"/>
      <c r="D31" s="167"/>
      <c r="E31" s="103"/>
    </row>
    <row r="32" spans="1:5" s="52" customFormat="1" ht="12" customHeight="1">
      <c r="A32" s="197" t="s">
        <v>179</v>
      </c>
      <c r="B32" s="179" t="str">
        <f>'Z_1.1.sz.mell.'!B35</f>
        <v>Iparűzési adó</v>
      </c>
      <c r="C32" s="167"/>
      <c r="D32" s="167"/>
      <c r="E32" s="103"/>
    </row>
    <row r="33" spans="1:5" s="52" customFormat="1" ht="12" customHeight="1">
      <c r="A33" s="197" t="s">
        <v>180</v>
      </c>
      <c r="B33" s="179" t="str">
        <f>'Z_1.1.sz.mell.'!B36</f>
        <v>Talajterhelési díj</v>
      </c>
      <c r="C33" s="167"/>
      <c r="D33" s="167"/>
      <c r="E33" s="103"/>
    </row>
    <row r="34" spans="1:5" s="52" customFormat="1" ht="12" customHeight="1">
      <c r="A34" s="197" t="s">
        <v>480</v>
      </c>
      <c r="B34" s="179" t="str">
        <f>'Z_1.1.sz.mell.'!B37</f>
        <v>Gépjárműadó</v>
      </c>
      <c r="C34" s="167"/>
      <c r="D34" s="167"/>
      <c r="E34" s="103"/>
    </row>
    <row r="35" spans="1:5" s="52" customFormat="1" ht="12" customHeight="1">
      <c r="A35" s="197" t="s">
        <v>481</v>
      </c>
      <c r="B35" s="179" t="str">
        <f>'Z_1.1.sz.mell.'!B38</f>
        <v>Kommunális adó</v>
      </c>
      <c r="C35" s="167"/>
      <c r="D35" s="167"/>
      <c r="E35" s="103"/>
    </row>
    <row r="36" spans="1:5" s="52" customFormat="1" ht="12" customHeight="1" thickBot="1">
      <c r="A36" s="198" t="s">
        <v>482</v>
      </c>
      <c r="B36" s="179" t="str">
        <f>'Z_1.1.sz.mell.'!B39</f>
        <v>Egyéb közhatalmi  bevételek</v>
      </c>
      <c r="C36" s="169"/>
      <c r="D36" s="169"/>
      <c r="E36" s="105"/>
    </row>
    <row r="37" spans="1:5" s="52" customFormat="1" ht="12" customHeight="1" thickBot="1">
      <c r="A37" s="25" t="s">
        <v>10</v>
      </c>
      <c r="B37" s="19" t="s">
        <v>335</v>
      </c>
      <c r="C37" s="166">
        <f>SUM(C38:C48)</f>
        <v>0</v>
      </c>
      <c r="D37" s="252">
        <f>SUM(D38:D48)</f>
        <v>0</v>
      </c>
      <c r="E37" s="102">
        <f>SUM(E38:E48)</f>
        <v>0</v>
      </c>
    </row>
    <row r="38" spans="1:5" s="52" customFormat="1" ht="12" customHeight="1">
      <c r="A38" s="196" t="s">
        <v>56</v>
      </c>
      <c r="B38" s="179" t="s">
        <v>184</v>
      </c>
      <c r="C38" s="168"/>
      <c r="D38" s="253"/>
      <c r="E38" s="104"/>
    </row>
    <row r="39" spans="1:5" s="52" customFormat="1" ht="12" customHeight="1">
      <c r="A39" s="197" t="s">
        <v>57</v>
      </c>
      <c r="B39" s="180" t="s">
        <v>185</v>
      </c>
      <c r="C39" s="167"/>
      <c r="D39" s="254"/>
      <c r="E39" s="103"/>
    </row>
    <row r="40" spans="1:5" s="52" customFormat="1" ht="12" customHeight="1">
      <c r="A40" s="197" t="s">
        <v>58</v>
      </c>
      <c r="B40" s="180" t="s">
        <v>186</v>
      </c>
      <c r="C40" s="167"/>
      <c r="D40" s="254"/>
      <c r="E40" s="103"/>
    </row>
    <row r="41" spans="1:5" s="52" customFormat="1" ht="12" customHeight="1">
      <c r="A41" s="197" t="s">
        <v>114</v>
      </c>
      <c r="B41" s="180" t="s">
        <v>187</v>
      </c>
      <c r="C41" s="167"/>
      <c r="D41" s="254"/>
      <c r="E41" s="103"/>
    </row>
    <row r="42" spans="1:5" s="52" customFormat="1" ht="12" customHeight="1">
      <c r="A42" s="197" t="s">
        <v>115</v>
      </c>
      <c r="B42" s="180" t="s">
        <v>188</v>
      </c>
      <c r="C42" s="167"/>
      <c r="D42" s="254"/>
      <c r="E42" s="103"/>
    </row>
    <row r="43" spans="1:5" s="52" customFormat="1" ht="12" customHeight="1">
      <c r="A43" s="197" t="s">
        <v>116</v>
      </c>
      <c r="B43" s="180" t="s">
        <v>189</v>
      </c>
      <c r="C43" s="167"/>
      <c r="D43" s="254"/>
      <c r="E43" s="103"/>
    </row>
    <row r="44" spans="1:5" s="52" customFormat="1" ht="12" customHeight="1">
      <c r="A44" s="197" t="s">
        <v>117</v>
      </c>
      <c r="B44" s="180" t="s">
        <v>190</v>
      </c>
      <c r="C44" s="167"/>
      <c r="D44" s="254"/>
      <c r="E44" s="103"/>
    </row>
    <row r="45" spans="1:5" s="52" customFormat="1" ht="12" customHeight="1">
      <c r="A45" s="197" t="s">
        <v>118</v>
      </c>
      <c r="B45" s="180" t="s">
        <v>483</v>
      </c>
      <c r="C45" s="167"/>
      <c r="D45" s="254"/>
      <c r="E45" s="103"/>
    </row>
    <row r="46" spans="1:5" s="52" customFormat="1" ht="12" customHeight="1">
      <c r="A46" s="197" t="s">
        <v>182</v>
      </c>
      <c r="B46" s="180" t="s">
        <v>192</v>
      </c>
      <c r="C46" s="170"/>
      <c r="D46" s="286"/>
      <c r="E46" s="106"/>
    </row>
    <row r="47" spans="1:5" s="52" customFormat="1" ht="12" customHeight="1">
      <c r="A47" s="198" t="s">
        <v>183</v>
      </c>
      <c r="B47" s="181" t="s">
        <v>337</v>
      </c>
      <c r="C47" s="171"/>
      <c r="D47" s="287"/>
      <c r="E47" s="107"/>
    </row>
    <row r="48" spans="1:5" s="52" customFormat="1" ht="12" customHeight="1" thickBot="1">
      <c r="A48" s="198" t="s">
        <v>336</v>
      </c>
      <c r="B48" s="181" t="s">
        <v>193</v>
      </c>
      <c r="C48" s="171"/>
      <c r="D48" s="287"/>
      <c r="E48" s="107"/>
    </row>
    <row r="49" spans="1:5" s="52" customFormat="1" ht="12" customHeight="1" thickBot="1">
      <c r="A49" s="25" t="s">
        <v>11</v>
      </c>
      <c r="B49" s="19" t="s">
        <v>194</v>
      </c>
      <c r="C49" s="166">
        <f>SUM(C50:C54)</f>
        <v>0</v>
      </c>
      <c r="D49" s="252">
        <f>SUM(D50:D54)</f>
        <v>4900000</v>
      </c>
      <c r="E49" s="102">
        <f>SUM(E50:E54)</f>
        <v>4900000</v>
      </c>
    </row>
    <row r="50" spans="1:5" s="52" customFormat="1" ht="12" customHeight="1">
      <c r="A50" s="196" t="s">
        <v>59</v>
      </c>
      <c r="B50" s="179" t="s">
        <v>198</v>
      </c>
      <c r="C50" s="219"/>
      <c r="D50" s="288"/>
      <c r="E50" s="108"/>
    </row>
    <row r="51" spans="1:5" s="52" customFormat="1" ht="12" customHeight="1">
      <c r="A51" s="197" t="s">
        <v>60</v>
      </c>
      <c r="B51" s="180" t="s">
        <v>199</v>
      </c>
      <c r="C51" s="170"/>
      <c r="D51" s="286">
        <v>4900000</v>
      </c>
      <c r="E51" s="106">
        <v>4900000</v>
      </c>
    </row>
    <row r="52" spans="1:5" s="52" customFormat="1" ht="12" customHeight="1">
      <c r="A52" s="197" t="s">
        <v>195</v>
      </c>
      <c r="B52" s="180" t="s">
        <v>200</v>
      </c>
      <c r="C52" s="170"/>
      <c r="D52" s="286"/>
      <c r="E52" s="106"/>
    </row>
    <row r="53" spans="1:5" s="52" customFormat="1" ht="12" customHeight="1">
      <c r="A53" s="197" t="s">
        <v>196</v>
      </c>
      <c r="B53" s="180" t="s">
        <v>201</v>
      </c>
      <c r="C53" s="170"/>
      <c r="D53" s="286"/>
      <c r="E53" s="106"/>
    </row>
    <row r="54" spans="1:5" s="52" customFormat="1" ht="12" customHeight="1" thickBot="1">
      <c r="A54" s="198" t="s">
        <v>197</v>
      </c>
      <c r="B54" s="181" t="s">
        <v>202</v>
      </c>
      <c r="C54" s="171"/>
      <c r="D54" s="287"/>
      <c r="E54" s="107"/>
    </row>
    <row r="55" spans="1:5" s="52" customFormat="1" ht="12" customHeight="1" thickBot="1">
      <c r="A55" s="25" t="s">
        <v>119</v>
      </c>
      <c r="B55" s="19" t="s">
        <v>203</v>
      </c>
      <c r="C55" s="166">
        <f>SUM(C56:C58)</f>
        <v>0</v>
      </c>
      <c r="D55" s="252">
        <f>SUM(D56:D58)</f>
        <v>0</v>
      </c>
      <c r="E55" s="102">
        <f>SUM(E56:E58)</f>
        <v>0</v>
      </c>
    </row>
    <row r="56" spans="1:5" s="52" customFormat="1" ht="12" customHeight="1">
      <c r="A56" s="196" t="s">
        <v>61</v>
      </c>
      <c r="B56" s="179" t="s">
        <v>204</v>
      </c>
      <c r="C56" s="168"/>
      <c r="D56" s="253"/>
      <c r="E56" s="104"/>
    </row>
    <row r="57" spans="1:5" s="52" customFormat="1" ht="12" customHeight="1">
      <c r="A57" s="197" t="s">
        <v>62</v>
      </c>
      <c r="B57" s="180" t="s">
        <v>329</v>
      </c>
      <c r="C57" s="167"/>
      <c r="D57" s="254"/>
      <c r="E57" s="103"/>
    </row>
    <row r="58" spans="1:5" s="52" customFormat="1" ht="12" customHeight="1">
      <c r="A58" s="197" t="s">
        <v>207</v>
      </c>
      <c r="B58" s="180" t="s">
        <v>205</v>
      </c>
      <c r="C58" s="167"/>
      <c r="D58" s="254"/>
      <c r="E58" s="103"/>
    </row>
    <row r="59" spans="1:5" s="52" customFormat="1" ht="12" customHeight="1" thickBot="1">
      <c r="A59" s="198" t="s">
        <v>208</v>
      </c>
      <c r="B59" s="181" t="s">
        <v>206</v>
      </c>
      <c r="C59" s="169"/>
      <c r="D59" s="255"/>
      <c r="E59" s="105"/>
    </row>
    <row r="60" spans="1:5" s="52" customFormat="1" ht="12" customHeight="1" thickBot="1">
      <c r="A60" s="25" t="s">
        <v>13</v>
      </c>
      <c r="B60" s="109" t="s">
        <v>209</v>
      </c>
      <c r="C60" s="166">
        <f>SUM(C61:C63)</f>
        <v>0</v>
      </c>
      <c r="D60" s="252">
        <f>SUM(D61:D63)</f>
        <v>20000000</v>
      </c>
      <c r="E60" s="102">
        <f>SUM(E61:E63)</f>
        <v>20000000</v>
      </c>
    </row>
    <row r="61" spans="1:5" s="52" customFormat="1" ht="12" customHeight="1">
      <c r="A61" s="196" t="s">
        <v>120</v>
      </c>
      <c r="B61" s="179" t="s">
        <v>211</v>
      </c>
      <c r="C61" s="170"/>
      <c r="D61" s="286"/>
      <c r="E61" s="106"/>
    </row>
    <row r="62" spans="1:5" s="52" customFormat="1" ht="12" customHeight="1">
      <c r="A62" s="197" t="s">
        <v>121</v>
      </c>
      <c r="B62" s="180" t="s">
        <v>330</v>
      </c>
      <c r="C62" s="170"/>
      <c r="D62" s="286"/>
      <c r="E62" s="106"/>
    </row>
    <row r="63" spans="1:5" s="52" customFormat="1" ht="12" customHeight="1">
      <c r="A63" s="197" t="s">
        <v>144</v>
      </c>
      <c r="B63" s="180" t="s">
        <v>212</v>
      </c>
      <c r="C63" s="170"/>
      <c r="D63" s="286">
        <v>20000000</v>
      </c>
      <c r="E63" s="106">
        <v>20000000</v>
      </c>
    </row>
    <row r="64" spans="1:5" s="52" customFormat="1" ht="12" customHeight="1" thickBot="1">
      <c r="A64" s="198" t="s">
        <v>210</v>
      </c>
      <c r="B64" s="181" t="s">
        <v>213</v>
      </c>
      <c r="C64" s="170"/>
      <c r="D64" s="286"/>
      <c r="E64" s="106"/>
    </row>
    <row r="65" spans="1:5" s="52" customFormat="1" ht="12" customHeight="1" thickBot="1">
      <c r="A65" s="25" t="s">
        <v>14</v>
      </c>
      <c r="B65" s="19" t="s">
        <v>214</v>
      </c>
      <c r="C65" s="172">
        <f>+C8+C15+C22+C29+C37+C49+C55+C60</f>
        <v>0</v>
      </c>
      <c r="D65" s="256">
        <f>+D8+D15+D22+D29+D37+D49+D55+D60</f>
        <v>24900000</v>
      </c>
      <c r="E65" s="208">
        <f>+E8+E15+E22+E29+E37+E49+E55+E60</f>
        <v>24900000</v>
      </c>
    </row>
    <row r="66" spans="1:5" s="52" customFormat="1" ht="12" customHeight="1" thickBot="1">
      <c r="A66" s="199" t="s">
        <v>299</v>
      </c>
      <c r="B66" s="109" t="s">
        <v>216</v>
      </c>
      <c r="C66" s="166">
        <f>SUM(C67:C69)</f>
        <v>0</v>
      </c>
      <c r="D66" s="252">
        <f>SUM(D67:D69)</f>
        <v>0</v>
      </c>
      <c r="E66" s="102">
        <f>SUM(E67:E69)</f>
        <v>0</v>
      </c>
    </row>
    <row r="67" spans="1:5" s="52" customFormat="1" ht="12" customHeight="1">
      <c r="A67" s="196" t="s">
        <v>244</v>
      </c>
      <c r="B67" s="179" t="s">
        <v>217</v>
      </c>
      <c r="C67" s="170"/>
      <c r="D67" s="286"/>
      <c r="E67" s="106"/>
    </row>
    <row r="68" spans="1:5" s="52" customFormat="1" ht="12" customHeight="1">
      <c r="A68" s="197" t="s">
        <v>253</v>
      </c>
      <c r="B68" s="180" t="s">
        <v>218</v>
      </c>
      <c r="C68" s="170"/>
      <c r="D68" s="286"/>
      <c r="E68" s="106"/>
    </row>
    <row r="69" spans="1:5" s="52" customFormat="1" ht="12" customHeight="1" thickBot="1">
      <c r="A69" s="198" t="s">
        <v>254</v>
      </c>
      <c r="B69" s="182" t="s">
        <v>219</v>
      </c>
      <c r="C69" s="170"/>
      <c r="D69" s="289"/>
      <c r="E69" s="106"/>
    </row>
    <row r="70" spans="1:5" s="52" customFormat="1" ht="12" customHeight="1" thickBot="1">
      <c r="A70" s="199" t="s">
        <v>220</v>
      </c>
      <c r="B70" s="109" t="s">
        <v>221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2" customFormat="1" ht="12" customHeight="1">
      <c r="A71" s="196" t="s">
        <v>98</v>
      </c>
      <c r="B71" s="307" t="s">
        <v>222</v>
      </c>
      <c r="C71" s="170"/>
      <c r="D71" s="170"/>
      <c r="E71" s="106"/>
    </row>
    <row r="72" spans="1:5" s="52" customFormat="1" ht="12" customHeight="1">
      <c r="A72" s="197" t="s">
        <v>99</v>
      </c>
      <c r="B72" s="307" t="s">
        <v>490</v>
      </c>
      <c r="C72" s="170"/>
      <c r="D72" s="170"/>
      <c r="E72" s="106"/>
    </row>
    <row r="73" spans="1:5" s="52" customFormat="1" ht="12" customHeight="1">
      <c r="A73" s="197" t="s">
        <v>245</v>
      </c>
      <c r="B73" s="307" t="s">
        <v>223</v>
      </c>
      <c r="C73" s="170"/>
      <c r="D73" s="170"/>
      <c r="E73" s="106"/>
    </row>
    <row r="74" spans="1:5" s="52" customFormat="1" ht="12" customHeight="1" thickBot="1">
      <c r="A74" s="198" t="s">
        <v>246</v>
      </c>
      <c r="B74" s="308" t="s">
        <v>491</v>
      </c>
      <c r="C74" s="170"/>
      <c r="D74" s="170"/>
      <c r="E74" s="106"/>
    </row>
    <row r="75" spans="1:5" s="52" customFormat="1" ht="12" customHeight="1" thickBot="1">
      <c r="A75" s="199" t="s">
        <v>224</v>
      </c>
      <c r="B75" s="109" t="s">
        <v>225</v>
      </c>
      <c r="C75" s="166">
        <f>SUM(C76:C77)</f>
        <v>5500000</v>
      </c>
      <c r="D75" s="166">
        <f>SUM(D76:D77)</f>
        <v>15275190</v>
      </c>
      <c r="E75" s="102">
        <f>SUM(E76:E77)</f>
        <v>14914969</v>
      </c>
    </row>
    <row r="76" spans="1:5" s="52" customFormat="1" ht="12" customHeight="1">
      <c r="A76" s="196" t="s">
        <v>247</v>
      </c>
      <c r="B76" s="179" t="s">
        <v>226</v>
      </c>
      <c r="C76" s="170">
        <v>5500000</v>
      </c>
      <c r="D76" s="170">
        <v>15275190</v>
      </c>
      <c r="E76" s="106">
        <v>14914969</v>
      </c>
    </row>
    <row r="77" spans="1:5" s="52" customFormat="1" ht="12" customHeight="1" thickBot="1">
      <c r="A77" s="198" t="s">
        <v>248</v>
      </c>
      <c r="B77" s="181" t="s">
        <v>227</v>
      </c>
      <c r="C77" s="170"/>
      <c r="D77" s="170"/>
      <c r="E77" s="106"/>
    </row>
    <row r="78" spans="1:5" s="51" customFormat="1" ht="12" customHeight="1" thickBot="1">
      <c r="A78" s="199" t="s">
        <v>228</v>
      </c>
      <c r="B78" s="109" t="s">
        <v>229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2" customFormat="1" ht="12" customHeight="1">
      <c r="A79" s="196" t="s">
        <v>249</v>
      </c>
      <c r="B79" s="179" t="s">
        <v>230</v>
      </c>
      <c r="C79" s="170"/>
      <c r="D79" s="170"/>
      <c r="E79" s="106"/>
    </row>
    <row r="80" spans="1:5" s="52" customFormat="1" ht="12" customHeight="1">
      <c r="A80" s="197" t="s">
        <v>250</v>
      </c>
      <c r="B80" s="180" t="s">
        <v>231</v>
      </c>
      <c r="C80" s="170"/>
      <c r="D80" s="170"/>
      <c r="E80" s="106"/>
    </row>
    <row r="81" spans="1:5" s="52" customFormat="1" ht="12" customHeight="1" thickBot="1">
      <c r="A81" s="198" t="s">
        <v>251</v>
      </c>
      <c r="B81" s="181" t="s">
        <v>492</v>
      </c>
      <c r="C81" s="170"/>
      <c r="D81" s="170"/>
      <c r="E81" s="106"/>
    </row>
    <row r="82" spans="1:5" s="52" customFormat="1" ht="12" customHeight="1" thickBot="1">
      <c r="A82" s="199" t="s">
        <v>232</v>
      </c>
      <c r="B82" s="109" t="s">
        <v>252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2" customFormat="1" ht="12" customHeight="1">
      <c r="A83" s="200" t="s">
        <v>233</v>
      </c>
      <c r="B83" s="179" t="s">
        <v>234</v>
      </c>
      <c r="C83" s="170"/>
      <c r="D83" s="170"/>
      <c r="E83" s="106"/>
    </row>
    <row r="84" spans="1:5" s="52" customFormat="1" ht="12" customHeight="1">
      <c r="A84" s="201" t="s">
        <v>235</v>
      </c>
      <c r="B84" s="180" t="s">
        <v>236</v>
      </c>
      <c r="C84" s="170"/>
      <c r="D84" s="170"/>
      <c r="E84" s="106"/>
    </row>
    <row r="85" spans="1:5" s="52" customFormat="1" ht="12" customHeight="1">
      <c r="A85" s="201" t="s">
        <v>237</v>
      </c>
      <c r="B85" s="180" t="s">
        <v>238</v>
      </c>
      <c r="C85" s="170"/>
      <c r="D85" s="170"/>
      <c r="E85" s="106"/>
    </row>
    <row r="86" spans="1:5" s="51" customFormat="1" ht="12" customHeight="1" thickBot="1">
      <c r="A86" s="202" t="s">
        <v>239</v>
      </c>
      <c r="B86" s="181" t="s">
        <v>240</v>
      </c>
      <c r="C86" s="170"/>
      <c r="D86" s="170"/>
      <c r="E86" s="106"/>
    </row>
    <row r="87" spans="1:5" s="51" customFormat="1" ht="12" customHeight="1" thickBot="1">
      <c r="A87" s="199" t="s">
        <v>241</v>
      </c>
      <c r="B87" s="109" t="s">
        <v>376</v>
      </c>
      <c r="C87" s="222"/>
      <c r="D87" s="222"/>
      <c r="E87" s="223"/>
    </row>
    <row r="88" spans="1:5" s="51" customFormat="1" ht="12" customHeight="1" thickBot="1">
      <c r="A88" s="199" t="s">
        <v>394</v>
      </c>
      <c r="B88" s="109" t="s">
        <v>242</v>
      </c>
      <c r="C88" s="222"/>
      <c r="D88" s="222"/>
      <c r="E88" s="223"/>
    </row>
    <row r="89" spans="1:5" s="51" customFormat="1" ht="12" customHeight="1" thickBot="1">
      <c r="A89" s="199" t="s">
        <v>395</v>
      </c>
      <c r="B89" s="186" t="s">
        <v>379</v>
      </c>
      <c r="C89" s="172">
        <f>+C66+C70+C75+C78+C82+C88+C87</f>
        <v>5500000</v>
      </c>
      <c r="D89" s="172">
        <f>+D66+D70+D75+D78+D82+D88+D87</f>
        <v>15275190</v>
      </c>
      <c r="E89" s="208">
        <f>+E66+E70+E75+E78+E82+E88+E87</f>
        <v>14914969</v>
      </c>
    </row>
    <row r="90" spans="1:5" s="51" customFormat="1" ht="12" customHeight="1" thickBot="1">
      <c r="A90" s="203" t="s">
        <v>396</v>
      </c>
      <c r="B90" s="187" t="s">
        <v>397</v>
      </c>
      <c r="C90" s="172">
        <f>+C65+C89</f>
        <v>5500000</v>
      </c>
      <c r="D90" s="172">
        <f>+D65+D89</f>
        <v>40175190</v>
      </c>
      <c r="E90" s="208">
        <f>+E65+E89</f>
        <v>39814969</v>
      </c>
    </row>
    <row r="91" spans="1:3" s="52" customFormat="1" ht="15" customHeight="1" thickBot="1">
      <c r="A91" s="86"/>
      <c r="B91" s="87"/>
      <c r="C91" s="148"/>
    </row>
    <row r="92" spans="1:5" s="45" customFormat="1" ht="16.5" customHeight="1" thickBot="1">
      <c r="A92" s="847" t="s">
        <v>40</v>
      </c>
      <c r="B92" s="848"/>
      <c r="C92" s="848"/>
      <c r="D92" s="848"/>
      <c r="E92" s="849"/>
    </row>
    <row r="93" spans="1:5" s="53" customFormat="1" ht="12" customHeight="1" thickBot="1">
      <c r="A93" s="173" t="s">
        <v>6</v>
      </c>
      <c r="B93" s="24" t="s">
        <v>401</v>
      </c>
      <c r="C93" s="165">
        <f>+C94+C95+C96+C97+C98+C111</f>
        <v>5500000</v>
      </c>
      <c r="D93" s="165">
        <f>+D94+D95+D96+D97+D98+D111</f>
        <v>5500000</v>
      </c>
      <c r="E93" s="235">
        <f>+E94+E95+E96+E97+E98+E111</f>
        <v>5166619</v>
      </c>
    </row>
    <row r="94" spans="1:5" ht="12" customHeight="1">
      <c r="A94" s="204" t="s">
        <v>63</v>
      </c>
      <c r="B94" s="8" t="s">
        <v>35</v>
      </c>
      <c r="C94" s="242"/>
      <c r="D94" s="242"/>
      <c r="E94" s="236"/>
    </row>
    <row r="95" spans="1:5" ht="12" customHeight="1">
      <c r="A95" s="197" t="s">
        <v>64</v>
      </c>
      <c r="B95" s="6" t="s">
        <v>122</v>
      </c>
      <c r="C95" s="167"/>
      <c r="D95" s="167"/>
      <c r="E95" s="103"/>
    </row>
    <row r="96" spans="1:5" ht="12" customHeight="1">
      <c r="A96" s="197" t="s">
        <v>65</v>
      </c>
      <c r="B96" s="6" t="s">
        <v>90</v>
      </c>
      <c r="C96" s="169"/>
      <c r="D96" s="167"/>
      <c r="E96" s="105"/>
    </row>
    <row r="97" spans="1:5" ht="12" customHeight="1">
      <c r="A97" s="197" t="s">
        <v>66</v>
      </c>
      <c r="B97" s="9" t="s">
        <v>123</v>
      </c>
      <c r="C97" s="169"/>
      <c r="D97" s="255"/>
      <c r="E97" s="105"/>
    </row>
    <row r="98" spans="1:5" ht="12" customHeight="1">
      <c r="A98" s="197" t="s">
        <v>75</v>
      </c>
      <c r="B98" s="17" t="s">
        <v>124</v>
      </c>
      <c r="C98" s="167">
        <v>5500000</v>
      </c>
      <c r="D98" s="254">
        <v>5500000</v>
      </c>
      <c r="E98" s="103">
        <v>5166619</v>
      </c>
    </row>
    <row r="99" spans="1:5" ht="12" customHeight="1">
      <c r="A99" s="197" t="s">
        <v>67</v>
      </c>
      <c r="B99" s="6" t="s">
        <v>398</v>
      </c>
      <c r="C99" s="169"/>
      <c r="D99" s="255"/>
      <c r="E99" s="105"/>
    </row>
    <row r="100" spans="1:5" ht="12" customHeight="1">
      <c r="A100" s="197" t="s">
        <v>68</v>
      </c>
      <c r="B100" s="62" t="s">
        <v>342</v>
      </c>
      <c r="C100" s="169"/>
      <c r="D100" s="255"/>
      <c r="E100" s="105"/>
    </row>
    <row r="101" spans="1:5" ht="12" customHeight="1">
      <c r="A101" s="197" t="s">
        <v>76</v>
      </c>
      <c r="B101" s="62" t="s">
        <v>341</v>
      </c>
      <c r="C101" s="169"/>
      <c r="D101" s="255"/>
      <c r="E101" s="105"/>
    </row>
    <row r="102" spans="1:5" ht="12" customHeight="1">
      <c r="A102" s="197" t="s">
        <v>77</v>
      </c>
      <c r="B102" s="62" t="s">
        <v>258</v>
      </c>
      <c r="C102" s="169"/>
      <c r="D102" s="255"/>
      <c r="E102" s="105"/>
    </row>
    <row r="103" spans="1:5" ht="12" customHeight="1">
      <c r="A103" s="197" t="s">
        <v>78</v>
      </c>
      <c r="B103" s="63" t="s">
        <v>259</v>
      </c>
      <c r="C103" s="169"/>
      <c r="D103" s="255"/>
      <c r="E103" s="105"/>
    </row>
    <row r="104" spans="1:5" ht="12" customHeight="1">
      <c r="A104" s="197" t="s">
        <v>79</v>
      </c>
      <c r="B104" s="63" t="s">
        <v>260</v>
      </c>
      <c r="C104" s="169"/>
      <c r="D104" s="255"/>
      <c r="E104" s="105"/>
    </row>
    <row r="105" spans="1:5" ht="12" customHeight="1">
      <c r="A105" s="197" t="s">
        <v>81</v>
      </c>
      <c r="B105" s="62" t="s">
        <v>261</v>
      </c>
      <c r="C105" s="169"/>
      <c r="D105" s="255"/>
      <c r="E105" s="105"/>
    </row>
    <row r="106" spans="1:5" ht="12" customHeight="1">
      <c r="A106" s="197" t="s">
        <v>125</v>
      </c>
      <c r="B106" s="62" t="s">
        <v>262</v>
      </c>
      <c r="C106" s="169"/>
      <c r="D106" s="255"/>
      <c r="E106" s="105"/>
    </row>
    <row r="107" spans="1:5" ht="12" customHeight="1">
      <c r="A107" s="197" t="s">
        <v>256</v>
      </c>
      <c r="B107" s="63" t="s">
        <v>263</v>
      </c>
      <c r="C107" s="167"/>
      <c r="D107" s="255"/>
      <c r="E107" s="105"/>
    </row>
    <row r="108" spans="1:5" ht="12" customHeight="1">
      <c r="A108" s="205" t="s">
        <v>257</v>
      </c>
      <c r="B108" s="64" t="s">
        <v>264</v>
      </c>
      <c r="C108" s="169"/>
      <c r="D108" s="255"/>
      <c r="E108" s="105"/>
    </row>
    <row r="109" spans="1:5" ht="12" customHeight="1">
      <c r="A109" s="197" t="s">
        <v>339</v>
      </c>
      <c r="B109" s="64" t="s">
        <v>265</v>
      </c>
      <c r="C109" s="169"/>
      <c r="D109" s="255"/>
      <c r="E109" s="105"/>
    </row>
    <row r="110" spans="1:5" ht="12" customHeight="1">
      <c r="A110" s="197" t="s">
        <v>340</v>
      </c>
      <c r="B110" s="63" t="s">
        <v>266</v>
      </c>
      <c r="C110" s="167">
        <v>5500000</v>
      </c>
      <c r="D110" s="254">
        <v>5500000</v>
      </c>
      <c r="E110" s="103">
        <v>5166619</v>
      </c>
    </row>
    <row r="111" spans="1:5" ht="12" customHeight="1">
      <c r="A111" s="197" t="s">
        <v>344</v>
      </c>
      <c r="B111" s="9" t="s">
        <v>36</v>
      </c>
      <c r="C111" s="167"/>
      <c r="D111" s="254"/>
      <c r="E111" s="103"/>
    </row>
    <row r="112" spans="1:5" ht="12" customHeight="1">
      <c r="A112" s="198" t="s">
        <v>345</v>
      </c>
      <c r="B112" s="6" t="s">
        <v>399</v>
      </c>
      <c r="C112" s="169"/>
      <c r="D112" s="255"/>
      <c r="E112" s="105"/>
    </row>
    <row r="113" spans="1:5" ht="12" customHeight="1" thickBot="1">
      <c r="A113" s="206" t="s">
        <v>346</v>
      </c>
      <c r="B113" s="65" t="s">
        <v>400</v>
      </c>
      <c r="C113" s="243"/>
      <c r="D113" s="292"/>
      <c r="E113" s="237"/>
    </row>
    <row r="114" spans="1:5" ht="12" customHeight="1" thickBot="1">
      <c r="A114" s="25" t="s">
        <v>7</v>
      </c>
      <c r="B114" s="23" t="s">
        <v>267</v>
      </c>
      <c r="C114" s="166">
        <f>+C115+C117+C119</f>
        <v>0</v>
      </c>
      <c r="D114" s="252">
        <f>+D115+D117+D119</f>
        <v>34675190</v>
      </c>
      <c r="E114" s="102">
        <f>+E115+E117+E119</f>
        <v>34648350</v>
      </c>
    </row>
    <row r="115" spans="1:5" ht="12" customHeight="1">
      <c r="A115" s="196" t="s">
        <v>69</v>
      </c>
      <c r="B115" s="6" t="s">
        <v>143</v>
      </c>
      <c r="C115" s="168"/>
      <c r="D115" s="253"/>
      <c r="E115" s="104"/>
    </row>
    <row r="116" spans="1:5" ht="12" customHeight="1">
      <c r="A116" s="196" t="s">
        <v>70</v>
      </c>
      <c r="B116" s="10" t="s">
        <v>271</v>
      </c>
      <c r="C116" s="168"/>
      <c r="D116" s="253"/>
      <c r="E116" s="104"/>
    </row>
    <row r="117" spans="1:5" ht="12" customHeight="1">
      <c r="A117" s="196" t="s">
        <v>71</v>
      </c>
      <c r="B117" s="10" t="s">
        <v>126</v>
      </c>
      <c r="C117" s="167"/>
      <c r="D117" s="254"/>
      <c r="E117" s="103"/>
    </row>
    <row r="118" spans="1:5" ht="12" customHeight="1">
      <c r="A118" s="196" t="s">
        <v>72</v>
      </c>
      <c r="B118" s="10" t="s">
        <v>272</v>
      </c>
      <c r="C118" s="167"/>
      <c r="D118" s="254"/>
      <c r="E118" s="103"/>
    </row>
    <row r="119" spans="1:5" ht="12" customHeight="1">
      <c r="A119" s="196" t="s">
        <v>73</v>
      </c>
      <c r="B119" s="111" t="s">
        <v>145</v>
      </c>
      <c r="C119" s="167">
        <f>SUM(C120:C127)</f>
        <v>0</v>
      </c>
      <c r="D119" s="167">
        <f>SUM(D120:D127)</f>
        <v>34675190</v>
      </c>
      <c r="E119" s="167">
        <f>SUM(E120:E127)</f>
        <v>34648350</v>
      </c>
    </row>
    <row r="120" spans="1:5" ht="12" customHeight="1">
      <c r="A120" s="196" t="s">
        <v>80</v>
      </c>
      <c r="B120" s="110" t="s">
        <v>331</v>
      </c>
      <c r="C120" s="167"/>
      <c r="D120" s="254"/>
      <c r="E120" s="103"/>
    </row>
    <row r="121" spans="1:5" ht="12" customHeight="1">
      <c r="A121" s="196" t="s">
        <v>82</v>
      </c>
      <c r="B121" s="175" t="s">
        <v>277</v>
      </c>
      <c r="C121" s="167"/>
      <c r="D121" s="254"/>
      <c r="E121" s="103"/>
    </row>
    <row r="122" spans="1:5" ht="12" customHeight="1">
      <c r="A122" s="196" t="s">
        <v>127</v>
      </c>
      <c r="B122" s="63" t="s">
        <v>260</v>
      </c>
      <c r="C122" s="167"/>
      <c r="D122" s="254"/>
      <c r="E122" s="103"/>
    </row>
    <row r="123" spans="1:5" ht="12" customHeight="1">
      <c r="A123" s="196" t="s">
        <v>128</v>
      </c>
      <c r="B123" s="63" t="s">
        <v>276</v>
      </c>
      <c r="C123" s="167"/>
      <c r="D123" s="254"/>
      <c r="E123" s="103"/>
    </row>
    <row r="124" spans="1:5" ht="12" customHeight="1">
      <c r="A124" s="196" t="s">
        <v>129</v>
      </c>
      <c r="B124" s="63" t="s">
        <v>275</v>
      </c>
      <c r="C124" s="167"/>
      <c r="D124" s="254"/>
      <c r="E124" s="103"/>
    </row>
    <row r="125" spans="1:5" ht="12" customHeight="1">
      <c r="A125" s="196" t="s">
        <v>268</v>
      </c>
      <c r="B125" s="63" t="s">
        <v>263</v>
      </c>
      <c r="C125" s="167"/>
      <c r="D125" s="254">
        <v>34558350</v>
      </c>
      <c r="E125" s="254">
        <v>34558350</v>
      </c>
    </row>
    <row r="126" spans="1:5" ht="12" customHeight="1">
      <c r="A126" s="196" t="s">
        <v>269</v>
      </c>
      <c r="B126" s="63" t="s">
        <v>274</v>
      </c>
      <c r="C126" s="167"/>
      <c r="D126" s="254"/>
      <c r="E126" s="103"/>
    </row>
    <row r="127" spans="1:5" ht="12" customHeight="1" thickBot="1">
      <c r="A127" s="205" t="s">
        <v>270</v>
      </c>
      <c r="B127" s="63" t="s">
        <v>273</v>
      </c>
      <c r="C127" s="169"/>
      <c r="D127" s="255">
        <v>116840</v>
      </c>
      <c r="E127" s="105">
        <v>90000</v>
      </c>
    </row>
    <row r="128" spans="1:5" ht="12" customHeight="1" thickBot="1">
      <c r="A128" s="25" t="s">
        <v>8</v>
      </c>
      <c r="B128" s="56" t="s">
        <v>349</v>
      </c>
      <c r="C128" s="166">
        <f>+C93+C114</f>
        <v>5500000</v>
      </c>
      <c r="D128" s="252">
        <f>+D93+D114</f>
        <v>40175190</v>
      </c>
      <c r="E128" s="102">
        <f>+E93+E114</f>
        <v>39814969</v>
      </c>
    </row>
    <row r="129" spans="1:5" ht="12" customHeight="1" thickBot="1">
      <c r="A129" s="25" t="s">
        <v>9</v>
      </c>
      <c r="B129" s="56" t="s">
        <v>350</v>
      </c>
      <c r="C129" s="166">
        <f>+C130+C131+C132</f>
        <v>0</v>
      </c>
      <c r="D129" s="252">
        <f>+D130+D131+D132</f>
        <v>0</v>
      </c>
      <c r="E129" s="102">
        <f>+E130+E131+E132</f>
        <v>0</v>
      </c>
    </row>
    <row r="130" spans="1:5" s="53" customFormat="1" ht="12" customHeight="1">
      <c r="A130" s="196" t="s">
        <v>177</v>
      </c>
      <c r="B130" s="7" t="s">
        <v>404</v>
      </c>
      <c r="C130" s="167"/>
      <c r="D130" s="254"/>
      <c r="E130" s="103"/>
    </row>
    <row r="131" spans="1:5" ht="12" customHeight="1">
      <c r="A131" s="196" t="s">
        <v>178</v>
      </c>
      <c r="B131" s="7" t="s">
        <v>358</v>
      </c>
      <c r="C131" s="167"/>
      <c r="D131" s="254"/>
      <c r="E131" s="103"/>
    </row>
    <row r="132" spans="1:5" ht="12" customHeight="1" thickBot="1">
      <c r="A132" s="205" t="s">
        <v>179</v>
      </c>
      <c r="B132" s="5" t="s">
        <v>403</v>
      </c>
      <c r="C132" s="167"/>
      <c r="D132" s="254"/>
      <c r="E132" s="103"/>
    </row>
    <row r="133" spans="1:5" ht="12" customHeight="1" thickBot="1">
      <c r="A133" s="25" t="s">
        <v>10</v>
      </c>
      <c r="B133" s="56" t="s">
        <v>351</v>
      </c>
      <c r="C133" s="166">
        <f>+C134+C135+C136+C137+C138+C139</f>
        <v>0</v>
      </c>
      <c r="D133" s="252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56</v>
      </c>
      <c r="B134" s="7" t="s">
        <v>360</v>
      </c>
      <c r="C134" s="167"/>
      <c r="D134" s="254"/>
      <c r="E134" s="103"/>
    </row>
    <row r="135" spans="1:5" ht="12" customHeight="1">
      <c r="A135" s="196" t="s">
        <v>57</v>
      </c>
      <c r="B135" s="7" t="s">
        <v>352</v>
      </c>
      <c r="C135" s="167"/>
      <c r="D135" s="254"/>
      <c r="E135" s="103"/>
    </row>
    <row r="136" spans="1:5" ht="12" customHeight="1">
      <c r="A136" s="196" t="s">
        <v>58</v>
      </c>
      <c r="B136" s="7" t="s">
        <v>353</v>
      </c>
      <c r="C136" s="167"/>
      <c r="D136" s="254"/>
      <c r="E136" s="103"/>
    </row>
    <row r="137" spans="1:5" ht="12" customHeight="1">
      <c r="A137" s="196" t="s">
        <v>114</v>
      </c>
      <c r="B137" s="7" t="s">
        <v>402</v>
      </c>
      <c r="C137" s="167"/>
      <c r="D137" s="254"/>
      <c r="E137" s="103"/>
    </row>
    <row r="138" spans="1:5" ht="12" customHeight="1">
      <c r="A138" s="196" t="s">
        <v>115</v>
      </c>
      <c r="B138" s="7" t="s">
        <v>355</v>
      </c>
      <c r="C138" s="167"/>
      <c r="D138" s="254"/>
      <c r="E138" s="103"/>
    </row>
    <row r="139" spans="1:5" s="53" customFormat="1" ht="12" customHeight="1" thickBot="1">
      <c r="A139" s="205" t="s">
        <v>116</v>
      </c>
      <c r="B139" s="5" t="s">
        <v>356</v>
      </c>
      <c r="C139" s="167"/>
      <c r="D139" s="254"/>
      <c r="E139" s="103"/>
    </row>
    <row r="140" spans="1:11" ht="12" customHeight="1" thickBot="1">
      <c r="A140" s="25" t="s">
        <v>11</v>
      </c>
      <c r="B140" s="56" t="s">
        <v>417</v>
      </c>
      <c r="C140" s="172">
        <f>+C141+C142+C144+C145+C143</f>
        <v>0</v>
      </c>
      <c r="D140" s="256">
        <f>+D141+D142+D144+D145+D143</f>
        <v>0</v>
      </c>
      <c r="E140" s="208">
        <f>+E141+E142+E144+E145+E143</f>
        <v>0</v>
      </c>
      <c r="K140" s="95"/>
    </row>
    <row r="141" spans="1:5" ht="12.75">
      <c r="A141" s="196" t="s">
        <v>59</v>
      </c>
      <c r="B141" s="7" t="s">
        <v>278</v>
      </c>
      <c r="C141" s="167"/>
      <c r="D141" s="254"/>
      <c r="E141" s="103"/>
    </row>
    <row r="142" spans="1:5" ht="12" customHeight="1">
      <c r="A142" s="196" t="s">
        <v>60</v>
      </c>
      <c r="B142" s="7" t="s">
        <v>279</v>
      </c>
      <c r="C142" s="167"/>
      <c r="D142" s="254"/>
      <c r="E142" s="103"/>
    </row>
    <row r="143" spans="1:5" ht="12" customHeight="1">
      <c r="A143" s="196" t="s">
        <v>195</v>
      </c>
      <c r="B143" s="7" t="s">
        <v>416</v>
      </c>
      <c r="C143" s="167"/>
      <c r="D143" s="254"/>
      <c r="E143" s="103"/>
    </row>
    <row r="144" spans="1:5" s="53" customFormat="1" ht="12" customHeight="1">
      <c r="A144" s="196" t="s">
        <v>196</v>
      </c>
      <c r="B144" s="7" t="s">
        <v>365</v>
      </c>
      <c r="C144" s="167"/>
      <c r="D144" s="254"/>
      <c r="E144" s="103"/>
    </row>
    <row r="145" spans="1:5" s="53" customFormat="1" ht="12" customHeight="1" thickBot="1">
      <c r="A145" s="205" t="s">
        <v>197</v>
      </c>
      <c r="B145" s="5" t="s">
        <v>295</v>
      </c>
      <c r="C145" s="167"/>
      <c r="D145" s="254"/>
      <c r="E145" s="103"/>
    </row>
    <row r="146" spans="1:5" s="53" customFormat="1" ht="12" customHeight="1" thickBot="1">
      <c r="A146" s="25" t="s">
        <v>12</v>
      </c>
      <c r="B146" s="56" t="s">
        <v>366</v>
      </c>
      <c r="C146" s="245">
        <f>+C147+C148+C149+C150+C151</f>
        <v>0</v>
      </c>
      <c r="D146" s="257">
        <f>+D147+D148+D149+D150+D151</f>
        <v>0</v>
      </c>
      <c r="E146" s="239">
        <f>+E147+E148+E149+E150+E151</f>
        <v>0</v>
      </c>
    </row>
    <row r="147" spans="1:5" s="53" customFormat="1" ht="12" customHeight="1">
      <c r="A147" s="196" t="s">
        <v>61</v>
      </c>
      <c r="B147" s="7" t="s">
        <v>361</v>
      </c>
      <c r="C147" s="167"/>
      <c r="D147" s="254"/>
      <c r="E147" s="103"/>
    </row>
    <row r="148" spans="1:5" s="53" customFormat="1" ht="12" customHeight="1">
      <c r="A148" s="196" t="s">
        <v>62</v>
      </c>
      <c r="B148" s="7" t="s">
        <v>368</v>
      </c>
      <c r="C148" s="167"/>
      <c r="D148" s="254"/>
      <c r="E148" s="103"/>
    </row>
    <row r="149" spans="1:5" s="53" customFormat="1" ht="12" customHeight="1">
      <c r="A149" s="196" t="s">
        <v>207</v>
      </c>
      <c r="B149" s="7" t="s">
        <v>363</v>
      </c>
      <c r="C149" s="167"/>
      <c r="D149" s="254"/>
      <c r="E149" s="103"/>
    </row>
    <row r="150" spans="1:5" s="53" customFormat="1" ht="12" customHeight="1">
      <c r="A150" s="196" t="s">
        <v>208</v>
      </c>
      <c r="B150" s="7" t="s">
        <v>405</v>
      </c>
      <c r="C150" s="167"/>
      <c r="D150" s="254"/>
      <c r="E150" s="103"/>
    </row>
    <row r="151" spans="1:5" ht="12.75" customHeight="1" thickBot="1">
      <c r="A151" s="205" t="s">
        <v>367</v>
      </c>
      <c r="B151" s="5" t="s">
        <v>370</v>
      </c>
      <c r="C151" s="169"/>
      <c r="D151" s="255"/>
      <c r="E151" s="105"/>
    </row>
    <row r="152" spans="1:5" ht="12.75" customHeight="1" thickBot="1">
      <c r="A152" s="234" t="s">
        <v>13</v>
      </c>
      <c r="B152" s="56" t="s">
        <v>371</v>
      </c>
      <c r="C152" s="245"/>
      <c r="D152" s="257"/>
      <c r="E152" s="239"/>
    </row>
    <row r="153" spans="1:5" ht="12.75" customHeight="1" thickBot="1">
      <c r="A153" s="234" t="s">
        <v>14</v>
      </c>
      <c r="B153" s="56" t="s">
        <v>372</v>
      </c>
      <c r="C153" s="245"/>
      <c r="D153" s="257"/>
      <c r="E153" s="239"/>
    </row>
    <row r="154" spans="1:5" ht="12" customHeight="1" thickBot="1">
      <c r="A154" s="25" t="s">
        <v>15</v>
      </c>
      <c r="B154" s="56" t="s">
        <v>374</v>
      </c>
      <c r="C154" s="247">
        <f>+C129+C133+C140+C146+C152+C153</f>
        <v>0</v>
      </c>
      <c r="D154" s="259">
        <f>+D129+D133+D140+D146+D152+D153</f>
        <v>0</v>
      </c>
      <c r="E154" s="241">
        <f>+E129+E133+E140+E146+E152+E153</f>
        <v>0</v>
      </c>
    </row>
    <row r="155" spans="1:5" ht="15" customHeight="1" thickBot="1">
      <c r="A155" s="207" t="s">
        <v>16</v>
      </c>
      <c r="B155" s="153" t="s">
        <v>373</v>
      </c>
      <c r="C155" s="247">
        <f>+C128+C154</f>
        <v>5500000</v>
      </c>
      <c r="D155" s="259">
        <f>+D128+D154</f>
        <v>40175190</v>
      </c>
      <c r="E155" s="241">
        <f>+E128+E154</f>
        <v>39814969</v>
      </c>
    </row>
    <row r="156" spans="1:5" ht="13.5" thickBot="1">
      <c r="A156" s="156"/>
      <c r="B156" s="157"/>
      <c r="C156" s="587">
        <f>C90-C155</f>
        <v>0</v>
      </c>
      <c r="D156" s="587">
        <f>D90-D155</f>
        <v>0</v>
      </c>
      <c r="E156" s="158"/>
    </row>
    <row r="157" spans="1:5" ht="15" customHeight="1" thickBot="1">
      <c r="A157" s="301" t="s">
        <v>485</v>
      </c>
      <c r="B157" s="302"/>
      <c r="C157" s="291"/>
      <c r="D157" s="291"/>
      <c r="E157" s="290"/>
    </row>
    <row r="158" spans="1:5" ht="14.25" customHeight="1" thickBot="1">
      <c r="A158" s="303" t="s">
        <v>486</v>
      </c>
      <c r="B158" s="304"/>
      <c r="C158" s="291"/>
      <c r="D158" s="291"/>
      <c r="E158" s="290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21">
      <selection activeCell="C157" sqref="C157:E158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3"/>
      <c r="B1" s="851" t="str">
        <f>CONCATENATE("6.1.3. melléklet ",Z_ALAPADATOK!A7," ",Z_ALAPADATOK!B7," ",Z_ALAPADATOK!C7," ",Z_ALAPADATOK!D7," ",Z_ALAPADATOK!E7," ",Z_ALAPADATOK!F7," ",Z_ALAPADATOK!G7," ",Z_ALAPADATOK!H7)</f>
        <v>6.1.3. melléklet a 9 / 2020. ( VII.10. ) önkormányzati rendelethez</v>
      </c>
      <c r="C1" s="852"/>
      <c r="D1" s="852"/>
      <c r="E1" s="852"/>
    </row>
    <row r="2" spans="1:5" s="49" customFormat="1" ht="21" customHeight="1" thickBot="1">
      <c r="A2" s="332" t="s">
        <v>44</v>
      </c>
      <c r="B2" s="850" t="str">
        <f>CONCATENATE(Z_ALAPADATOK!A3)</f>
        <v>Besenyszög Város Önkormányzata</v>
      </c>
      <c r="C2" s="850"/>
      <c r="D2" s="850"/>
      <c r="E2" s="333" t="s">
        <v>38</v>
      </c>
    </row>
    <row r="3" spans="1:5" s="49" customFormat="1" ht="24.75" thickBot="1">
      <c r="A3" s="332" t="s">
        <v>135</v>
      </c>
      <c r="B3" s="850" t="s">
        <v>415</v>
      </c>
      <c r="C3" s="850"/>
      <c r="D3" s="850"/>
      <c r="E3" s="334" t="s">
        <v>42</v>
      </c>
    </row>
    <row r="4" spans="1:5" s="50" customFormat="1" ht="15.75" customHeight="1" thickBot="1">
      <c r="A4" s="326"/>
      <c r="B4" s="326"/>
      <c r="C4" s="327"/>
      <c r="D4" s="328"/>
      <c r="E4" s="327" t="str">
        <f>'Z_6.1.2.sz.mell'!E4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CONCATENATE('Z_6.1.2.sz.mell'!E5)</f>
        <v>Teljesítés
2019. XII. 31.</v>
      </c>
    </row>
    <row r="6" spans="1:5" s="45" customFormat="1" ht="12.75" customHeight="1" thickBot="1">
      <c r="A6" s="74" t="s">
        <v>385</v>
      </c>
      <c r="B6" s="75" t="s">
        <v>386</v>
      </c>
      <c r="C6" s="75" t="s">
        <v>387</v>
      </c>
      <c r="D6" s="285" t="s">
        <v>389</v>
      </c>
      <c r="E6" s="76" t="s">
        <v>388</v>
      </c>
    </row>
    <row r="7" spans="1:5" s="45" customFormat="1" ht="15.75" customHeight="1" thickBot="1">
      <c r="A7" s="847" t="s">
        <v>39</v>
      </c>
      <c r="B7" s="848"/>
      <c r="C7" s="848"/>
      <c r="D7" s="848"/>
      <c r="E7" s="849"/>
    </row>
    <row r="8" spans="1:5" s="45" customFormat="1" ht="12" customHeight="1" thickBot="1">
      <c r="A8" s="25" t="s">
        <v>6</v>
      </c>
      <c r="B8" s="19" t="s">
        <v>162</v>
      </c>
      <c r="C8" s="166">
        <f>+C9+C10+C11+C12+C13+C14</f>
        <v>45273200</v>
      </c>
      <c r="D8" s="252">
        <f>+D9+D10+D11+D12+D13+D14</f>
        <v>47149748</v>
      </c>
      <c r="E8" s="102">
        <f>+E9+E10+E11+E12+E13+E14</f>
        <v>47149748</v>
      </c>
    </row>
    <row r="9" spans="1:5" s="51" customFormat="1" ht="12" customHeight="1">
      <c r="A9" s="196" t="s">
        <v>63</v>
      </c>
      <c r="B9" s="179" t="s">
        <v>163</v>
      </c>
      <c r="C9" s="168">
        <v>45273200</v>
      </c>
      <c r="D9" s="253">
        <v>47149748</v>
      </c>
      <c r="E9" s="104">
        <v>47149748</v>
      </c>
    </row>
    <row r="10" spans="1:5" s="52" customFormat="1" ht="12" customHeight="1">
      <c r="A10" s="197" t="s">
        <v>64</v>
      </c>
      <c r="B10" s="180" t="s">
        <v>164</v>
      </c>
      <c r="C10" s="167"/>
      <c r="D10" s="254"/>
      <c r="E10" s="103"/>
    </row>
    <row r="11" spans="1:5" s="52" customFormat="1" ht="12" customHeight="1">
      <c r="A11" s="197" t="s">
        <v>65</v>
      </c>
      <c r="B11" s="180" t="s">
        <v>165</v>
      </c>
      <c r="C11" s="167"/>
      <c r="D11" s="254"/>
      <c r="E11" s="103"/>
    </row>
    <row r="12" spans="1:5" s="52" customFormat="1" ht="12" customHeight="1">
      <c r="A12" s="197" t="s">
        <v>66</v>
      </c>
      <c r="B12" s="180" t="s">
        <v>166</v>
      </c>
      <c r="C12" s="167"/>
      <c r="D12" s="254"/>
      <c r="E12" s="103"/>
    </row>
    <row r="13" spans="1:5" s="52" customFormat="1" ht="12" customHeight="1">
      <c r="A13" s="197" t="s">
        <v>97</v>
      </c>
      <c r="B13" s="180" t="s">
        <v>393</v>
      </c>
      <c r="C13" s="167"/>
      <c r="D13" s="254"/>
      <c r="E13" s="103"/>
    </row>
    <row r="14" spans="1:5" s="51" customFormat="1" ht="12" customHeight="1" thickBot="1">
      <c r="A14" s="198" t="s">
        <v>67</v>
      </c>
      <c r="B14" s="181" t="s">
        <v>334</v>
      </c>
      <c r="C14" s="167"/>
      <c r="D14" s="254"/>
      <c r="E14" s="103"/>
    </row>
    <row r="15" spans="1:5" s="51" customFormat="1" ht="12" customHeight="1" thickBot="1">
      <c r="A15" s="25" t="s">
        <v>7</v>
      </c>
      <c r="B15" s="109" t="s">
        <v>167</v>
      </c>
      <c r="C15" s="166">
        <f>+C16+C17+C18+C19+C20</f>
        <v>0</v>
      </c>
      <c r="D15" s="252">
        <f>+D16+D17+D18+D19+D20</f>
        <v>0</v>
      </c>
      <c r="E15" s="102">
        <f>+E16+E17+E18+E19+E20</f>
        <v>0</v>
      </c>
    </row>
    <row r="16" spans="1:5" s="51" customFormat="1" ht="12" customHeight="1">
      <c r="A16" s="196" t="s">
        <v>69</v>
      </c>
      <c r="B16" s="179" t="s">
        <v>168</v>
      </c>
      <c r="C16" s="168"/>
      <c r="D16" s="253"/>
      <c r="E16" s="104"/>
    </row>
    <row r="17" spans="1:5" s="51" customFormat="1" ht="12" customHeight="1">
      <c r="A17" s="197" t="s">
        <v>70</v>
      </c>
      <c r="B17" s="180" t="s">
        <v>169</v>
      </c>
      <c r="C17" s="167"/>
      <c r="D17" s="254"/>
      <c r="E17" s="103"/>
    </row>
    <row r="18" spans="1:5" s="51" customFormat="1" ht="12" customHeight="1">
      <c r="A18" s="197" t="s">
        <v>71</v>
      </c>
      <c r="B18" s="180" t="s">
        <v>325</v>
      </c>
      <c r="C18" s="167"/>
      <c r="D18" s="254"/>
      <c r="E18" s="103"/>
    </row>
    <row r="19" spans="1:5" s="51" customFormat="1" ht="12" customHeight="1">
      <c r="A19" s="197" t="s">
        <v>72</v>
      </c>
      <c r="B19" s="180" t="s">
        <v>326</v>
      </c>
      <c r="C19" s="167"/>
      <c r="D19" s="254"/>
      <c r="E19" s="103"/>
    </row>
    <row r="20" spans="1:5" s="51" customFormat="1" ht="12" customHeight="1">
      <c r="A20" s="197" t="s">
        <v>73</v>
      </c>
      <c r="B20" s="180" t="s">
        <v>170</v>
      </c>
      <c r="C20" s="167"/>
      <c r="D20" s="254"/>
      <c r="E20" s="103"/>
    </row>
    <row r="21" spans="1:5" s="52" customFormat="1" ht="12" customHeight="1" thickBot="1">
      <c r="A21" s="198" t="s">
        <v>80</v>
      </c>
      <c r="B21" s="181" t="s">
        <v>171</v>
      </c>
      <c r="C21" s="169"/>
      <c r="D21" s="255"/>
      <c r="E21" s="105"/>
    </row>
    <row r="22" spans="1:5" s="52" customFormat="1" ht="12" customHeight="1" thickBot="1">
      <c r="A22" s="25" t="s">
        <v>8</v>
      </c>
      <c r="B22" s="19" t="s">
        <v>172</v>
      </c>
      <c r="C22" s="166">
        <f>+C23+C24+C25+C26+C27</f>
        <v>0</v>
      </c>
      <c r="D22" s="252">
        <f>+D23+D24+D25+D26+D27</f>
        <v>0</v>
      </c>
      <c r="E22" s="102">
        <f>+E23+E24+E25+E26+E27</f>
        <v>0</v>
      </c>
    </row>
    <row r="23" spans="1:5" s="52" customFormat="1" ht="12" customHeight="1">
      <c r="A23" s="196" t="s">
        <v>52</v>
      </c>
      <c r="B23" s="179" t="s">
        <v>173</v>
      </c>
      <c r="C23" s="168"/>
      <c r="D23" s="253"/>
      <c r="E23" s="104"/>
    </row>
    <row r="24" spans="1:5" s="51" customFormat="1" ht="12" customHeight="1">
      <c r="A24" s="197" t="s">
        <v>53</v>
      </c>
      <c r="B24" s="180" t="s">
        <v>174</v>
      </c>
      <c r="C24" s="167"/>
      <c r="D24" s="254"/>
      <c r="E24" s="103"/>
    </row>
    <row r="25" spans="1:5" s="52" customFormat="1" ht="12" customHeight="1">
      <c r="A25" s="197" t="s">
        <v>54</v>
      </c>
      <c r="B25" s="180" t="s">
        <v>327</v>
      </c>
      <c r="C25" s="167"/>
      <c r="D25" s="254"/>
      <c r="E25" s="103"/>
    </row>
    <row r="26" spans="1:5" s="52" customFormat="1" ht="12" customHeight="1">
      <c r="A26" s="197" t="s">
        <v>55</v>
      </c>
      <c r="B26" s="180" t="s">
        <v>328</v>
      </c>
      <c r="C26" s="167"/>
      <c r="D26" s="254"/>
      <c r="E26" s="103"/>
    </row>
    <row r="27" spans="1:5" s="52" customFormat="1" ht="12" customHeight="1">
      <c r="A27" s="197" t="s">
        <v>110</v>
      </c>
      <c r="B27" s="180" t="s">
        <v>175</v>
      </c>
      <c r="C27" s="167"/>
      <c r="D27" s="254"/>
      <c r="E27" s="103"/>
    </row>
    <row r="28" spans="1:5" s="52" customFormat="1" ht="12" customHeight="1" thickBot="1">
      <c r="A28" s="198" t="s">
        <v>111</v>
      </c>
      <c r="B28" s="181" t="s">
        <v>176</v>
      </c>
      <c r="C28" s="169"/>
      <c r="D28" s="255"/>
      <c r="E28" s="105"/>
    </row>
    <row r="29" spans="1:5" s="52" customFormat="1" ht="12" customHeight="1" thickBot="1">
      <c r="A29" s="25" t="s">
        <v>112</v>
      </c>
      <c r="B29" s="19" t="s">
        <v>476</v>
      </c>
      <c r="C29" s="172">
        <f>SUM(C30:C36)</f>
        <v>0</v>
      </c>
      <c r="D29" s="172">
        <f>SUM(D30:D36)</f>
        <v>0</v>
      </c>
      <c r="E29" s="208">
        <f>SUM(E30:E36)</f>
        <v>0</v>
      </c>
    </row>
    <row r="30" spans="1:5" s="52" customFormat="1" ht="12" customHeight="1">
      <c r="A30" s="196" t="s">
        <v>177</v>
      </c>
      <c r="B30" s="179" t="str">
        <f>'Z_1.1.sz.mell.'!B33</f>
        <v>Építményadó</v>
      </c>
      <c r="C30" s="168"/>
      <c r="D30" s="168"/>
      <c r="E30" s="104"/>
    </row>
    <row r="31" spans="1:5" s="52" customFormat="1" ht="12" customHeight="1">
      <c r="A31" s="197" t="s">
        <v>178</v>
      </c>
      <c r="B31" s="179" t="str">
        <f>'Z_1.1.sz.mell.'!B34</f>
        <v>Telekadó</v>
      </c>
      <c r="C31" s="167"/>
      <c r="D31" s="167"/>
      <c r="E31" s="103"/>
    </row>
    <row r="32" spans="1:5" s="52" customFormat="1" ht="12" customHeight="1">
      <c r="A32" s="197" t="s">
        <v>179</v>
      </c>
      <c r="B32" s="179" t="str">
        <f>'Z_1.1.sz.mell.'!B35</f>
        <v>Iparűzési adó</v>
      </c>
      <c r="C32" s="167"/>
      <c r="D32" s="167"/>
      <c r="E32" s="103"/>
    </row>
    <row r="33" spans="1:5" s="52" customFormat="1" ht="12" customHeight="1">
      <c r="A33" s="197" t="s">
        <v>180</v>
      </c>
      <c r="B33" s="179" t="str">
        <f>'Z_1.1.sz.mell.'!B36</f>
        <v>Talajterhelési díj</v>
      </c>
      <c r="C33" s="167"/>
      <c r="D33" s="167"/>
      <c r="E33" s="103"/>
    </row>
    <row r="34" spans="1:5" s="52" customFormat="1" ht="12" customHeight="1">
      <c r="A34" s="197" t="s">
        <v>480</v>
      </c>
      <c r="B34" s="179" t="str">
        <f>'Z_1.1.sz.mell.'!B37</f>
        <v>Gépjárműadó</v>
      </c>
      <c r="C34" s="167"/>
      <c r="D34" s="167"/>
      <c r="E34" s="103"/>
    </row>
    <row r="35" spans="1:5" s="52" customFormat="1" ht="12" customHeight="1">
      <c r="A35" s="197" t="s">
        <v>481</v>
      </c>
      <c r="B35" s="179" t="str">
        <f>'Z_1.1.sz.mell.'!B38</f>
        <v>Kommunális adó</v>
      </c>
      <c r="C35" s="167"/>
      <c r="D35" s="167"/>
      <c r="E35" s="103"/>
    </row>
    <row r="36" spans="1:5" s="52" customFormat="1" ht="12" customHeight="1" thickBot="1">
      <c r="A36" s="198" t="s">
        <v>482</v>
      </c>
      <c r="B36" s="179" t="str">
        <f>'Z_1.1.sz.mell.'!B39</f>
        <v>Egyéb közhatalmi  bevételek</v>
      </c>
      <c r="C36" s="169"/>
      <c r="D36" s="169"/>
      <c r="E36" s="105"/>
    </row>
    <row r="37" spans="1:5" s="52" customFormat="1" ht="12" customHeight="1" thickBot="1">
      <c r="A37" s="25" t="s">
        <v>10</v>
      </c>
      <c r="B37" s="19" t="s">
        <v>335</v>
      </c>
      <c r="C37" s="166">
        <f>SUM(C38:C48)</f>
        <v>0</v>
      </c>
      <c r="D37" s="252">
        <f>SUM(D38:D48)</f>
        <v>0</v>
      </c>
      <c r="E37" s="102">
        <f>SUM(E38:E48)</f>
        <v>0</v>
      </c>
    </row>
    <row r="38" spans="1:5" s="52" customFormat="1" ht="12" customHeight="1">
      <c r="A38" s="196" t="s">
        <v>56</v>
      </c>
      <c r="B38" s="179" t="s">
        <v>184</v>
      </c>
      <c r="C38" s="168"/>
      <c r="D38" s="253"/>
      <c r="E38" s="104"/>
    </row>
    <row r="39" spans="1:5" s="52" customFormat="1" ht="12" customHeight="1">
      <c r="A39" s="197" t="s">
        <v>57</v>
      </c>
      <c r="B39" s="180" t="s">
        <v>185</v>
      </c>
      <c r="C39" s="167"/>
      <c r="D39" s="254"/>
      <c r="E39" s="103"/>
    </row>
    <row r="40" spans="1:5" s="52" customFormat="1" ht="12" customHeight="1">
      <c r="A40" s="197" t="s">
        <v>58</v>
      </c>
      <c r="B40" s="180" t="s">
        <v>186</v>
      </c>
      <c r="C40" s="167"/>
      <c r="D40" s="254"/>
      <c r="E40" s="103"/>
    </row>
    <row r="41" spans="1:5" s="52" customFormat="1" ht="12" customHeight="1">
      <c r="A41" s="197" t="s">
        <v>114</v>
      </c>
      <c r="B41" s="180" t="s">
        <v>187</v>
      </c>
      <c r="C41" s="167"/>
      <c r="D41" s="254"/>
      <c r="E41" s="103"/>
    </row>
    <row r="42" spans="1:5" s="52" customFormat="1" ht="12" customHeight="1">
      <c r="A42" s="197" t="s">
        <v>115</v>
      </c>
      <c r="B42" s="180" t="s">
        <v>188</v>
      </c>
      <c r="C42" s="167"/>
      <c r="D42" s="254"/>
      <c r="E42" s="103"/>
    </row>
    <row r="43" spans="1:5" s="52" customFormat="1" ht="12" customHeight="1">
      <c r="A43" s="197" t="s">
        <v>116</v>
      </c>
      <c r="B43" s="180" t="s">
        <v>189</v>
      </c>
      <c r="C43" s="167"/>
      <c r="D43" s="254"/>
      <c r="E43" s="103"/>
    </row>
    <row r="44" spans="1:5" s="52" customFormat="1" ht="12" customHeight="1">
      <c r="A44" s="197" t="s">
        <v>117</v>
      </c>
      <c r="B44" s="180" t="s">
        <v>190</v>
      </c>
      <c r="C44" s="167"/>
      <c r="D44" s="254"/>
      <c r="E44" s="103"/>
    </row>
    <row r="45" spans="1:5" s="52" customFormat="1" ht="12" customHeight="1">
      <c r="A45" s="197" t="s">
        <v>118</v>
      </c>
      <c r="B45" s="180" t="s">
        <v>483</v>
      </c>
      <c r="C45" s="167"/>
      <c r="D45" s="254"/>
      <c r="E45" s="103"/>
    </row>
    <row r="46" spans="1:5" s="52" customFormat="1" ht="12" customHeight="1">
      <c r="A46" s="197" t="s">
        <v>182</v>
      </c>
      <c r="B46" s="180" t="s">
        <v>192</v>
      </c>
      <c r="C46" s="170"/>
      <c r="D46" s="286"/>
      <c r="E46" s="106"/>
    </row>
    <row r="47" spans="1:5" s="52" customFormat="1" ht="12" customHeight="1">
      <c r="A47" s="198" t="s">
        <v>183</v>
      </c>
      <c r="B47" s="181" t="s">
        <v>337</v>
      </c>
      <c r="C47" s="171"/>
      <c r="D47" s="287"/>
      <c r="E47" s="107"/>
    </row>
    <row r="48" spans="1:5" s="52" customFormat="1" ht="12" customHeight="1" thickBot="1">
      <c r="A48" s="198" t="s">
        <v>336</v>
      </c>
      <c r="B48" s="181" t="s">
        <v>193</v>
      </c>
      <c r="C48" s="171"/>
      <c r="D48" s="287"/>
      <c r="E48" s="107"/>
    </row>
    <row r="49" spans="1:5" s="52" customFormat="1" ht="12" customHeight="1" thickBot="1">
      <c r="A49" s="25" t="s">
        <v>11</v>
      </c>
      <c r="B49" s="19" t="s">
        <v>194</v>
      </c>
      <c r="C49" s="166">
        <f>SUM(C50:C54)</f>
        <v>0</v>
      </c>
      <c r="D49" s="252">
        <f>SUM(D50:D54)</f>
        <v>0</v>
      </c>
      <c r="E49" s="102">
        <f>SUM(E50:E54)</f>
        <v>0</v>
      </c>
    </row>
    <row r="50" spans="1:5" s="52" customFormat="1" ht="12" customHeight="1">
      <c r="A50" s="196" t="s">
        <v>59</v>
      </c>
      <c r="B50" s="179" t="s">
        <v>198</v>
      </c>
      <c r="C50" s="219"/>
      <c r="D50" s="288"/>
      <c r="E50" s="108"/>
    </row>
    <row r="51" spans="1:5" s="52" customFormat="1" ht="12" customHeight="1">
      <c r="A51" s="197" t="s">
        <v>60</v>
      </c>
      <c r="B51" s="180" t="s">
        <v>199</v>
      </c>
      <c r="C51" s="170"/>
      <c r="D51" s="286"/>
      <c r="E51" s="106"/>
    </row>
    <row r="52" spans="1:5" s="52" customFormat="1" ht="12" customHeight="1">
      <c r="A52" s="197" t="s">
        <v>195</v>
      </c>
      <c r="B52" s="180" t="s">
        <v>200</v>
      </c>
      <c r="C52" s="170"/>
      <c r="D52" s="286"/>
      <c r="E52" s="106"/>
    </row>
    <row r="53" spans="1:5" s="52" customFormat="1" ht="12" customHeight="1">
      <c r="A53" s="197" t="s">
        <v>196</v>
      </c>
      <c r="B53" s="180" t="s">
        <v>201</v>
      </c>
      <c r="C53" s="170"/>
      <c r="D53" s="286"/>
      <c r="E53" s="106"/>
    </row>
    <row r="54" spans="1:5" s="52" customFormat="1" ht="12" customHeight="1" thickBot="1">
      <c r="A54" s="198" t="s">
        <v>197</v>
      </c>
      <c r="B54" s="181" t="s">
        <v>202</v>
      </c>
      <c r="C54" s="171"/>
      <c r="D54" s="287"/>
      <c r="E54" s="107"/>
    </row>
    <row r="55" spans="1:5" s="52" customFormat="1" ht="12" customHeight="1" thickBot="1">
      <c r="A55" s="25" t="s">
        <v>119</v>
      </c>
      <c r="B55" s="19" t="s">
        <v>203</v>
      </c>
      <c r="C55" s="166">
        <f>SUM(C56:C58)</f>
        <v>0</v>
      </c>
      <c r="D55" s="252">
        <f>SUM(D56:D58)</f>
        <v>0</v>
      </c>
      <c r="E55" s="102">
        <f>SUM(E56:E58)</f>
        <v>0</v>
      </c>
    </row>
    <row r="56" spans="1:5" s="52" customFormat="1" ht="12" customHeight="1">
      <c r="A56" s="196" t="s">
        <v>61</v>
      </c>
      <c r="B56" s="179" t="s">
        <v>204</v>
      </c>
      <c r="C56" s="168"/>
      <c r="D56" s="253"/>
      <c r="E56" s="104"/>
    </row>
    <row r="57" spans="1:5" s="52" customFormat="1" ht="12" customHeight="1">
      <c r="A57" s="197" t="s">
        <v>62</v>
      </c>
      <c r="B57" s="180" t="s">
        <v>329</v>
      </c>
      <c r="C57" s="167"/>
      <c r="D57" s="254"/>
      <c r="E57" s="103"/>
    </row>
    <row r="58" spans="1:5" s="52" customFormat="1" ht="12" customHeight="1">
      <c r="A58" s="197" t="s">
        <v>207</v>
      </c>
      <c r="B58" s="180" t="s">
        <v>205</v>
      </c>
      <c r="C58" s="167"/>
      <c r="D58" s="254"/>
      <c r="E58" s="103"/>
    </row>
    <row r="59" spans="1:5" s="52" customFormat="1" ht="12" customHeight="1" thickBot="1">
      <c r="A59" s="198" t="s">
        <v>208</v>
      </c>
      <c r="B59" s="181" t="s">
        <v>206</v>
      </c>
      <c r="C59" s="169"/>
      <c r="D59" s="255"/>
      <c r="E59" s="105"/>
    </row>
    <row r="60" spans="1:5" s="52" customFormat="1" ht="12" customHeight="1" thickBot="1">
      <c r="A60" s="25" t="s">
        <v>13</v>
      </c>
      <c r="B60" s="109" t="s">
        <v>209</v>
      </c>
      <c r="C60" s="166">
        <f>SUM(C61:C63)</f>
        <v>0</v>
      </c>
      <c r="D60" s="252">
        <f>SUM(D61:D63)</f>
        <v>0</v>
      </c>
      <c r="E60" s="102">
        <f>SUM(E61:E63)</f>
        <v>0</v>
      </c>
    </row>
    <row r="61" spans="1:5" s="52" customFormat="1" ht="12" customHeight="1">
      <c r="A61" s="196" t="s">
        <v>120</v>
      </c>
      <c r="B61" s="179" t="s">
        <v>211</v>
      </c>
      <c r="C61" s="170"/>
      <c r="D61" s="286"/>
      <c r="E61" s="106"/>
    </row>
    <row r="62" spans="1:5" s="52" customFormat="1" ht="12" customHeight="1">
      <c r="A62" s="197" t="s">
        <v>121</v>
      </c>
      <c r="B62" s="180" t="s">
        <v>330</v>
      </c>
      <c r="C62" s="170"/>
      <c r="D62" s="286"/>
      <c r="E62" s="106"/>
    </row>
    <row r="63" spans="1:5" s="52" customFormat="1" ht="12" customHeight="1">
      <c r="A63" s="197" t="s">
        <v>144</v>
      </c>
      <c r="B63" s="180" t="s">
        <v>212</v>
      </c>
      <c r="C63" s="170"/>
      <c r="D63" s="286"/>
      <c r="E63" s="106"/>
    </row>
    <row r="64" spans="1:5" s="52" customFormat="1" ht="12" customHeight="1" thickBot="1">
      <c r="A64" s="198" t="s">
        <v>210</v>
      </c>
      <c r="B64" s="181" t="s">
        <v>213</v>
      </c>
      <c r="C64" s="170"/>
      <c r="D64" s="286"/>
      <c r="E64" s="106"/>
    </row>
    <row r="65" spans="1:5" s="52" customFormat="1" ht="12" customHeight="1" thickBot="1">
      <c r="A65" s="25" t="s">
        <v>14</v>
      </c>
      <c r="B65" s="19" t="s">
        <v>214</v>
      </c>
      <c r="C65" s="172">
        <f>+C8+C15+C22+C29+C37+C49+C55+C60</f>
        <v>45273200</v>
      </c>
      <c r="D65" s="256">
        <f>+D8+D15+D22+D29+D37+D49+D55+D60</f>
        <v>47149748</v>
      </c>
      <c r="E65" s="208">
        <f>+E8+E15+E22+E29+E37+E49+E55+E60</f>
        <v>47149748</v>
      </c>
    </row>
    <row r="66" spans="1:5" s="52" customFormat="1" ht="12" customHeight="1" thickBot="1">
      <c r="A66" s="199" t="s">
        <v>299</v>
      </c>
      <c r="B66" s="109" t="s">
        <v>216</v>
      </c>
      <c r="C66" s="166">
        <f>SUM(C67:C69)</f>
        <v>0</v>
      </c>
      <c r="D66" s="252">
        <f>SUM(D67:D69)</f>
        <v>0</v>
      </c>
      <c r="E66" s="102">
        <f>SUM(E67:E69)</f>
        <v>0</v>
      </c>
    </row>
    <row r="67" spans="1:5" s="52" customFormat="1" ht="12" customHeight="1">
      <c r="A67" s="196" t="s">
        <v>244</v>
      </c>
      <c r="B67" s="179" t="s">
        <v>217</v>
      </c>
      <c r="C67" s="170"/>
      <c r="D67" s="286"/>
      <c r="E67" s="106"/>
    </row>
    <row r="68" spans="1:5" s="52" customFormat="1" ht="12" customHeight="1">
      <c r="A68" s="197" t="s">
        <v>253</v>
      </c>
      <c r="B68" s="180" t="s">
        <v>218</v>
      </c>
      <c r="C68" s="170"/>
      <c r="D68" s="286"/>
      <c r="E68" s="106"/>
    </row>
    <row r="69" spans="1:5" s="52" customFormat="1" ht="12" customHeight="1" thickBot="1">
      <c r="A69" s="198" t="s">
        <v>254</v>
      </c>
      <c r="B69" s="182" t="s">
        <v>219</v>
      </c>
      <c r="C69" s="170"/>
      <c r="D69" s="289"/>
      <c r="E69" s="106"/>
    </row>
    <row r="70" spans="1:5" s="52" customFormat="1" ht="12" customHeight="1" thickBot="1">
      <c r="A70" s="199" t="s">
        <v>220</v>
      </c>
      <c r="B70" s="109" t="s">
        <v>221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2" customFormat="1" ht="12" customHeight="1">
      <c r="A71" s="196" t="s">
        <v>98</v>
      </c>
      <c r="B71" s="307" t="s">
        <v>222</v>
      </c>
      <c r="C71" s="170"/>
      <c r="D71" s="170"/>
      <c r="E71" s="106"/>
    </row>
    <row r="72" spans="1:5" s="52" customFormat="1" ht="12" customHeight="1">
      <c r="A72" s="197" t="s">
        <v>99</v>
      </c>
      <c r="B72" s="307" t="s">
        <v>490</v>
      </c>
      <c r="C72" s="170"/>
      <c r="D72" s="170"/>
      <c r="E72" s="106"/>
    </row>
    <row r="73" spans="1:5" s="52" customFormat="1" ht="12" customHeight="1">
      <c r="A73" s="197" t="s">
        <v>245</v>
      </c>
      <c r="B73" s="307" t="s">
        <v>223</v>
      </c>
      <c r="C73" s="170"/>
      <c r="D73" s="170"/>
      <c r="E73" s="106"/>
    </row>
    <row r="74" spans="1:5" s="52" customFormat="1" ht="12" customHeight="1" thickBot="1">
      <c r="A74" s="198" t="s">
        <v>246</v>
      </c>
      <c r="B74" s="308" t="s">
        <v>491</v>
      </c>
      <c r="C74" s="170"/>
      <c r="D74" s="170"/>
      <c r="E74" s="106"/>
    </row>
    <row r="75" spans="1:5" s="52" customFormat="1" ht="12" customHeight="1" thickBot="1">
      <c r="A75" s="199" t="s">
        <v>224</v>
      </c>
      <c r="B75" s="109" t="s">
        <v>225</v>
      </c>
      <c r="C75" s="166">
        <f>SUM(C76:C77)</f>
        <v>0</v>
      </c>
      <c r="D75" s="166">
        <f>SUM(D76:D77)</f>
        <v>0</v>
      </c>
      <c r="E75" s="102">
        <f>SUM(E76:E77)</f>
        <v>0</v>
      </c>
    </row>
    <row r="76" spans="1:5" s="52" customFormat="1" ht="12" customHeight="1">
      <c r="A76" s="196" t="s">
        <v>247</v>
      </c>
      <c r="B76" s="179" t="s">
        <v>226</v>
      </c>
      <c r="C76" s="170"/>
      <c r="D76" s="170"/>
      <c r="E76" s="106"/>
    </row>
    <row r="77" spans="1:5" s="52" customFormat="1" ht="12" customHeight="1" thickBot="1">
      <c r="A77" s="198" t="s">
        <v>248</v>
      </c>
      <c r="B77" s="181" t="s">
        <v>227</v>
      </c>
      <c r="C77" s="170"/>
      <c r="D77" s="170"/>
      <c r="E77" s="106"/>
    </row>
    <row r="78" spans="1:5" s="51" customFormat="1" ht="12" customHeight="1" thickBot="1">
      <c r="A78" s="199" t="s">
        <v>228</v>
      </c>
      <c r="B78" s="109" t="s">
        <v>229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2" customFormat="1" ht="12" customHeight="1">
      <c r="A79" s="196" t="s">
        <v>249</v>
      </c>
      <c r="B79" s="179" t="s">
        <v>230</v>
      </c>
      <c r="C79" s="170"/>
      <c r="D79" s="170"/>
      <c r="E79" s="106"/>
    </row>
    <row r="80" spans="1:5" s="52" customFormat="1" ht="12" customHeight="1">
      <c r="A80" s="197" t="s">
        <v>250</v>
      </c>
      <c r="B80" s="180" t="s">
        <v>231</v>
      </c>
      <c r="C80" s="170"/>
      <c r="D80" s="170"/>
      <c r="E80" s="106"/>
    </row>
    <row r="81" spans="1:5" s="52" customFormat="1" ht="12" customHeight="1" thickBot="1">
      <c r="A81" s="198" t="s">
        <v>251</v>
      </c>
      <c r="B81" s="181" t="s">
        <v>492</v>
      </c>
      <c r="C81" s="170"/>
      <c r="D81" s="170"/>
      <c r="E81" s="106"/>
    </row>
    <row r="82" spans="1:5" s="52" customFormat="1" ht="12" customHeight="1" thickBot="1">
      <c r="A82" s="199" t="s">
        <v>232</v>
      </c>
      <c r="B82" s="109" t="s">
        <v>252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2" customFormat="1" ht="12" customHeight="1">
      <c r="A83" s="200" t="s">
        <v>233</v>
      </c>
      <c r="B83" s="179" t="s">
        <v>234</v>
      </c>
      <c r="C83" s="170"/>
      <c r="D83" s="170"/>
      <c r="E83" s="106"/>
    </row>
    <row r="84" spans="1:5" s="52" customFormat="1" ht="12" customHeight="1">
      <c r="A84" s="201" t="s">
        <v>235</v>
      </c>
      <c r="B84" s="180" t="s">
        <v>236</v>
      </c>
      <c r="C84" s="170"/>
      <c r="D84" s="170"/>
      <c r="E84" s="106"/>
    </row>
    <row r="85" spans="1:5" s="52" customFormat="1" ht="12" customHeight="1">
      <c r="A85" s="201" t="s">
        <v>237</v>
      </c>
      <c r="B85" s="180" t="s">
        <v>238</v>
      </c>
      <c r="C85" s="170"/>
      <c r="D85" s="170"/>
      <c r="E85" s="106"/>
    </row>
    <row r="86" spans="1:5" s="51" customFormat="1" ht="12" customHeight="1" thickBot="1">
      <c r="A86" s="202" t="s">
        <v>239</v>
      </c>
      <c r="B86" s="181" t="s">
        <v>240</v>
      </c>
      <c r="C86" s="170"/>
      <c r="D86" s="170"/>
      <c r="E86" s="106"/>
    </row>
    <row r="87" spans="1:5" s="51" customFormat="1" ht="12" customHeight="1" thickBot="1">
      <c r="A87" s="199" t="s">
        <v>241</v>
      </c>
      <c r="B87" s="109" t="s">
        <v>376</v>
      </c>
      <c r="C87" s="222"/>
      <c r="D87" s="222"/>
      <c r="E87" s="223"/>
    </row>
    <row r="88" spans="1:5" s="51" customFormat="1" ht="12" customHeight="1" thickBot="1">
      <c r="A88" s="199" t="s">
        <v>394</v>
      </c>
      <c r="B88" s="109" t="s">
        <v>242</v>
      </c>
      <c r="C88" s="222"/>
      <c r="D88" s="222"/>
      <c r="E88" s="223"/>
    </row>
    <row r="89" spans="1:5" s="51" customFormat="1" ht="12" customHeight="1" thickBot="1">
      <c r="A89" s="199" t="s">
        <v>395</v>
      </c>
      <c r="B89" s="186" t="s">
        <v>379</v>
      </c>
      <c r="C89" s="172">
        <f>+C66+C70+C75+C78+C82+C88+C87</f>
        <v>0</v>
      </c>
      <c r="D89" s="172">
        <f>+D66+D70+D75+D78+D82+D88+D87</f>
        <v>0</v>
      </c>
      <c r="E89" s="208">
        <f>+E66+E70+E75+E78+E82+E88+E87</f>
        <v>0</v>
      </c>
    </row>
    <row r="90" spans="1:5" s="51" customFormat="1" ht="12" customHeight="1" thickBot="1">
      <c r="A90" s="203" t="s">
        <v>396</v>
      </c>
      <c r="B90" s="187" t="s">
        <v>397</v>
      </c>
      <c r="C90" s="172">
        <f>+C65+C89</f>
        <v>45273200</v>
      </c>
      <c r="D90" s="172">
        <f>+D65+D89</f>
        <v>47149748</v>
      </c>
      <c r="E90" s="208">
        <f>+E65+E89</f>
        <v>47149748</v>
      </c>
    </row>
    <row r="91" spans="1:3" s="52" customFormat="1" ht="15" customHeight="1" thickBot="1">
      <c r="A91" s="86"/>
      <c r="B91" s="87"/>
      <c r="C91" s="148"/>
    </row>
    <row r="92" spans="1:5" s="45" customFormat="1" ht="16.5" customHeight="1" thickBot="1">
      <c r="A92" s="847" t="s">
        <v>40</v>
      </c>
      <c r="B92" s="848"/>
      <c r="C92" s="848"/>
      <c r="D92" s="848"/>
      <c r="E92" s="849"/>
    </row>
    <row r="93" spans="1:5" s="53" customFormat="1" ht="12" customHeight="1" thickBot="1">
      <c r="A93" s="173" t="s">
        <v>6</v>
      </c>
      <c r="B93" s="24" t="s">
        <v>401</v>
      </c>
      <c r="C93" s="165">
        <f>+C94+C95+C96+C97+C98+C111</f>
        <v>0</v>
      </c>
      <c r="D93" s="165">
        <f>+D94+D95+D96+D97+D98+D111</f>
        <v>0</v>
      </c>
      <c r="E93" s="235">
        <f>+E94+E95+E96+E97+E98+E111</f>
        <v>0</v>
      </c>
    </row>
    <row r="94" spans="1:5" ht="12" customHeight="1">
      <c r="A94" s="204" t="s">
        <v>63</v>
      </c>
      <c r="B94" s="8" t="s">
        <v>35</v>
      </c>
      <c r="C94" s="242"/>
      <c r="D94" s="242"/>
      <c r="E94" s="236"/>
    </row>
    <row r="95" spans="1:5" ht="12" customHeight="1">
      <c r="A95" s="197" t="s">
        <v>64</v>
      </c>
      <c r="B95" s="6" t="s">
        <v>122</v>
      </c>
      <c r="C95" s="167"/>
      <c r="D95" s="167"/>
      <c r="E95" s="103"/>
    </row>
    <row r="96" spans="1:5" ht="12" customHeight="1">
      <c r="A96" s="197" t="s">
        <v>65</v>
      </c>
      <c r="B96" s="6" t="s">
        <v>90</v>
      </c>
      <c r="C96" s="169"/>
      <c r="D96" s="167"/>
      <c r="E96" s="105"/>
    </row>
    <row r="97" spans="1:5" ht="12" customHeight="1">
      <c r="A97" s="197" t="s">
        <v>66</v>
      </c>
      <c r="B97" s="9" t="s">
        <v>123</v>
      </c>
      <c r="C97" s="169"/>
      <c r="D97" s="255"/>
      <c r="E97" s="105"/>
    </row>
    <row r="98" spans="1:5" ht="12" customHeight="1">
      <c r="A98" s="197" t="s">
        <v>75</v>
      </c>
      <c r="B98" s="17" t="s">
        <v>124</v>
      </c>
      <c r="C98" s="169"/>
      <c r="D98" s="255"/>
      <c r="E98" s="105"/>
    </row>
    <row r="99" spans="1:5" ht="12" customHeight="1">
      <c r="A99" s="197" t="s">
        <v>67</v>
      </c>
      <c r="B99" s="6" t="s">
        <v>398</v>
      </c>
      <c r="C99" s="169"/>
      <c r="D99" s="255"/>
      <c r="E99" s="105"/>
    </row>
    <row r="100" spans="1:5" ht="12" customHeight="1">
      <c r="A100" s="197" t="s">
        <v>68</v>
      </c>
      <c r="B100" s="62" t="s">
        <v>342</v>
      </c>
      <c r="C100" s="169"/>
      <c r="D100" s="255"/>
      <c r="E100" s="105"/>
    </row>
    <row r="101" spans="1:5" ht="12" customHeight="1">
      <c r="A101" s="197" t="s">
        <v>76</v>
      </c>
      <c r="B101" s="62" t="s">
        <v>341</v>
      </c>
      <c r="C101" s="169"/>
      <c r="D101" s="255"/>
      <c r="E101" s="105"/>
    </row>
    <row r="102" spans="1:5" ht="12" customHeight="1">
      <c r="A102" s="197" t="s">
        <v>77</v>
      </c>
      <c r="B102" s="62" t="s">
        <v>258</v>
      </c>
      <c r="C102" s="169"/>
      <c r="D102" s="255"/>
      <c r="E102" s="105"/>
    </row>
    <row r="103" spans="1:5" ht="12" customHeight="1">
      <c r="A103" s="197" t="s">
        <v>78</v>
      </c>
      <c r="B103" s="63" t="s">
        <v>259</v>
      </c>
      <c r="C103" s="169"/>
      <c r="D103" s="255"/>
      <c r="E103" s="105"/>
    </row>
    <row r="104" spans="1:5" ht="12" customHeight="1">
      <c r="A104" s="197" t="s">
        <v>79</v>
      </c>
      <c r="B104" s="63" t="s">
        <v>260</v>
      </c>
      <c r="C104" s="169"/>
      <c r="D104" s="255"/>
      <c r="E104" s="105"/>
    </row>
    <row r="105" spans="1:5" ht="12" customHeight="1">
      <c r="A105" s="197" t="s">
        <v>81</v>
      </c>
      <c r="B105" s="62" t="s">
        <v>261</v>
      </c>
      <c r="C105" s="169"/>
      <c r="D105" s="255"/>
      <c r="E105" s="105"/>
    </row>
    <row r="106" spans="1:5" ht="12" customHeight="1">
      <c r="A106" s="197" t="s">
        <v>125</v>
      </c>
      <c r="B106" s="62" t="s">
        <v>262</v>
      </c>
      <c r="C106" s="169"/>
      <c r="D106" s="255"/>
      <c r="E106" s="105"/>
    </row>
    <row r="107" spans="1:5" ht="12" customHeight="1">
      <c r="A107" s="197" t="s">
        <v>256</v>
      </c>
      <c r="B107" s="63" t="s">
        <v>263</v>
      </c>
      <c r="C107" s="167"/>
      <c r="D107" s="255"/>
      <c r="E107" s="105"/>
    </row>
    <row r="108" spans="1:5" ht="12" customHeight="1">
      <c r="A108" s="205" t="s">
        <v>257</v>
      </c>
      <c r="B108" s="64" t="s">
        <v>264</v>
      </c>
      <c r="C108" s="169"/>
      <c r="D108" s="255"/>
      <c r="E108" s="105"/>
    </row>
    <row r="109" spans="1:5" ht="12" customHeight="1">
      <c r="A109" s="197" t="s">
        <v>339</v>
      </c>
      <c r="B109" s="64" t="s">
        <v>265</v>
      </c>
      <c r="C109" s="169"/>
      <c r="D109" s="255"/>
      <c r="E109" s="105"/>
    </row>
    <row r="110" spans="1:5" ht="12" customHeight="1">
      <c r="A110" s="197" t="s">
        <v>340</v>
      </c>
      <c r="B110" s="63" t="s">
        <v>266</v>
      </c>
      <c r="C110" s="167"/>
      <c r="D110" s="254"/>
      <c r="E110" s="103"/>
    </row>
    <row r="111" spans="1:5" ht="12" customHeight="1">
      <c r="A111" s="197" t="s">
        <v>344</v>
      </c>
      <c r="B111" s="9" t="s">
        <v>36</v>
      </c>
      <c r="C111" s="167"/>
      <c r="D111" s="254"/>
      <c r="E111" s="103"/>
    </row>
    <row r="112" spans="1:5" ht="12" customHeight="1">
      <c r="A112" s="198" t="s">
        <v>345</v>
      </c>
      <c r="B112" s="6" t="s">
        <v>399</v>
      </c>
      <c r="C112" s="169"/>
      <c r="D112" s="255"/>
      <c r="E112" s="105"/>
    </row>
    <row r="113" spans="1:5" ht="12" customHeight="1" thickBot="1">
      <c r="A113" s="206" t="s">
        <v>346</v>
      </c>
      <c r="B113" s="65" t="s">
        <v>400</v>
      </c>
      <c r="C113" s="243"/>
      <c r="D113" s="292"/>
      <c r="E113" s="237"/>
    </row>
    <row r="114" spans="1:5" ht="12" customHeight="1" thickBot="1">
      <c r="A114" s="25" t="s">
        <v>7</v>
      </c>
      <c r="B114" s="23" t="s">
        <v>267</v>
      </c>
      <c r="C114" s="166">
        <f>+C115+C117+C119</f>
        <v>0</v>
      </c>
      <c r="D114" s="252">
        <f>+D115+D117+D119</f>
        <v>0</v>
      </c>
      <c r="E114" s="102">
        <f>+E115+E117+E119</f>
        <v>0</v>
      </c>
    </row>
    <row r="115" spans="1:5" ht="12" customHeight="1">
      <c r="A115" s="196" t="s">
        <v>69</v>
      </c>
      <c r="B115" s="6" t="s">
        <v>143</v>
      </c>
      <c r="C115" s="168"/>
      <c r="D115" s="253"/>
      <c r="E115" s="104"/>
    </row>
    <row r="116" spans="1:5" ht="12" customHeight="1">
      <c r="A116" s="196" t="s">
        <v>70</v>
      </c>
      <c r="B116" s="10" t="s">
        <v>271</v>
      </c>
      <c r="C116" s="168"/>
      <c r="D116" s="253"/>
      <c r="E116" s="104"/>
    </row>
    <row r="117" spans="1:5" ht="12" customHeight="1">
      <c r="A117" s="196" t="s">
        <v>71</v>
      </c>
      <c r="B117" s="10" t="s">
        <v>126</v>
      </c>
      <c r="C117" s="167"/>
      <c r="D117" s="254"/>
      <c r="E117" s="103"/>
    </row>
    <row r="118" spans="1:5" ht="12" customHeight="1">
      <c r="A118" s="196" t="s">
        <v>72</v>
      </c>
      <c r="B118" s="10" t="s">
        <v>272</v>
      </c>
      <c r="C118" s="167"/>
      <c r="D118" s="254"/>
      <c r="E118" s="103"/>
    </row>
    <row r="119" spans="1:5" ht="12" customHeight="1">
      <c r="A119" s="196" t="s">
        <v>73</v>
      </c>
      <c r="B119" s="111" t="s">
        <v>145</v>
      </c>
      <c r="C119" s="167"/>
      <c r="D119" s="254"/>
      <c r="E119" s="103"/>
    </row>
    <row r="120" spans="1:5" ht="12" customHeight="1">
      <c r="A120" s="196" t="s">
        <v>80</v>
      </c>
      <c r="B120" s="110" t="s">
        <v>331</v>
      </c>
      <c r="C120" s="167"/>
      <c r="D120" s="254"/>
      <c r="E120" s="103"/>
    </row>
    <row r="121" spans="1:5" ht="12" customHeight="1">
      <c r="A121" s="196" t="s">
        <v>82</v>
      </c>
      <c r="B121" s="175" t="s">
        <v>277</v>
      </c>
      <c r="C121" s="167"/>
      <c r="D121" s="254"/>
      <c r="E121" s="103"/>
    </row>
    <row r="122" spans="1:5" ht="12" customHeight="1">
      <c r="A122" s="196" t="s">
        <v>127</v>
      </c>
      <c r="B122" s="63" t="s">
        <v>260</v>
      </c>
      <c r="C122" s="167"/>
      <c r="D122" s="254"/>
      <c r="E122" s="103"/>
    </row>
    <row r="123" spans="1:5" ht="12" customHeight="1">
      <c r="A123" s="196" t="s">
        <v>128</v>
      </c>
      <c r="B123" s="63" t="s">
        <v>276</v>
      </c>
      <c r="C123" s="167"/>
      <c r="D123" s="254"/>
      <c r="E123" s="103"/>
    </row>
    <row r="124" spans="1:5" ht="12" customHeight="1">
      <c r="A124" s="196" t="s">
        <v>129</v>
      </c>
      <c r="B124" s="63" t="s">
        <v>275</v>
      </c>
      <c r="C124" s="167"/>
      <c r="D124" s="254"/>
      <c r="E124" s="103"/>
    </row>
    <row r="125" spans="1:5" ht="12" customHeight="1">
      <c r="A125" s="196" t="s">
        <v>268</v>
      </c>
      <c r="B125" s="63" t="s">
        <v>263</v>
      </c>
      <c r="C125" s="167"/>
      <c r="D125" s="254"/>
      <c r="E125" s="103"/>
    </row>
    <row r="126" spans="1:5" ht="12" customHeight="1">
      <c r="A126" s="196" t="s">
        <v>269</v>
      </c>
      <c r="B126" s="63" t="s">
        <v>274</v>
      </c>
      <c r="C126" s="167"/>
      <c r="D126" s="254"/>
      <c r="E126" s="103"/>
    </row>
    <row r="127" spans="1:5" ht="12" customHeight="1" thickBot="1">
      <c r="A127" s="205" t="s">
        <v>270</v>
      </c>
      <c r="B127" s="63" t="s">
        <v>273</v>
      </c>
      <c r="C127" s="169"/>
      <c r="D127" s="255"/>
      <c r="E127" s="105"/>
    </row>
    <row r="128" spans="1:5" ht="12" customHeight="1" thickBot="1">
      <c r="A128" s="25" t="s">
        <v>8</v>
      </c>
      <c r="B128" s="56" t="s">
        <v>349</v>
      </c>
      <c r="C128" s="166">
        <f>+C93+C114</f>
        <v>0</v>
      </c>
      <c r="D128" s="252">
        <f>+D93+D114</f>
        <v>0</v>
      </c>
      <c r="E128" s="102">
        <f>+E93+E114</f>
        <v>0</v>
      </c>
    </row>
    <row r="129" spans="1:5" ht="12" customHeight="1" thickBot="1">
      <c r="A129" s="25" t="s">
        <v>9</v>
      </c>
      <c r="B129" s="56" t="s">
        <v>350</v>
      </c>
      <c r="C129" s="166">
        <f>+C130+C131+C132</f>
        <v>0</v>
      </c>
      <c r="D129" s="252">
        <f>+D130+D131+D132</f>
        <v>0</v>
      </c>
      <c r="E129" s="102">
        <f>+E130+E131+E132</f>
        <v>0</v>
      </c>
    </row>
    <row r="130" spans="1:5" s="53" customFormat="1" ht="12" customHeight="1">
      <c r="A130" s="196" t="s">
        <v>177</v>
      </c>
      <c r="B130" s="7" t="s">
        <v>404</v>
      </c>
      <c r="C130" s="167"/>
      <c r="D130" s="254"/>
      <c r="E130" s="103"/>
    </row>
    <row r="131" spans="1:5" ht="12" customHeight="1">
      <c r="A131" s="196" t="s">
        <v>178</v>
      </c>
      <c r="B131" s="7" t="s">
        <v>358</v>
      </c>
      <c r="C131" s="167"/>
      <c r="D131" s="254"/>
      <c r="E131" s="103"/>
    </row>
    <row r="132" spans="1:5" ht="12" customHeight="1" thickBot="1">
      <c r="A132" s="205" t="s">
        <v>179</v>
      </c>
      <c r="B132" s="5" t="s">
        <v>403</v>
      </c>
      <c r="C132" s="167"/>
      <c r="D132" s="254"/>
      <c r="E132" s="103"/>
    </row>
    <row r="133" spans="1:5" ht="12" customHeight="1" thickBot="1">
      <c r="A133" s="25" t="s">
        <v>10</v>
      </c>
      <c r="B133" s="56" t="s">
        <v>351</v>
      </c>
      <c r="C133" s="166">
        <f>+C134+C135+C136+C137+C138+C139</f>
        <v>0</v>
      </c>
      <c r="D133" s="252">
        <f>+D134+D135+D136+D137+D138+D139</f>
        <v>0</v>
      </c>
      <c r="E133" s="102">
        <f>+E134+E135+E136+E137+E138+E139</f>
        <v>0</v>
      </c>
    </row>
    <row r="134" spans="1:5" ht="12" customHeight="1">
      <c r="A134" s="196" t="s">
        <v>56</v>
      </c>
      <c r="B134" s="7" t="s">
        <v>360</v>
      </c>
      <c r="C134" s="167"/>
      <c r="D134" s="254"/>
      <c r="E134" s="103"/>
    </row>
    <row r="135" spans="1:5" ht="12" customHeight="1">
      <c r="A135" s="196" t="s">
        <v>57</v>
      </c>
      <c r="B135" s="7" t="s">
        <v>352</v>
      </c>
      <c r="C135" s="167"/>
      <c r="D135" s="254"/>
      <c r="E135" s="103"/>
    </row>
    <row r="136" spans="1:5" ht="12" customHeight="1">
      <c r="A136" s="196" t="s">
        <v>58</v>
      </c>
      <c r="B136" s="7" t="s">
        <v>353</v>
      </c>
      <c r="C136" s="167"/>
      <c r="D136" s="254"/>
      <c r="E136" s="103"/>
    </row>
    <row r="137" spans="1:5" ht="12" customHeight="1">
      <c r="A137" s="196" t="s">
        <v>114</v>
      </c>
      <c r="B137" s="7" t="s">
        <v>402</v>
      </c>
      <c r="C137" s="167"/>
      <c r="D137" s="254"/>
      <c r="E137" s="103"/>
    </row>
    <row r="138" spans="1:5" ht="12" customHeight="1">
      <c r="A138" s="196" t="s">
        <v>115</v>
      </c>
      <c r="B138" s="7" t="s">
        <v>355</v>
      </c>
      <c r="C138" s="167"/>
      <c r="D138" s="254"/>
      <c r="E138" s="103"/>
    </row>
    <row r="139" spans="1:5" s="53" customFormat="1" ht="12" customHeight="1" thickBot="1">
      <c r="A139" s="205" t="s">
        <v>116</v>
      </c>
      <c r="B139" s="5" t="s">
        <v>356</v>
      </c>
      <c r="C139" s="167"/>
      <c r="D139" s="254"/>
      <c r="E139" s="103"/>
    </row>
    <row r="140" spans="1:11" ht="12" customHeight="1" thickBot="1">
      <c r="A140" s="25" t="s">
        <v>11</v>
      </c>
      <c r="B140" s="56" t="s">
        <v>417</v>
      </c>
      <c r="C140" s="172">
        <f>+C141+C142+C144+C145+C143</f>
        <v>45273200</v>
      </c>
      <c r="D140" s="256">
        <f>+D141+D142+D144+D145+D143</f>
        <v>47149748</v>
      </c>
      <c r="E140" s="208">
        <f>+E141+E142+E144+E145+E143</f>
        <v>47149748</v>
      </c>
      <c r="K140" s="95"/>
    </row>
    <row r="141" spans="1:5" ht="12.75">
      <c r="A141" s="196" t="s">
        <v>59</v>
      </c>
      <c r="B141" s="7" t="s">
        <v>278</v>
      </c>
      <c r="C141" s="167"/>
      <c r="D141" s="254"/>
      <c r="E141" s="103"/>
    </row>
    <row r="142" spans="1:5" ht="12" customHeight="1">
      <c r="A142" s="196" t="s">
        <v>60</v>
      </c>
      <c r="B142" s="7" t="s">
        <v>279</v>
      </c>
      <c r="C142" s="167"/>
      <c r="D142" s="254"/>
      <c r="E142" s="103"/>
    </row>
    <row r="143" spans="1:5" ht="12" customHeight="1">
      <c r="A143" s="196" t="s">
        <v>195</v>
      </c>
      <c r="B143" s="7" t="s">
        <v>416</v>
      </c>
      <c r="C143" s="167">
        <v>45273200</v>
      </c>
      <c r="D143" s="254">
        <v>47149748</v>
      </c>
      <c r="E143" s="103">
        <v>47149748</v>
      </c>
    </row>
    <row r="144" spans="1:5" s="53" customFormat="1" ht="12" customHeight="1">
      <c r="A144" s="196" t="s">
        <v>196</v>
      </c>
      <c r="B144" s="7" t="s">
        <v>365</v>
      </c>
      <c r="C144" s="167"/>
      <c r="D144" s="254"/>
      <c r="E144" s="103"/>
    </row>
    <row r="145" spans="1:5" s="53" customFormat="1" ht="12" customHeight="1" thickBot="1">
      <c r="A145" s="205" t="s">
        <v>197</v>
      </c>
      <c r="B145" s="5" t="s">
        <v>295</v>
      </c>
      <c r="C145" s="167"/>
      <c r="D145" s="254"/>
      <c r="E145" s="103"/>
    </row>
    <row r="146" spans="1:5" s="53" customFormat="1" ht="12" customHeight="1" thickBot="1">
      <c r="A146" s="25" t="s">
        <v>12</v>
      </c>
      <c r="B146" s="56" t="s">
        <v>366</v>
      </c>
      <c r="C146" s="245">
        <f>+C147+C148+C149+C150+C151</f>
        <v>0</v>
      </c>
      <c r="D146" s="257">
        <f>+D147+D148+D149+D150+D151</f>
        <v>0</v>
      </c>
      <c r="E146" s="239">
        <f>+E147+E148+E149+E150+E151</f>
        <v>0</v>
      </c>
    </row>
    <row r="147" spans="1:5" s="53" customFormat="1" ht="12" customHeight="1">
      <c r="A147" s="196" t="s">
        <v>61</v>
      </c>
      <c r="B147" s="7" t="s">
        <v>361</v>
      </c>
      <c r="C147" s="167"/>
      <c r="D147" s="254"/>
      <c r="E147" s="103"/>
    </row>
    <row r="148" spans="1:5" s="53" customFormat="1" ht="12" customHeight="1">
      <c r="A148" s="196" t="s">
        <v>62</v>
      </c>
      <c r="B148" s="7" t="s">
        <v>368</v>
      </c>
      <c r="C148" s="167"/>
      <c r="D148" s="254"/>
      <c r="E148" s="103"/>
    </row>
    <row r="149" spans="1:5" s="53" customFormat="1" ht="12" customHeight="1">
      <c r="A149" s="196" t="s">
        <v>207</v>
      </c>
      <c r="B149" s="7" t="s">
        <v>363</v>
      </c>
      <c r="C149" s="167"/>
      <c r="D149" s="254"/>
      <c r="E149" s="103"/>
    </row>
    <row r="150" spans="1:5" s="53" customFormat="1" ht="12" customHeight="1">
      <c r="A150" s="196" t="s">
        <v>208</v>
      </c>
      <c r="B150" s="7" t="s">
        <v>405</v>
      </c>
      <c r="C150" s="167"/>
      <c r="D150" s="254"/>
      <c r="E150" s="103"/>
    </row>
    <row r="151" spans="1:5" ht="12.75" customHeight="1" thickBot="1">
      <c r="A151" s="205" t="s">
        <v>367</v>
      </c>
      <c r="B151" s="5" t="s">
        <v>370</v>
      </c>
      <c r="C151" s="169"/>
      <c r="D151" s="255"/>
      <c r="E151" s="105"/>
    </row>
    <row r="152" spans="1:5" ht="12.75" customHeight="1" thickBot="1">
      <c r="A152" s="234" t="s">
        <v>13</v>
      </c>
      <c r="B152" s="56" t="s">
        <v>371</v>
      </c>
      <c r="C152" s="245"/>
      <c r="D152" s="257"/>
      <c r="E152" s="239"/>
    </row>
    <row r="153" spans="1:5" ht="12.75" customHeight="1" thickBot="1">
      <c r="A153" s="234" t="s">
        <v>14</v>
      </c>
      <c r="B153" s="56" t="s">
        <v>372</v>
      </c>
      <c r="C153" s="245"/>
      <c r="D153" s="257"/>
      <c r="E153" s="239"/>
    </row>
    <row r="154" spans="1:5" ht="12" customHeight="1" thickBot="1">
      <c r="A154" s="25" t="s">
        <v>15</v>
      </c>
      <c r="B154" s="56" t="s">
        <v>374</v>
      </c>
      <c r="C154" s="247">
        <f>+C129+C133+C140+C146+C152+C153</f>
        <v>45273200</v>
      </c>
      <c r="D154" s="259">
        <f>+D129+D133+D140+D146+D152+D153</f>
        <v>47149748</v>
      </c>
      <c r="E154" s="241">
        <f>+E129+E133+E140+E146+E152+E153</f>
        <v>47149748</v>
      </c>
    </row>
    <row r="155" spans="1:5" ht="15" customHeight="1" thickBot="1">
      <c r="A155" s="207" t="s">
        <v>16</v>
      </c>
      <c r="B155" s="153" t="s">
        <v>373</v>
      </c>
      <c r="C155" s="247">
        <f>+C128+C154</f>
        <v>45273200</v>
      </c>
      <c r="D155" s="259">
        <f>+D128+D154</f>
        <v>47149748</v>
      </c>
      <c r="E155" s="241">
        <f>+E128+E154</f>
        <v>47149748</v>
      </c>
    </row>
    <row r="156" spans="1:5" ht="13.5" thickBot="1">
      <c r="A156" s="156"/>
      <c r="B156" s="157"/>
      <c r="C156" s="587">
        <f>C90-C155</f>
        <v>0</v>
      </c>
      <c r="D156" s="587">
        <f>D90-D155</f>
        <v>0</v>
      </c>
      <c r="E156" s="158"/>
    </row>
    <row r="157" spans="1:5" ht="15" customHeight="1" thickBot="1">
      <c r="A157" s="301" t="s">
        <v>485</v>
      </c>
      <c r="B157" s="302"/>
      <c r="C157" s="291">
        <v>0</v>
      </c>
      <c r="D157" s="291">
        <v>0</v>
      </c>
      <c r="E157" s="291">
        <v>0</v>
      </c>
    </row>
    <row r="158" spans="1:5" ht="14.25" customHeight="1" thickBot="1">
      <c r="A158" s="303" t="s">
        <v>486</v>
      </c>
      <c r="B158" s="304"/>
      <c r="C158" s="291">
        <v>0</v>
      </c>
      <c r="D158" s="291">
        <v>0</v>
      </c>
      <c r="E158" s="291">
        <v>0</v>
      </c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49">
      <selection activeCell="E10" sqref="E10:E19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851" t="str">
        <f>CONCATENATE("6.2. melléklet ",Z_ALAPADATOK!A7," ",Z_ALAPADATOK!B7," ",Z_ALAPADATOK!C7," ",Z_ALAPADATOK!D7," ",Z_ALAPADATOK!E7," ",Z_ALAPADATOK!F7," ",Z_ALAPADATOK!G7," ",Z_ALAPADATOK!H7)</f>
        <v>6.2. melléklet a 9 / 2020. ( VII.10. ) önkormányzati rendelethez</v>
      </c>
      <c r="C1" s="852"/>
      <c r="D1" s="852"/>
      <c r="E1" s="852"/>
    </row>
    <row r="2" spans="1:5" s="214" customFormat="1" ht="24.75" thickBot="1">
      <c r="A2" s="324" t="s">
        <v>453</v>
      </c>
      <c r="B2" s="853" t="s">
        <v>842</v>
      </c>
      <c r="C2" s="854"/>
      <c r="D2" s="855"/>
      <c r="E2" s="325" t="s">
        <v>42</v>
      </c>
    </row>
    <row r="3" spans="1:5" s="214" customFormat="1" ht="24.75" thickBot="1">
      <c r="A3" s="324" t="s">
        <v>135</v>
      </c>
      <c r="B3" s="853" t="s">
        <v>303</v>
      </c>
      <c r="C3" s="854"/>
      <c r="D3" s="855"/>
      <c r="E3" s="325" t="s">
        <v>38</v>
      </c>
    </row>
    <row r="4" spans="1:5" s="215" customFormat="1" ht="15.75" customHeight="1" thickBot="1">
      <c r="A4" s="326"/>
      <c r="B4" s="326"/>
      <c r="C4" s="327"/>
      <c r="D4" s="328"/>
      <c r="E4" s="327" t="str">
        <f>'Z_6.1.3.sz.mell'!E4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CONCATENATE('Z_6.1.3.sz.mell'!E5)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0</v>
      </c>
      <c r="D8" s="119">
        <f>SUM(D9:D19)</f>
        <v>0</v>
      </c>
      <c r="E8" s="147">
        <f>SUM(E9:E19)</f>
        <v>300202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6">
        <v>268299</v>
      </c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6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6"/>
    </row>
    <row r="14" spans="1:5" s="152" customFormat="1" ht="12" customHeight="1">
      <c r="A14" s="210" t="s">
        <v>67</v>
      </c>
      <c r="B14" s="6" t="s">
        <v>304</v>
      </c>
      <c r="C14" s="116"/>
      <c r="D14" s="116"/>
      <c r="E14" s="266">
        <v>3321</v>
      </c>
    </row>
    <row r="15" spans="1:5" s="152" customFormat="1" ht="12" customHeight="1">
      <c r="A15" s="210" t="s">
        <v>68</v>
      </c>
      <c r="B15" s="5" t="s">
        <v>305</v>
      </c>
      <c r="C15" s="116"/>
      <c r="D15" s="116"/>
      <c r="E15" s="266"/>
    </row>
    <row r="16" spans="1:5" s="152" customFormat="1" ht="12" customHeight="1">
      <c r="A16" s="210" t="s">
        <v>76</v>
      </c>
      <c r="B16" s="6" t="s">
        <v>191</v>
      </c>
      <c r="C16" s="272"/>
      <c r="D16" s="272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118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7">
        <v>28582</v>
      </c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15093800</v>
      </c>
      <c r="D20" s="119">
        <f>SUM(D21:D23)</f>
        <v>14082708</v>
      </c>
      <c r="E20" s="147">
        <f>SUM(E21:E23)</f>
        <v>14995720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116"/>
      <c r="E22" s="266"/>
    </row>
    <row r="23" spans="1:5" s="217" customFormat="1" ht="12" customHeight="1">
      <c r="A23" s="210" t="s">
        <v>71</v>
      </c>
      <c r="B23" s="6" t="s">
        <v>308</v>
      </c>
      <c r="C23" s="116">
        <v>15093800</v>
      </c>
      <c r="D23" s="116">
        <v>14082708</v>
      </c>
      <c r="E23" s="266">
        <v>14995720</v>
      </c>
    </row>
    <row r="24" spans="1:5" s="217" customFormat="1" ht="12" customHeight="1" thickBot="1">
      <c r="A24" s="210" t="s">
        <v>72</v>
      </c>
      <c r="B24" s="6" t="s">
        <v>407</v>
      </c>
      <c r="C24" s="116"/>
      <c r="D24" s="116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6"/>
      <c r="E25" s="146"/>
    </row>
    <row r="26" spans="1:5" s="217" customFormat="1" ht="12" customHeight="1" thickBot="1">
      <c r="A26" s="78" t="s">
        <v>9</v>
      </c>
      <c r="B26" s="56" t="s">
        <v>408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3"/>
      <c r="D27" s="273"/>
      <c r="E27" s="271"/>
    </row>
    <row r="28" spans="1:5" s="217" customFormat="1" ht="12" customHeight="1">
      <c r="A28" s="211" t="s">
        <v>178</v>
      </c>
      <c r="B28" s="212" t="s">
        <v>307</v>
      </c>
      <c r="C28" s="116"/>
      <c r="D28" s="116"/>
      <c r="E28" s="266"/>
    </row>
    <row r="29" spans="1:5" s="217" customFormat="1" ht="12" customHeight="1">
      <c r="A29" s="211" t="s">
        <v>179</v>
      </c>
      <c r="B29" s="213" t="s">
        <v>310</v>
      </c>
      <c r="C29" s="116"/>
      <c r="D29" s="116"/>
      <c r="E29" s="266"/>
    </row>
    <row r="30" spans="1:5" s="217" customFormat="1" ht="12" customHeight="1" thickBot="1">
      <c r="A30" s="210" t="s">
        <v>180</v>
      </c>
      <c r="B30" s="61" t="s">
        <v>409</v>
      </c>
      <c r="C30" s="48"/>
      <c r="D30" s="48"/>
      <c r="E30" s="295"/>
    </row>
    <row r="31" spans="1:5" s="217" customFormat="1" ht="12" customHeight="1" thickBot="1">
      <c r="A31" s="78" t="s">
        <v>10</v>
      </c>
      <c r="B31" s="56" t="s">
        <v>311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3"/>
      <c r="D32" s="273"/>
      <c r="E32" s="271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8"/>
    </row>
    <row r="34" spans="1:5" s="217" customFormat="1" ht="12" customHeight="1" thickBot="1">
      <c r="A34" s="210" t="s">
        <v>58</v>
      </c>
      <c r="B34" s="61" t="s">
        <v>200</v>
      </c>
      <c r="C34" s="48"/>
      <c r="D34" s="48"/>
      <c r="E34" s="295"/>
    </row>
    <row r="35" spans="1:5" s="152" customFormat="1" ht="12" customHeight="1" thickBot="1">
      <c r="A35" s="78" t="s">
        <v>11</v>
      </c>
      <c r="B35" s="56" t="s">
        <v>283</v>
      </c>
      <c r="C35" s="296"/>
      <c r="D35" s="296"/>
      <c r="E35" s="146"/>
    </row>
    <row r="36" spans="1:5" s="152" customFormat="1" ht="12" customHeight="1" thickBot="1">
      <c r="A36" s="78" t="s">
        <v>12</v>
      </c>
      <c r="B36" s="56" t="s">
        <v>312</v>
      </c>
      <c r="C36" s="296"/>
      <c r="D36" s="296"/>
      <c r="E36" s="146"/>
    </row>
    <row r="37" spans="1:5" s="152" customFormat="1" ht="12" customHeight="1" thickBot="1">
      <c r="A37" s="74" t="s">
        <v>13</v>
      </c>
      <c r="B37" s="56" t="s">
        <v>313</v>
      </c>
      <c r="C37" s="119">
        <f>+C8+C20+C25+C26+C31+C35+C36</f>
        <v>15093800</v>
      </c>
      <c r="D37" s="119">
        <f>+D8+D20+D25+D26+D31+D35+D36</f>
        <v>14082708</v>
      </c>
      <c r="E37" s="147">
        <f>+E8+E20+E25+E26+E31+E35+E36</f>
        <v>15295922</v>
      </c>
    </row>
    <row r="38" spans="1:5" s="152" customFormat="1" ht="12" customHeight="1" thickBot="1">
      <c r="A38" s="84" t="s">
        <v>14</v>
      </c>
      <c r="B38" s="56" t="s">
        <v>314</v>
      </c>
      <c r="C38" s="119">
        <f>+C39+C40+C41</f>
        <v>90546400</v>
      </c>
      <c r="D38" s="119">
        <f>+D39+D40+D41</f>
        <v>97066259</v>
      </c>
      <c r="E38" s="147">
        <f>+E39+E40+E41</f>
        <v>97066259</v>
      </c>
    </row>
    <row r="39" spans="1:5" s="152" customFormat="1" ht="12" customHeight="1">
      <c r="A39" s="211" t="s">
        <v>315</v>
      </c>
      <c r="B39" s="212" t="s">
        <v>150</v>
      </c>
      <c r="C39" s="273"/>
      <c r="D39" s="273">
        <v>2766762</v>
      </c>
      <c r="E39" s="271">
        <v>2766762</v>
      </c>
    </row>
    <row r="40" spans="1:5" s="152" customFormat="1" ht="12" customHeight="1">
      <c r="A40" s="211" t="s">
        <v>316</v>
      </c>
      <c r="B40" s="213" t="s">
        <v>0</v>
      </c>
      <c r="C40" s="120"/>
      <c r="D40" s="120"/>
      <c r="E40" s="268"/>
    </row>
    <row r="41" spans="1:5" s="217" customFormat="1" ht="12" customHeight="1" thickBot="1">
      <c r="A41" s="210" t="s">
        <v>317</v>
      </c>
      <c r="B41" s="61" t="s">
        <v>318</v>
      </c>
      <c r="C41" s="48">
        <v>90546400</v>
      </c>
      <c r="D41" s="48">
        <v>94299497</v>
      </c>
      <c r="E41" s="295">
        <v>94299497</v>
      </c>
    </row>
    <row r="42" spans="1:5" s="217" customFormat="1" ht="15" customHeight="1" thickBot="1">
      <c r="A42" s="84" t="s">
        <v>15</v>
      </c>
      <c r="B42" s="85" t="s">
        <v>319</v>
      </c>
      <c r="C42" s="297">
        <f>+C37+C38</f>
        <v>105640200</v>
      </c>
      <c r="D42" s="297">
        <f>+D37+D38</f>
        <v>111148967</v>
      </c>
      <c r="E42" s="150">
        <f>+E37+E38</f>
        <v>112362181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7" t="s">
        <v>40</v>
      </c>
      <c r="B45" s="848"/>
      <c r="C45" s="848"/>
      <c r="D45" s="848"/>
      <c r="E45" s="849"/>
    </row>
    <row r="46" spans="1:5" s="218" customFormat="1" ht="12" customHeight="1" thickBot="1">
      <c r="A46" s="78" t="s">
        <v>6</v>
      </c>
      <c r="B46" s="56" t="s">
        <v>320</v>
      </c>
      <c r="C46" s="119">
        <f>SUM(C47:C51)</f>
        <v>105640200</v>
      </c>
      <c r="D46" s="119">
        <f>SUM(D47:D51)</f>
        <v>110858172</v>
      </c>
      <c r="E46" s="147">
        <f>SUM(E47:E51)</f>
        <v>106836057</v>
      </c>
    </row>
    <row r="47" spans="1:5" ht="12" customHeight="1">
      <c r="A47" s="210" t="s">
        <v>63</v>
      </c>
      <c r="B47" s="7" t="s">
        <v>35</v>
      </c>
      <c r="C47" s="273">
        <v>79505200</v>
      </c>
      <c r="D47" s="273">
        <v>84096571</v>
      </c>
      <c r="E47" s="271">
        <v>82995408</v>
      </c>
    </row>
    <row r="48" spans="1:5" ht="12" customHeight="1">
      <c r="A48" s="210" t="s">
        <v>64</v>
      </c>
      <c r="B48" s="6" t="s">
        <v>122</v>
      </c>
      <c r="C48" s="47">
        <v>15930000</v>
      </c>
      <c r="D48" s="47">
        <v>16565564</v>
      </c>
      <c r="E48" s="269">
        <v>16064088</v>
      </c>
    </row>
    <row r="49" spans="1:5" ht="12" customHeight="1">
      <c r="A49" s="210" t="s">
        <v>65</v>
      </c>
      <c r="B49" s="6" t="s">
        <v>90</v>
      </c>
      <c r="C49" s="47">
        <v>10205000</v>
      </c>
      <c r="D49" s="47">
        <v>10196037</v>
      </c>
      <c r="E49" s="269">
        <v>7776561</v>
      </c>
    </row>
    <row r="50" spans="1:5" ht="12" customHeight="1">
      <c r="A50" s="210" t="s">
        <v>66</v>
      </c>
      <c r="B50" s="6" t="s">
        <v>123</v>
      </c>
      <c r="C50" s="47"/>
      <c r="D50" s="47"/>
      <c r="E50" s="269"/>
    </row>
    <row r="51" spans="1:5" ht="12" customHeight="1" thickBot="1">
      <c r="A51" s="210" t="s">
        <v>97</v>
      </c>
      <c r="B51" s="6" t="s">
        <v>124</v>
      </c>
      <c r="C51" s="47"/>
      <c r="D51" s="47"/>
      <c r="E51" s="269"/>
    </row>
    <row r="52" spans="1:5" ht="12" customHeight="1" thickBot="1">
      <c r="A52" s="78" t="s">
        <v>7</v>
      </c>
      <c r="B52" s="56" t="s">
        <v>321</v>
      </c>
      <c r="C52" s="119">
        <f>SUM(C53:C55)</f>
        <v>0</v>
      </c>
      <c r="D52" s="119">
        <f>SUM(D53:D55)</f>
        <v>290795</v>
      </c>
      <c r="E52" s="147">
        <f>SUM(E53:E55)</f>
        <v>270275</v>
      </c>
    </row>
    <row r="53" spans="1:5" s="218" customFormat="1" ht="12" customHeight="1">
      <c r="A53" s="210" t="s">
        <v>69</v>
      </c>
      <c r="B53" s="7" t="s">
        <v>143</v>
      </c>
      <c r="C53" s="273"/>
      <c r="D53" s="273">
        <v>290795</v>
      </c>
      <c r="E53" s="271">
        <v>270275</v>
      </c>
    </row>
    <row r="54" spans="1:5" ht="12" customHeight="1">
      <c r="A54" s="210" t="s">
        <v>70</v>
      </c>
      <c r="B54" s="6" t="s">
        <v>126</v>
      </c>
      <c r="C54" s="47"/>
      <c r="D54" s="47"/>
      <c r="E54" s="269"/>
    </row>
    <row r="55" spans="1:5" ht="12" customHeight="1">
      <c r="A55" s="210" t="s">
        <v>71</v>
      </c>
      <c r="B55" s="6" t="s">
        <v>41</v>
      </c>
      <c r="C55" s="47"/>
      <c r="D55" s="47"/>
      <c r="E55" s="269"/>
    </row>
    <row r="56" spans="1:5" ht="12" customHeight="1" thickBot="1">
      <c r="A56" s="210" t="s">
        <v>72</v>
      </c>
      <c r="B56" s="6" t="s">
        <v>410</v>
      </c>
      <c r="C56" s="47"/>
      <c r="D56" s="47"/>
      <c r="E56" s="269"/>
    </row>
    <row r="57" spans="1:5" ht="12" customHeight="1" thickBot="1">
      <c r="A57" s="78" t="s">
        <v>8</v>
      </c>
      <c r="B57" s="56" t="s">
        <v>2</v>
      </c>
      <c r="C57" s="296"/>
      <c r="D57" s="296"/>
      <c r="E57" s="146"/>
    </row>
    <row r="58" spans="1:5" ht="15" customHeight="1" thickBot="1">
      <c r="A58" s="78" t="s">
        <v>9</v>
      </c>
      <c r="B58" s="90" t="s">
        <v>414</v>
      </c>
      <c r="C58" s="297">
        <f>+C46+C52+C57</f>
        <v>105640200</v>
      </c>
      <c r="D58" s="297">
        <f>+D46+D52+D57</f>
        <v>111148967</v>
      </c>
      <c r="E58" s="150">
        <f>+E46+E52+E57</f>
        <v>107106332</v>
      </c>
    </row>
    <row r="59" spans="3:5" ht="13.5" thickBot="1">
      <c r="C59" s="587">
        <f>C42-C58</f>
        <v>0</v>
      </c>
      <c r="D59" s="587">
        <f>D42-D58</f>
        <v>0</v>
      </c>
      <c r="E59" s="151"/>
    </row>
    <row r="60" spans="1:5" ht="15" customHeight="1" thickBot="1">
      <c r="A60" s="301" t="s">
        <v>485</v>
      </c>
      <c r="B60" s="302"/>
      <c r="C60" s="291">
        <v>19</v>
      </c>
      <c r="D60" s="291">
        <v>19</v>
      </c>
      <c r="E60" s="290">
        <v>19</v>
      </c>
    </row>
    <row r="61" spans="1:5" ht="14.25" customHeight="1" thickBot="1">
      <c r="A61" s="303" t="s">
        <v>486</v>
      </c>
      <c r="B61" s="304"/>
      <c r="C61" s="291">
        <v>0</v>
      </c>
      <c r="D61" s="291">
        <v>0</v>
      </c>
      <c r="E61" s="290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4">
      <selection activeCell="E53" sqref="E53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851" t="str">
        <f>CONCATENATE("6.2.1. melléklet ",Z_ALAPADATOK!A7," ",Z_ALAPADATOK!B7," ",Z_ALAPADATOK!C7," ",Z_ALAPADATOK!D7," ",Z_ALAPADATOK!E7," ",Z_ALAPADATOK!F7," ",Z_ALAPADATOK!G7," ",Z_ALAPADATOK!H7)</f>
        <v>6.2.1. melléklet a 9 / 2020. ( VII.10. ) önkormányzati rendelethez</v>
      </c>
      <c r="C1" s="852"/>
      <c r="D1" s="852"/>
      <c r="E1" s="852"/>
    </row>
    <row r="2" spans="1:5" s="214" customFormat="1" ht="24.75" thickBot="1">
      <c r="A2" s="324" t="s">
        <v>453</v>
      </c>
      <c r="B2" s="853" t="str">
        <f>CONCATENATE('Z_6.2.sz.mell'!B2:D2)</f>
        <v>Besenyszögi Közös Önkormányzati Hivatal</v>
      </c>
      <c r="C2" s="854"/>
      <c r="D2" s="855"/>
      <c r="E2" s="325" t="s">
        <v>42</v>
      </c>
    </row>
    <row r="3" spans="1:5" s="214" customFormat="1" ht="24.75" thickBot="1">
      <c r="A3" s="324" t="s">
        <v>135</v>
      </c>
      <c r="B3" s="853" t="s">
        <v>322</v>
      </c>
      <c r="C3" s="854"/>
      <c r="D3" s="855"/>
      <c r="E3" s="325" t="s">
        <v>42</v>
      </c>
    </row>
    <row r="4" spans="1:5" s="215" customFormat="1" ht="15.75" customHeight="1" thickBot="1">
      <c r="A4" s="326"/>
      <c r="B4" s="326"/>
      <c r="C4" s="327"/>
      <c r="D4" s="328"/>
      <c r="E4" s="327" t="str">
        <f>'Z_6.2.sz.mell'!E4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CONCATENATE('Z_6.2.sz.mell'!E5)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0</v>
      </c>
      <c r="D8" s="119">
        <f>SUM(D9:D19)</f>
        <v>0</v>
      </c>
      <c r="E8" s="147">
        <f>SUM(E9:E19)</f>
        <v>150101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6">
        <v>134150</v>
      </c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6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6"/>
    </row>
    <row r="14" spans="1:5" s="152" customFormat="1" ht="12" customHeight="1">
      <c r="A14" s="210" t="s">
        <v>67</v>
      </c>
      <c r="B14" s="6" t="s">
        <v>304</v>
      </c>
      <c r="C14" s="116"/>
      <c r="D14" s="116"/>
      <c r="E14" s="266">
        <v>1660</v>
      </c>
    </row>
    <row r="15" spans="1:5" s="152" customFormat="1" ht="12" customHeight="1">
      <c r="A15" s="210" t="s">
        <v>68</v>
      </c>
      <c r="B15" s="5" t="s">
        <v>305</v>
      </c>
      <c r="C15" s="116"/>
      <c r="D15" s="116"/>
      <c r="E15" s="266"/>
    </row>
    <row r="16" spans="1:5" s="152" customFormat="1" ht="12" customHeight="1">
      <c r="A16" s="210" t="s">
        <v>76</v>
      </c>
      <c r="B16" s="6" t="s">
        <v>191</v>
      </c>
      <c r="C16" s="272"/>
      <c r="D16" s="272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118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7">
        <v>14291</v>
      </c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7546900</v>
      </c>
      <c r="D20" s="119">
        <f>SUM(D21:D23)</f>
        <v>7041354</v>
      </c>
      <c r="E20" s="147">
        <f>SUM(E21:E23)</f>
        <v>7497860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116"/>
      <c r="E22" s="266"/>
    </row>
    <row r="23" spans="1:5" s="217" customFormat="1" ht="12" customHeight="1">
      <c r="A23" s="210" t="s">
        <v>71</v>
      </c>
      <c r="B23" s="6" t="s">
        <v>308</v>
      </c>
      <c r="C23" s="116">
        <v>7546900</v>
      </c>
      <c r="D23" s="116">
        <v>7041354</v>
      </c>
      <c r="E23" s="266">
        <v>7497860</v>
      </c>
    </row>
    <row r="24" spans="1:5" s="217" customFormat="1" ht="12" customHeight="1" thickBot="1">
      <c r="A24" s="210" t="s">
        <v>72</v>
      </c>
      <c r="B24" s="6" t="s">
        <v>407</v>
      </c>
      <c r="C24" s="116"/>
      <c r="D24" s="116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6"/>
      <c r="E25" s="146"/>
    </row>
    <row r="26" spans="1:5" s="217" customFormat="1" ht="12" customHeight="1" thickBot="1">
      <c r="A26" s="78" t="s">
        <v>9</v>
      </c>
      <c r="B26" s="56" t="s">
        <v>408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3"/>
      <c r="D27" s="273"/>
      <c r="E27" s="271"/>
    </row>
    <row r="28" spans="1:5" s="217" customFormat="1" ht="12" customHeight="1">
      <c r="A28" s="211" t="s">
        <v>178</v>
      </c>
      <c r="B28" s="212" t="s">
        <v>307</v>
      </c>
      <c r="C28" s="116"/>
      <c r="D28" s="116"/>
      <c r="E28" s="266"/>
    </row>
    <row r="29" spans="1:5" s="217" customFormat="1" ht="12" customHeight="1">
      <c r="A29" s="211" t="s">
        <v>179</v>
      </c>
      <c r="B29" s="213" t="s">
        <v>310</v>
      </c>
      <c r="C29" s="116"/>
      <c r="D29" s="116"/>
      <c r="E29" s="266"/>
    </row>
    <row r="30" spans="1:5" s="217" customFormat="1" ht="12" customHeight="1" thickBot="1">
      <c r="A30" s="210" t="s">
        <v>180</v>
      </c>
      <c r="B30" s="61" t="s">
        <v>409</v>
      </c>
      <c r="C30" s="48"/>
      <c r="D30" s="48"/>
      <c r="E30" s="295"/>
    </row>
    <row r="31" spans="1:5" s="217" customFormat="1" ht="12" customHeight="1" thickBot="1">
      <c r="A31" s="78" t="s">
        <v>10</v>
      </c>
      <c r="B31" s="56" t="s">
        <v>311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3"/>
      <c r="D32" s="273"/>
      <c r="E32" s="271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8"/>
    </row>
    <row r="34" spans="1:5" s="217" customFormat="1" ht="12" customHeight="1" thickBot="1">
      <c r="A34" s="210" t="s">
        <v>58</v>
      </c>
      <c r="B34" s="61" t="s">
        <v>200</v>
      </c>
      <c r="C34" s="48"/>
      <c r="D34" s="48"/>
      <c r="E34" s="295"/>
    </row>
    <row r="35" spans="1:5" s="152" customFormat="1" ht="12" customHeight="1" thickBot="1">
      <c r="A35" s="78" t="s">
        <v>11</v>
      </c>
      <c r="B35" s="56" t="s">
        <v>283</v>
      </c>
      <c r="C35" s="296"/>
      <c r="D35" s="296"/>
      <c r="E35" s="146"/>
    </row>
    <row r="36" spans="1:5" s="152" customFormat="1" ht="12" customHeight="1" thickBot="1">
      <c r="A36" s="78" t="s">
        <v>12</v>
      </c>
      <c r="B36" s="56" t="s">
        <v>312</v>
      </c>
      <c r="C36" s="296"/>
      <c r="D36" s="296"/>
      <c r="E36" s="146"/>
    </row>
    <row r="37" spans="1:5" s="152" customFormat="1" ht="12" customHeight="1" thickBot="1">
      <c r="A37" s="74" t="s">
        <v>13</v>
      </c>
      <c r="B37" s="56" t="s">
        <v>313</v>
      </c>
      <c r="C37" s="119">
        <f>+C8+C20+C25+C26+C31+C35+C36</f>
        <v>7546900</v>
      </c>
      <c r="D37" s="119">
        <f>+D8+D20+D25+D26+D31+D35+D36</f>
        <v>7041354</v>
      </c>
      <c r="E37" s="147">
        <f>+E8+E20+E25+E26+E31+E35+E36</f>
        <v>7647961</v>
      </c>
    </row>
    <row r="38" spans="1:5" s="152" customFormat="1" ht="12" customHeight="1" thickBot="1">
      <c r="A38" s="84" t="s">
        <v>14</v>
      </c>
      <c r="B38" s="56" t="s">
        <v>314</v>
      </c>
      <c r="C38" s="119">
        <f>+C39+C40+C41</f>
        <v>45273200</v>
      </c>
      <c r="D38" s="119">
        <f>+D39+D40+D41</f>
        <v>48533130</v>
      </c>
      <c r="E38" s="147">
        <f>+E39+E40+E41</f>
        <v>48533130</v>
      </c>
    </row>
    <row r="39" spans="1:5" s="152" customFormat="1" ht="12" customHeight="1">
      <c r="A39" s="211" t="s">
        <v>315</v>
      </c>
      <c r="B39" s="212" t="s">
        <v>150</v>
      </c>
      <c r="C39" s="273"/>
      <c r="D39" s="273">
        <v>1383381</v>
      </c>
      <c r="E39" s="271">
        <v>1383381</v>
      </c>
    </row>
    <row r="40" spans="1:5" s="152" customFormat="1" ht="12" customHeight="1">
      <c r="A40" s="211" t="s">
        <v>316</v>
      </c>
      <c r="B40" s="213" t="s">
        <v>0</v>
      </c>
      <c r="C40" s="120"/>
      <c r="D40" s="120"/>
      <c r="E40" s="268"/>
    </row>
    <row r="41" spans="1:5" s="217" customFormat="1" ht="12" customHeight="1" thickBot="1">
      <c r="A41" s="210" t="s">
        <v>317</v>
      </c>
      <c r="B41" s="61" t="s">
        <v>318</v>
      </c>
      <c r="C41" s="48">
        <v>45273200</v>
      </c>
      <c r="D41" s="48">
        <v>47149749</v>
      </c>
      <c r="E41" s="295">
        <v>47149749</v>
      </c>
    </row>
    <row r="42" spans="1:5" s="217" customFormat="1" ht="15" customHeight="1" thickBot="1">
      <c r="A42" s="84" t="s">
        <v>15</v>
      </c>
      <c r="B42" s="85" t="s">
        <v>319</v>
      </c>
      <c r="C42" s="297">
        <f>+C37+C38</f>
        <v>52820100</v>
      </c>
      <c r="D42" s="297">
        <f>+D37+D38</f>
        <v>55574484</v>
      </c>
      <c r="E42" s="150">
        <f>+E37+E38</f>
        <v>56181091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7" t="s">
        <v>40</v>
      </c>
      <c r="B45" s="848"/>
      <c r="C45" s="848"/>
      <c r="D45" s="848"/>
      <c r="E45" s="849"/>
    </row>
    <row r="46" spans="1:5" s="218" customFormat="1" ht="12" customHeight="1" thickBot="1">
      <c r="A46" s="78" t="s">
        <v>6</v>
      </c>
      <c r="B46" s="56" t="s">
        <v>320</v>
      </c>
      <c r="C46" s="119">
        <f>SUM(C47:C51)</f>
        <v>52820100</v>
      </c>
      <c r="D46" s="119">
        <f>SUM(D47:D51)</f>
        <v>55429086</v>
      </c>
      <c r="E46" s="147">
        <f>SUM(E47:E51)</f>
        <v>53418028</v>
      </c>
    </row>
    <row r="47" spans="1:5" ht="12" customHeight="1">
      <c r="A47" s="210" t="s">
        <v>63</v>
      </c>
      <c r="B47" s="7" t="s">
        <v>35</v>
      </c>
      <c r="C47" s="273">
        <v>39752600</v>
      </c>
      <c r="D47" s="273">
        <v>42048286</v>
      </c>
      <c r="E47" s="271">
        <v>41497704</v>
      </c>
    </row>
    <row r="48" spans="1:5" ht="12" customHeight="1">
      <c r="A48" s="210" t="s">
        <v>64</v>
      </c>
      <c r="B48" s="6" t="s">
        <v>122</v>
      </c>
      <c r="C48" s="47">
        <v>7965000</v>
      </c>
      <c r="D48" s="47">
        <v>8282782</v>
      </c>
      <c r="E48" s="269">
        <v>8032044</v>
      </c>
    </row>
    <row r="49" spans="1:5" ht="12" customHeight="1">
      <c r="A49" s="210" t="s">
        <v>65</v>
      </c>
      <c r="B49" s="6" t="s">
        <v>90</v>
      </c>
      <c r="C49" s="47">
        <v>5102500</v>
      </c>
      <c r="D49" s="47">
        <v>5098018</v>
      </c>
      <c r="E49" s="269">
        <v>3888280</v>
      </c>
    </row>
    <row r="50" spans="1:5" ht="12" customHeight="1">
      <c r="A50" s="210" t="s">
        <v>66</v>
      </c>
      <c r="B50" s="6" t="s">
        <v>123</v>
      </c>
      <c r="C50" s="47"/>
      <c r="D50" s="47"/>
      <c r="E50" s="269"/>
    </row>
    <row r="51" spans="1:5" ht="12" customHeight="1" thickBot="1">
      <c r="A51" s="210" t="s">
        <v>97</v>
      </c>
      <c r="B51" s="6" t="s">
        <v>124</v>
      </c>
      <c r="C51" s="47"/>
      <c r="D51" s="47"/>
      <c r="E51" s="269"/>
    </row>
    <row r="52" spans="1:5" ht="12" customHeight="1" thickBot="1">
      <c r="A52" s="78" t="s">
        <v>7</v>
      </c>
      <c r="B52" s="56" t="s">
        <v>321</v>
      </c>
      <c r="C52" s="119">
        <f>SUM(C53:C55)</f>
        <v>0</v>
      </c>
      <c r="D52" s="119">
        <f>SUM(D53:D55)</f>
        <v>145398</v>
      </c>
      <c r="E52" s="147">
        <f>SUM(E53:E55)</f>
        <v>135138</v>
      </c>
    </row>
    <row r="53" spans="1:5" s="218" customFormat="1" ht="12" customHeight="1">
      <c r="A53" s="210" t="s">
        <v>69</v>
      </c>
      <c r="B53" s="7" t="s">
        <v>143</v>
      </c>
      <c r="C53" s="273"/>
      <c r="D53" s="273">
        <v>145398</v>
      </c>
      <c r="E53" s="271">
        <v>135138</v>
      </c>
    </row>
    <row r="54" spans="1:5" ht="12" customHeight="1">
      <c r="A54" s="210" t="s">
        <v>70</v>
      </c>
      <c r="B54" s="6" t="s">
        <v>126</v>
      </c>
      <c r="C54" s="47"/>
      <c r="D54" s="47"/>
      <c r="E54" s="269"/>
    </row>
    <row r="55" spans="1:5" ht="12" customHeight="1">
      <c r="A55" s="210" t="s">
        <v>71</v>
      </c>
      <c r="B55" s="6" t="s">
        <v>41</v>
      </c>
      <c r="C55" s="47"/>
      <c r="D55" s="47"/>
      <c r="E55" s="269"/>
    </row>
    <row r="56" spans="1:5" ht="12" customHeight="1" thickBot="1">
      <c r="A56" s="210" t="s">
        <v>72</v>
      </c>
      <c r="B56" s="6" t="s">
        <v>410</v>
      </c>
      <c r="C56" s="47"/>
      <c r="D56" s="47"/>
      <c r="E56" s="269"/>
    </row>
    <row r="57" spans="1:5" ht="12" customHeight="1" thickBot="1">
      <c r="A57" s="78" t="s">
        <v>8</v>
      </c>
      <c r="B57" s="56" t="s">
        <v>2</v>
      </c>
      <c r="C57" s="296"/>
      <c r="D57" s="296"/>
      <c r="E57" s="146"/>
    </row>
    <row r="58" spans="1:5" ht="15" customHeight="1" thickBot="1">
      <c r="A58" s="78" t="s">
        <v>9</v>
      </c>
      <c r="B58" s="90" t="s">
        <v>414</v>
      </c>
      <c r="C58" s="297">
        <f>+C46+C52+C57</f>
        <v>52820100</v>
      </c>
      <c r="D58" s="297">
        <f>+D46+D52+D57</f>
        <v>55574484</v>
      </c>
      <c r="E58" s="150">
        <f>+E46+E52+E57</f>
        <v>53553166</v>
      </c>
    </row>
    <row r="59" spans="3:5" ht="13.5" thickBot="1">
      <c r="C59" s="587">
        <f>C42-C58</f>
        <v>0</v>
      </c>
      <c r="D59" s="587">
        <f>D42-D58</f>
        <v>0</v>
      </c>
      <c r="E59" s="151"/>
    </row>
    <row r="60" spans="1:5" ht="15" customHeight="1" thickBot="1">
      <c r="A60" s="301" t="s">
        <v>485</v>
      </c>
      <c r="B60" s="302"/>
      <c r="C60" s="291">
        <v>10</v>
      </c>
      <c r="D60" s="291">
        <v>10</v>
      </c>
      <c r="E60" s="290">
        <v>10</v>
      </c>
    </row>
    <row r="61" spans="1:5" ht="14.25" customHeight="1" thickBot="1">
      <c r="A61" s="303" t="s">
        <v>486</v>
      </c>
      <c r="B61" s="304"/>
      <c r="C61" s="291">
        <v>0</v>
      </c>
      <c r="D61" s="291">
        <v>0</v>
      </c>
      <c r="E61" s="290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572"/>
      <c r="B1" s="677">
        <f>Z_TARTALOMJEGYZÉK!A1</f>
        <v>2019</v>
      </c>
      <c r="C1" s="677" t="s">
        <v>809</v>
      </c>
      <c r="D1" s="677"/>
      <c r="E1" s="572"/>
      <c r="F1" s="572"/>
      <c r="G1" s="572"/>
      <c r="H1" s="572"/>
      <c r="I1" s="572"/>
    </row>
    <row r="2" spans="1:9" ht="15.75">
      <c r="A2" s="775" t="s">
        <v>493</v>
      </c>
      <c r="B2" s="775"/>
      <c r="C2" s="775"/>
      <c r="D2" s="775"/>
      <c r="E2" s="775"/>
      <c r="F2" s="775"/>
      <c r="G2" s="572"/>
      <c r="H2" s="572"/>
      <c r="I2" s="572"/>
    </row>
    <row r="3" spans="1:9" ht="15.75">
      <c r="A3" s="778" t="s">
        <v>841</v>
      </c>
      <c r="B3" s="778"/>
      <c r="C3" s="778"/>
      <c r="D3" s="778"/>
      <c r="E3" s="778"/>
      <c r="F3" s="778"/>
      <c r="G3" s="778"/>
      <c r="H3" s="572"/>
      <c r="I3" s="572"/>
    </row>
    <row r="4" spans="1:9" ht="12.75">
      <c r="A4" s="572"/>
      <c r="B4" s="572"/>
      <c r="C4" s="572"/>
      <c r="D4" s="572"/>
      <c r="E4" s="572"/>
      <c r="F4" s="572"/>
      <c r="G4" s="572"/>
      <c r="H4" s="572"/>
      <c r="I4" s="572"/>
    </row>
    <row r="5" spans="1:9" ht="12.75">
      <c r="A5" s="572"/>
      <c r="B5" s="572"/>
      <c r="C5" s="572"/>
      <c r="D5" s="572"/>
      <c r="E5" s="572"/>
      <c r="F5" s="572"/>
      <c r="G5" s="572"/>
      <c r="H5" s="572"/>
      <c r="I5" s="572"/>
    </row>
    <row r="6" spans="1:9" ht="14.25">
      <c r="A6" s="678" t="s">
        <v>793</v>
      </c>
      <c r="B6" s="572"/>
      <c r="C6" s="572"/>
      <c r="D6" s="572"/>
      <c r="E6" s="572"/>
      <c r="F6" s="572"/>
      <c r="G6" s="572"/>
      <c r="H6" s="572"/>
      <c r="I6" s="572"/>
    </row>
    <row r="7" spans="1:9" ht="12.75">
      <c r="A7" s="679" t="s">
        <v>787</v>
      </c>
      <c r="B7" s="621">
        <v>9</v>
      </c>
      <c r="C7" s="572" t="s">
        <v>788</v>
      </c>
      <c r="D7" s="572" t="str">
        <f>CONCATENATE(Z_TARTALOMJEGYZÉK!A1+1,".")</f>
        <v>2020.</v>
      </c>
      <c r="E7" s="572" t="s">
        <v>789</v>
      </c>
      <c r="F7" s="621" t="s">
        <v>1000</v>
      </c>
      <c r="G7" s="572" t="s">
        <v>790</v>
      </c>
      <c r="H7" s="572" t="s">
        <v>791</v>
      </c>
      <c r="I7" s="572"/>
    </row>
    <row r="8" spans="1:9" ht="12.75">
      <c r="A8" s="679"/>
      <c r="B8" s="680"/>
      <c r="C8" s="572"/>
      <c r="D8" s="572"/>
      <c r="E8" s="572"/>
      <c r="F8" s="680"/>
      <c r="G8" s="572"/>
      <c r="H8" s="572"/>
      <c r="I8" s="572"/>
    </row>
    <row r="9" spans="1:9" ht="12.75">
      <c r="A9" s="679"/>
      <c r="B9" s="680"/>
      <c r="C9" s="572"/>
      <c r="D9" s="572"/>
      <c r="E9" s="572"/>
      <c r="F9" s="680"/>
      <c r="G9" s="572"/>
      <c r="H9" s="572"/>
      <c r="I9" s="572"/>
    </row>
    <row r="10" spans="1:9" ht="13.5" thickBot="1">
      <c r="A10" s="572"/>
      <c r="B10" s="572"/>
      <c r="C10" s="572"/>
      <c r="D10" s="572"/>
      <c r="E10" s="572"/>
      <c r="F10" s="572"/>
      <c r="G10" s="572"/>
      <c r="H10" s="624" t="s">
        <v>820</v>
      </c>
      <c r="I10" s="572"/>
    </row>
    <row r="11" spans="1:13" ht="17.25" thickBot="1" thickTop="1">
      <c r="A11" s="776" t="s">
        <v>842</v>
      </c>
      <c r="B11" s="777"/>
      <c r="C11" s="777"/>
      <c r="D11" s="777"/>
      <c r="E11" s="777"/>
      <c r="F11" s="777"/>
      <c r="G11" s="777"/>
      <c r="H11" s="681" t="s">
        <v>829</v>
      </c>
      <c r="I11" s="572"/>
      <c r="J11" s="625" t="s">
        <v>11</v>
      </c>
      <c r="K11">
        <f>IF($H$11="Nem","",2)</f>
        <v>2</v>
      </c>
      <c r="L11" t="s">
        <v>821</v>
      </c>
      <c r="M11" t="str">
        <f>CONCATENATE(J11,K11,L11)</f>
        <v>6.2.</v>
      </c>
    </row>
    <row r="12" spans="1:9" ht="13.5" thickTop="1">
      <c r="A12" s="572"/>
      <c r="B12" s="572"/>
      <c r="C12" s="572"/>
      <c r="D12" s="572"/>
      <c r="E12" s="572"/>
      <c r="F12" s="572"/>
      <c r="G12" s="572"/>
      <c r="H12" s="572"/>
      <c r="I12" s="572"/>
    </row>
    <row r="13" spans="1:13" ht="14.25">
      <c r="A13" s="682" t="s">
        <v>494</v>
      </c>
      <c r="B13" s="773" t="s">
        <v>844</v>
      </c>
      <c r="C13" s="774"/>
      <c r="D13" s="774"/>
      <c r="E13" s="774"/>
      <c r="F13" s="774"/>
      <c r="G13" s="774"/>
      <c r="H13" s="572"/>
      <c r="I13" s="572"/>
      <c r="J13" s="625" t="s">
        <v>11</v>
      </c>
      <c r="K13">
        <f>IF(H11="Nem",2,3)</f>
        <v>3</v>
      </c>
      <c r="L13" t="s">
        <v>821</v>
      </c>
      <c r="M13" t="str">
        <f>CONCATENATE(J13,K13,L13)</f>
        <v>6.3.</v>
      </c>
    </row>
    <row r="14" spans="1:9" ht="14.25">
      <c r="A14" s="572"/>
      <c r="B14" s="622"/>
      <c r="C14" s="572"/>
      <c r="D14" s="572"/>
      <c r="E14" s="572"/>
      <c r="F14" s="572"/>
      <c r="G14" s="572"/>
      <c r="H14" s="572"/>
      <c r="I14" s="572"/>
    </row>
    <row r="15" spans="1:13" ht="14.25">
      <c r="A15" s="682" t="s">
        <v>495</v>
      </c>
      <c r="B15" s="773" t="s">
        <v>847</v>
      </c>
      <c r="C15" s="774"/>
      <c r="D15" s="774"/>
      <c r="E15" s="774"/>
      <c r="F15" s="774"/>
      <c r="G15" s="774"/>
      <c r="H15" s="572"/>
      <c r="I15" s="572"/>
      <c r="J15" s="625" t="s">
        <v>11</v>
      </c>
      <c r="K15">
        <f>K13+1</f>
        <v>4</v>
      </c>
      <c r="L15" t="s">
        <v>821</v>
      </c>
      <c r="M15" t="str">
        <f>CONCATENATE(J15,K15,L15)</f>
        <v>6.4.</v>
      </c>
    </row>
    <row r="16" spans="1:9" ht="14.25">
      <c r="A16" s="572"/>
      <c r="B16" s="622"/>
      <c r="C16" s="572"/>
      <c r="D16" s="572"/>
      <c r="E16" s="572"/>
      <c r="F16" s="572"/>
      <c r="G16" s="572"/>
      <c r="H16" s="572"/>
      <c r="I16" s="572"/>
    </row>
    <row r="17" spans="1:13" ht="14.25">
      <c r="A17" s="682" t="s">
        <v>496</v>
      </c>
      <c r="B17" s="773" t="s">
        <v>497</v>
      </c>
      <c r="C17" s="774"/>
      <c r="D17" s="774"/>
      <c r="E17" s="774"/>
      <c r="F17" s="774"/>
      <c r="G17" s="774"/>
      <c r="H17" s="572"/>
      <c r="I17" s="572"/>
      <c r="J17" s="625" t="s">
        <v>11</v>
      </c>
      <c r="K17">
        <f>K15+1</f>
        <v>5</v>
      </c>
      <c r="L17" t="s">
        <v>821</v>
      </c>
      <c r="M17" t="str">
        <f>CONCATENATE(J17,K17,L17)</f>
        <v>6.5.</v>
      </c>
    </row>
    <row r="18" spans="1:9" ht="14.25">
      <c r="A18" s="572"/>
      <c r="B18" s="622"/>
      <c r="C18" s="572"/>
      <c r="D18" s="572"/>
      <c r="E18" s="572"/>
      <c r="F18" s="572"/>
      <c r="G18" s="572"/>
      <c r="H18" s="572"/>
      <c r="I18" s="572"/>
    </row>
    <row r="19" spans="1:13" ht="14.25">
      <c r="A19" s="682" t="s">
        <v>498</v>
      </c>
      <c r="B19" s="773" t="s">
        <v>499</v>
      </c>
      <c r="C19" s="774"/>
      <c r="D19" s="774"/>
      <c r="E19" s="774"/>
      <c r="F19" s="774"/>
      <c r="G19" s="774"/>
      <c r="H19" s="572"/>
      <c r="I19" s="572"/>
      <c r="J19" s="625" t="s">
        <v>11</v>
      </c>
      <c r="K19">
        <f>K17+1</f>
        <v>6</v>
      </c>
      <c r="L19" t="s">
        <v>821</v>
      </c>
      <c r="M19" t="str">
        <f>CONCATENATE(J19,K19,L19)</f>
        <v>6.6.</v>
      </c>
    </row>
    <row r="20" spans="1:9" ht="14.25">
      <c r="A20" s="572"/>
      <c r="B20" s="622"/>
      <c r="C20" s="572"/>
      <c r="D20" s="572"/>
      <c r="E20" s="572"/>
      <c r="F20" s="572"/>
      <c r="G20" s="572"/>
      <c r="H20" s="572"/>
      <c r="I20" s="572"/>
    </row>
    <row r="21" spans="1:13" ht="14.25">
      <c r="A21" s="682" t="s">
        <v>500</v>
      </c>
      <c r="B21" s="773" t="s">
        <v>501</v>
      </c>
      <c r="C21" s="774"/>
      <c r="D21" s="774"/>
      <c r="E21" s="774"/>
      <c r="F21" s="774"/>
      <c r="G21" s="774"/>
      <c r="H21" s="572"/>
      <c r="I21" s="572"/>
      <c r="J21" s="625" t="s">
        <v>11</v>
      </c>
      <c r="K21">
        <f>K19+1</f>
        <v>7</v>
      </c>
      <c r="L21" t="s">
        <v>821</v>
      </c>
      <c r="M21" t="str">
        <f>CONCATENATE(J21,K21,L21)</f>
        <v>6.7.</v>
      </c>
    </row>
    <row r="22" spans="1:9" ht="14.25">
      <c r="A22" s="572"/>
      <c r="B22" s="622"/>
      <c r="C22" s="572"/>
      <c r="D22" s="572"/>
      <c r="E22" s="572"/>
      <c r="F22" s="572"/>
      <c r="G22" s="572"/>
      <c r="H22" s="572"/>
      <c r="I22" s="572"/>
    </row>
    <row r="23" spans="1:13" ht="14.25">
      <c r="A23" s="682" t="s">
        <v>502</v>
      </c>
      <c r="B23" s="773" t="s">
        <v>503</v>
      </c>
      <c r="C23" s="774"/>
      <c r="D23" s="774"/>
      <c r="E23" s="774"/>
      <c r="F23" s="774"/>
      <c r="G23" s="774"/>
      <c r="H23" s="572"/>
      <c r="I23" s="572"/>
      <c r="J23" s="625" t="s">
        <v>11</v>
      </c>
      <c r="K23">
        <f>K21+1</f>
        <v>8</v>
      </c>
      <c r="L23" t="s">
        <v>821</v>
      </c>
      <c r="M23" t="str">
        <f>CONCATENATE(J23,K23,L23)</f>
        <v>6.8.</v>
      </c>
    </row>
    <row r="24" spans="1:9" ht="14.25">
      <c r="A24" s="572"/>
      <c r="B24" s="622"/>
      <c r="C24" s="572"/>
      <c r="D24" s="572"/>
      <c r="E24" s="572"/>
      <c r="F24" s="572"/>
      <c r="G24" s="572"/>
      <c r="H24" s="572"/>
      <c r="I24" s="572"/>
    </row>
    <row r="25" spans="1:13" ht="14.25">
      <c r="A25" s="682" t="s">
        <v>504</v>
      </c>
      <c r="B25" s="773" t="s">
        <v>505</v>
      </c>
      <c r="C25" s="774"/>
      <c r="D25" s="774"/>
      <c r="E25" s="774"/>
      <c r="F25" s="774"/>
      <c r="G25" s="774"/>
      <c r="H25" s="572"/>
      <c r="I25" s="572"/>
      <c r="J25" s="625" t="s">
        <v>11</v>
      </c>
      <c r="K25">
        <f>K23+1</f>
        <v>9</v>
      </c>
      <c r="L25" t="s">
        <v>821</v>
      </c>
      <c r="M25" t="str">
        <f>CONCATENATE(J25,K25,L25)</f>
        <v>6.9.</v>
      </c>
    </row>
    <row r="26" spans="1:9" ht="14.25">
      <c r="A26" s="572"/>
      <c r="B26" s="622"/>
      <c r="C26" s="572"/>
      <c r="D26" s="572"/>
      <c r="E26" s="572"/>
      <c r="F26" s="572"/>
      <c r="G26" s="572"/>
      <c r="H26" s="572"/>
      <c r="I26" s="572"/>
    </row>
    <row r="27" spans="1:13" ht="14.25">
      <c r="A27" s="682" t="s">
        <v>506</v>
      </c>
      <c r="B27" s="773" t="s">
        <v>507</v>
      </c>
      <c r="C27" s="774"/>
      <c r="D27" s="774"/>
      <c r="E27" s="774"/>
      <c r="F27" s="774"/>
      <c r="G27" s="774"/>
      <c r="H27" s="572"/>
      <c r="I27" s="572"/>
      <c r="J27" s="625" t="s">
        <v>11</v>
      </c>
      <c r="K27">
        <f>K25+1</f>
        <v>10</v>
      </c>
      <c r="L27" t="s">
        <v>821</v>
      </c>
      <c r="M27" t="str">
        <f>CONCATENATE(J27,K27,L27)</f>
        <v>6.10.</v>
      </c>
    </row>
    <row r="28" spans="1:9" ht="14.25">
      <c r="A28" s="572"/>
      <c r="B28" s="622"/>
      <c r="C28" s="572"/>
      <c r="D28" s="572"/>
      <c r="E28" s="572"/>
      <c r="F28" s="572"/>
      <c r="G28" s="572"/>
      <c r="H28" s="572"/>
      <c r="I28" s="572"/>
    </row>
    <row r="29" spans="1:13" ht="14.25">
      <c r="A29" s="682" t="s">
        <v>506</v>
      </c>
      <c r="B29" s="773" t="s">
        <v>508</v>
      </c>
      <c r="C29" s="774"/>
      <c r="D29" s="774"/>
      <c r="E29" s="774"/>
      <c r="F29" s="774"/>
      <c r="G29" s="774"/>
      <c r="H29" s="572"/>
      <c r="I29" s="572"/>
      <c r="J29" s="625" t="s">
        <v>11</v>
      </c>
      <c r="K29">
        <f>K27+1</f>
        <v>11</v>
      </c>
      <c r="L29" t="s">
        <v>821</v>
      </c>
      <c r="M29" t="str">
        <f>CONCATENATE(J29,K29,L29)</f>
        <v>6.11.</v>
      </c>
    </row>
    <row r="30" spans="1:9" ht="14.25">
      <c r="A30" s="572"/>
      <c r="B30" s="622"/>
      <c r="C30" s="572"/>
      <c r="D30" s="572"/>
      <c r="E30" s="572"/>
      <c r="F30" s="572"/>
      <c r="G30" s="572"/>
      <c r="H30" s="572"/>
      <c r="I30" s="572"/>
    </row>
    <row r="31" spans="1:13" ht="14.25">
      <c r="A31" s="682" t="s">
        <v>509</v>
      </c>
      <c r="B31" s="773" t="s">
        <v>510</v>
      </c>
      <c r="C31" s="774"/>
      <c r="D31" s="774"/>
      <c r="E31" s="774"/>
      <c r="F31" s="774"/>
      <c r="G31" s="774"/>
      <c r="H31" s="572"/>
      <c r="I31" s="572"/>
      <c r="J31" s="625" t="s">
        <v>11</v>
      </c>
      <c r="K31">
        <f>K29+1</f>
        <v>12</v>
      </c>
      <c r="L31" t="s">
        <v>821</v>
      </c>
      <c r="M31" t="str">
        <f>CONCATENATE(J31,K31,L31)</f>
        <v>6.12.</v>
      </c>
    </row>
    <row r="32" spans="1:9" ht="12.75">
      <c r="A32" s="572"/>
      <c r="B32" s="572"/>
      <c r="C32" s="572"/>
      <c r="D32" s="572"/>
      <c r="E32" s="572"/>
      <c r="F32" s="572"/>
      <c r="G32" s="572"/>
      <c r="H32" s="572"/>
      <c r="I32" s="572"/>
    </row>
    <row r="33" spans="1:9" ht="12.75">
      <c r="A33" s="572"/>
      <c r="B33" s="572"/>
      <c r="C33" s="572"/>
      <c r="D33" s="572"/>
      <c r="E33" s="572"/>
      <c r="F33" s="572"/>
      <c r="G33" s="572"/>
      <c r="H33" s="572"/>
      <c r="I33" s="572"/>
    </row>
  </sheetData>
  <sheetProtection sheet="1"/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conditionalFormatting sqref="A11">
    <cfRule type="expression" priority="1" dxfId="3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E56" sqref="E56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851" t="str">
        <f>CONCATENATE("6.2.2. melléklet ",Z_ALAPADATOK!A7," ",Z_ALAPADATOK!B7," ",Z_ALAPADATOK!C7," ",Z_ALAPADATOK!D7," ",Z_ALAPADATOK!E7," ",Z_ALAPADATOK!F7," ",Z_ALAPADATOK!G7," ",Z_ALAPADATOK!H7)</f>
        <v>6.2.2. melléklet a 9 / 2020. ( VII.10. ) önkormányzati rendelethez</v>
      </c>
      <c r="C1" s="852"/>
      <c r="D1" s="852"/>
      <c r="E1" s="852"/>
    </row>
    <row r="2" spans="1:5" s="214" customFormat="1" ht="24.75" thickBot="1">
      <c r="A2" s="324" t="s">
        <v>453</v>
      </c>
      <c r="B2" s="853" t="str">
        <f>CONCATENATE('Z_6.2.1.sz.mell'!B2:D2)</f>
        <v>Besenyszögi Közös Önkormányzati Hivatal</v>
      </c>
      <c r="C2" s="854"/>
      <c r="D2" s="855"/>
      <c r="E2" s="325" t="s">
        <v>42</v>
      </c>
    </row>
    <row r="3" spans="1:5" s="214" customFormat="1" ht="24.75" thickBot="1">
      <c r="A3" s="324" t="s">
        <v>135</v>
      </c>
      <c r="B3" s="853" t="s">
        <v>415</v>
      </c>
      <c r="C3" s="854"/>
      <c r="D3" s="855"/>
      <c r="E3" s="325" t="s">
        <v>43</v>
      </c>
    </row>
    <row r="4" spans="1:5" s="215" customFormat="1" ht="15.75" customHeight="1" thickBot="1">
      <c r="A4" s="326"/>
      <c r="B4" s="326"/>
      <c r="C4" s="327"/>
      <c r="D4" s="328"/>
      <c r="E4" s="327" t="str">
        <f>'Z_6.2.1.sz.mell'!E4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CONCATENATE('Z_6.2.1.sz.mell'!E5)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0</v>
      </c>
      <c r="D8" s="119">
        <f>SUM(D9:D19)</f>
        <v>0</v>
      </c>
      <c r="E8" s="147">
        <f>SUM(E9:E19)</f>
        <v>150101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6">
        <v>134149</v>
      </c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6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6"/>
    </row>
    <row r="14" spans="1:5" s="152" customFormat="1" ht="12" customHeight="1">
      <c r="A14" s="210" t="s">
        <v>67</v>
      </c>
      <c r="B14" s="6" t="s">
        <v>304</v>
      </c>
      <c r="C14" s="116"/>
      <c r="D14" s="116"/>
      <c r="E14" s="266">
        <v>1661</v>
      </c>
    </row>
    <row r="15" spans="1:5" s="152" customFormat="1" ht="12" customHeight="1">
      <c r="A15" s="210" t="s">
        <v>68</v>
      </c>
      <c r="B15" s="5" t="s">
        <v>305</v>
      </c>
      <c r="C15" s="116"/>
      <c r="D15" s="116"/>
      <c r="E15" s="266"/>
    </row>
    <row r="16" spans="1:5" s="152" customFormat="1" ht="12" customHeight="1">
      <c r="A16" s="210" t="s">
        <v>76</v>
      </c>
      <c r="B16" s="6" t="s">
        <v>191</v>
      </c>
      <c r="C16" s="272"/>
      <c r="D16" s="272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118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7">
        <v>14291</v>
      </c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7546900</v>
      </c>
      <c r="D20" s="119">
        <f>SUM(D21:D23)</f>
        <v>7041354</v>
      </c>
      <c r="E20" s="147">
        <f>SUM(E21:E23)</f>
        <v>7497860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116"/>
      <c r="E22" s="266"/>
    </row>
    <row r="23" spans="1:5" s="217" customFormat="1" ht="12" customHeight="1">
      <c r="A23" s="210" t="s">
        <v>71</v>
      </c>
      <c r="B23" s="6" t="s">
        <v>308</v>
      </c>
      <c r="C23" s="116">
        <v>7546900</v>
      </c>
      <c r="D23" s="116">
        <v>7041354</v>
      </c>
      <c r="E23" s="266">
        <v>7497860</v>
      </c>
    </row>
    <row r="24" spans="1:5" s="217" customFormat="1" ht="12" customHeight="1" thickBot="1">
      <c r="A24" s="210" t="s">
        <v>72</v>
      </c>
      <c r="B24" s="6" t="s">
        <v>407</v>
      </c>
      <c r="C24" s="116"/>
      <c r="D24" s="116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6"/>
      <c r="E25" s="146"/>
    </row>
    <row r="26" spans="1:5" s="217" customFormat="1" ht="12" customHeight="1" thickBot="1">
      <c r="A26" s="78" t="s">
        <v>9</v>
      </c>
      <c r="B26" s="56" t="s">
        <v>408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3"/>
      <c r="D27" s="273"/>
      <c r="E27" s="271"/>
    </row>
    <row r="28" spans="1:5" s="217" customFormat="1" ht="12" customHeight="1">
      <c r="A28" s="211" t="s">
        <v>178</v>
      </c>
      <c r="B28" s="212" t="s">
        <v>307</v>
      </c>
      <c r="C28" s="116"/>
      <c r="D28" s="116"/>
      <c r="E28" s="266"/>
    </row>
    <row r="29" spans="1:5" s="217" customFormat="1" ht="12" customHeight="1">
      <c r="A29" s="211" t="s">
        <v>179</v>
      </c>
      <c r="B29" s="213" t="s">
        <v>310</v>
      </c>
      <c r="C29" s="116"/>
      <c r="D29" s="116"/>
      <c r="E29" s="266"/>
    </row>
    <row r="30" spans="1:5" s="217" customFormat="1" ht="12" customHeight="1" thickBot="1">
      <c r="A30" s="210" t="s">
        <v>180</v>
      </c>
      <c r="B30" s="61" t="s">
        <v>409</v>
      </c>
      <c r="C30" s="48"/>
      <c r="D30" s="48"/>
      <c r="E30" s="295"/>
    </row>
    <row r="31" spans="1:5" s="217" customFormat="1" ht="12" customHeight="1" thickBot="1">
      <c r="A31" s="78" t="s">
        <v>10</v>
      </c>
      <c r="B31" s="56" t="s">
        <v>311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3"/>
      <c r="D32" s="273"/>
      <c r="E32" s="271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8"/>
    </row>
    <row r="34" spans="1:5" s="217" customFormat="1" ht="12" customHeight="1" thickBot="1">
      <c r="A34" s="210" t="s">
        <v>58</v>
      </c>
      <c r="B34" s="61" t="s">
        <v>200</v>
      </c>
      <c r="C34" s="48"/>
      <c r="D34" s="48"/>
      <c r="E34" s="295"/>
    </row>
    <row r="35" spans="1:5" s="152" customFormat="1" ht="12" customHeight="1" thickBot="1">
      <c r="A35" s="78" t="s">
        <v>11</v>
      </c>
      <c r="B35" s="56" t="s">
        <v>283</v>
      </c>
      <c r="C35" s="296"/>
      <c r="D35" s="296"/>
      <c r="E35" s="146"/>
    </row>
    <row r="36" spans="1:5" s="152" customFormat="1" ht="12" customHeight="1" thickBot="1">
      <c r="A36" s="78" t="s">
        <v>12</v>
      </c>
      <c r="B36" s="56" t="s">
        <v>312</v>
      </c>
      <c r="C36" s="296"/>
      <c r="D36" s="296"/>
      <c r="E36" s="146"/>
    </row>
    <row r="37" spans="1:5" s="152" customFormat="1" ht="12" customHeight="1" thickBot="1">
      <c r="A37" s="74" t="s">
        <v>13</v>
      </c>
      <c r="B37" s="56" t="s">
        <v>313</v>
      </c>
      <c r="C37" s="119">
        <f>+C8+C20+C25+C26+C31+C35+C36</f>
        <v>7546900</v>
      </c>
      <c r="D37" s="119">
        <f>+D8+D20+D25+D26+D31+D35+D36</f>
        <v>7041354</v>
      </c>
      <c r="E37" s="147">
        <f>+E8+E20+E25+E26+E31+E35+E36</f>
        <v>7647961</v>
      </c>
    </row>
    <row r="38" spans="1:5" s="152" customFormat="1" ht="12" customHeight="1" thickBot="1">
      <c r="A38" s="84" t="s">
        <v>14</v>
      </c>
      <c r="B38" s="56" t="s">
        <v>314</v>
      </c>
      <c r="C38" s="119">
        <f>+C39+C40+C41</f>
        <v>45273200</v>
      </c>
      <c r="D38" s="119">
        <f>+D39+D40+D41</f>
        <v>48533129</v>
      </c>
      <c r="E38" s="147">
        <f>+E39+E40+E41</f>
        <v>48533129</v>
      </c>
    </row>
    <row r="39" spans="1:5" s="152" customFormat="1" ht="12" customHeight="1">
      <c r="A39" s="211" t="s">
        <v>315</v>
      </c>
      <c r="B39" s="212" t="s">
        <v>150</v>
      </c>
      <c r="C39" s="273"/>
      <c r="D39" s="273">
        <v>1383381</v>
      </c>
      <c r="E39" s="271">
        <v>1383381</v>
      </c>
    </row>
    <row r="40" spans="1:5" s="152" customFormat="1" ht="12" customHeight="1">
      <c r="A40" s="211" t="s">
        <v>316</v>
      </c>
      <c r="B40" s="213" t="s">
        <v>0</v>
      </c>
      <c r="C40" s="120"/>
      <c r="D40" s="120"/>
      <c r="E40" s="268"/>
    </row>
    <row r="41" spans="1:5" s="217" customFormat="1" ht="12" customHeight="1" thickBot="1">
      <c r="A41" s="210" t="s">
        <v>317</v>
      </c>
      <c r="B41" s="61" t="s">
        <v>318</v>
      </c>
      <c r="C41" s="48">
        <v>45273200</v>
      </c>
      <c r="D41" s="48">
        <v>47149748</v>
      </c>
      <c r="E41" s="295">
        <v>47149748</v>
      </c>
    </row>
    <row r="42" spans="1:5" s="217" customFormat="1" ht="15" customHeight="1" thickBot="1">
      <c r="A42" s="84" t="s">
        <v>15</v>
      </c>
      <c r="B42" s="85" t="s">
        <v>319</v>
      </c>
      <c r="C42" s="297">
        <f>+C37+C38</f>
        <v>52820100</v>
      </c>
      <c r="D42" s="297">
        <f>+D37+D38</f>
        <v>55574483</v>
      </c>
      <c r="E42" s="150">
        <f>+E37+E38</f>
        <v>56181090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7" t="s">
        <v>40</v>
      </c>
      <c r="B45" s="848"/>
      <c r="C45" s="848"/>
      <c r="D45" s="848"/>
      <c r="E45" s="849"/>
    </row>
    <row r="46" spans="1:5" s="218" customFormat="1" ht="12" customHeight="1" thickBot="1">
      <c r="A46" s="78" t="s">
        <v>6</v>
      </c>
      <c r="B46" s="56" t="s">
        <v>320</v>
      </c>
      <c r="C46" s="119">
        <f>SUM(C47:C51)</f>
        <v>52820100</v>
      </c>
      <c r="D46" s="119">
        <f>SUM(D47:D51)</f>
        <v>55429086</v>
      </c>
      <c r="E46" s="147">
        <f>SUM(E47:E51)</f>
        <v>53418029</v>
      </c>
    </row>
    <row r="47" spans="1:5" ht="12" customHeight="1">
      <c r="A47" s="210" t="s">
        <v>63</v>
      </c>
      <c r="B47" s="7" t="s">
        <v>35</v>
      </c>
      <c r="C47" s="273">
        <v>39752600</v>
      </c>
      <c r="D47" s="273">
        <v>42048285</v>
      </c>
      <c r="E47" s="271">
        <v>41497704</v>
      </c>
    </row>
    <row r="48" spans="1:5" ht="12" customHeight="1">
      <c r="A48" s="210" t="s">
        <v>64</v>
      </c>
      <c r="B48" s="6" t="s">
        <v>122</v>
      </c>
      <c r="C48" s="47">
        <v>7965000</v>
      </c>
      <c r="D48" s="47">
        <v>8282782</v>
      </c>
      <c r="E48" s="269">
        <v>8032044</v>
      </c>
    </row>
    <row r="49" spans="1:5" ht="12" customHeight="1">
      <c r="A49" s="210" t="s">
        <v>65</v>
      </c>
      <c r="B49" s="6" t="s">
        <v>90</v>
      </c>
      <c r="C49" s="47">
        <v>5102500</v>
      </c>
      <c r="D49" s="47">
        <v>5098019</v>
      </c>
      <c r="E49" s="269">
        <v>3888281</v>
      </c>
    </row>
    <row r="50" spans="1:5" ht="12" customHeight="1">
      <c r="A50" s="210" t="s">
        <v>66</v>
      </c>
      <c r="B50" s="6" t="s">
        <v>123</v>
      </c>
      <c r="C50" s="47"/>
      <c r="D50" s="47"/>
      <c r="E50" s="269"/>
    </row>
    <row r="51" spans="1:5" ht="12" customHeight="1" thickBot="1">
      <c r="A51" s="210" t="s">
        <v>97</v>
      </c>
      <c r="B51" s="6" t="s">
        <v>124</v>
      </c>
      <c r="C51" s="47"/>
      <c r="D51" s="47"/>
      <c r="E51" s="269"/>
    </row>
    <row r="52" spans="1:5" ht="12" customHeight="1" thickBot="1">
      <c r="A52" s="78" t="s">
        <v>7</v>
      </c>
      <c r="B52" s="56" t="s">
        <v>321</v>
      </c>
      <c r="C52" s="119">
        <f>SUM(C53:C55)</f>
        <v>0</v>
      </c>
      <c r="D52" s="119">
        <f>SUM(D53:D55)</f>
        <v>145397</v>
      </c>
      <c r="E52" s="147">
        <f>SUM(E53:E55)</f>
        <v>135137</v>
      </c>
    </row>
    <row r="53" spans="1:5" s="218" customFormat="1" ht="12" customHeight="1">
      <c r="A53" s="210" t="s">
        <v>69</v>
      </c>
      <c r="B53" s="7" t="s">
        <v>143</v>
      </c>
      <c r="C53" s="273"/>
      <c r="D53" s="273">
        <v>145397</v>
      </c>
      <c r="E53" s="271">
        <v>135137</v>
      </c>
    </row>
    <row r="54" spans="1:5" ht="12" customHeight="1">
      <c r="A54" s="210" t="s">
        <v>70</v>
      </c>
      <c r="B54" s="6" t="s">
        <v>126</v>
      </c>
      <c r="C54" s="47"/>
      <c r="D54" s="47"/>
      <c r="E54" s="269"/>
    </row>
    <row r="55" spans="1:5" ht="12" customHeight="1">
      <c r="A55" s="210" t="s">
        <v>71</v>
      </c>
      <c r="B55" s="6" t="s">
        <v>41</v>
      </c>
      <c r="C55" s="47"/>
      <c r="D55" s="47"/>
      <c r="E55" s="269"/>
    </row>
    <row r="56" spans="1:5" ht="12" customHeight="1" thickBot="1">
      <c r="A56" s="210" t="s">
        <v>72</v>
      </c>
      <c r="B56" s="6" t="s">
        <v>410</v>
      </c>
      <c r="C56" s="47"/>
      <c r="D56" s="47"/>
      <c r="E56" s="269"/>
    </row>
    <row r="57" spans="1:5" ht="12" customHeight="1" thickBot="1">
      <c r="A57" s="78" t="s">
        <v>8</v>
      </c>
      <c r="B57" s="56" t="s">
        <v>2</v>
      </c>
      <c r="C57" s="296"/>
      <c r="D57" s="296"/>
      <c r="E57" s="146"/>
    </row>
    <row r="58" spans="1:5" ht="15" customHeight="1" thickBot="1">
      <c r="A58" s="78" t="s">
        <v>9</v>
      </c>
      <c r="B58" s="90" t="s">
        <v>414</v>
      </c>
      <c r="C58" s="297">
        <f>+C46+C52+C57</f>
        <v>52820100</v>
      </c>
      <c r="D58" s="297">
        <f>+D46+D52+D57</f>
        <v>55574483</v>
      </c>
      <c r="E58" s="150">
        <f>+E46+E52+E57</f>
        <v>53553166</v>
      </c>
    </row>
    <row r="59" spans="3:5" ht="13.5" thickBot="1">
      <c r="C59" s="587">
        <f>C42-C58</f>
        <v>0</v>
      </c>
      <c r="D59" s="587">
        <f>D42-D58</f>
        <v>0</v>
      </c>
      <c r="E59" s="151"/>
    </row>
    <row r="60" spans="1:5" ht="15" customHeight="1" thickBot="1">
      <c r="A60" s="301" t="s">
        <v>485</v>
      </c>
      <c r="B60" s="302"/>
      <c r="C60" s="291">
        <v>9</v>
      </c>
      <c r="D60" s="291">
        <v>9</v>
      </c>
      <c r="E60" s="290">
        <v>9</v>
      </c>
    </row>
    <row r="61" spans="1:5" ht="14.25" customHeight="1" thickBot="1">
      <c r="A61" s="303" t="s">
        <v>486</v>
      </c>
      <c r="B61" s="304"/>
      <c r="C61" s="291">
        <v>0</v>
      </c>
      <c r="D61" s="291">
        <v>0</v>
      </c>
      <c r="E61" s="290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1">
      <selection activeCell="E23" sqref="E23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21" customHeight="1" thickBot="1">
      <c r="A1" s="323"/>
      <c r="B1" s="856" t="str">
        <f>CONCATENATE("6.2.3. melléklet ",Z_ALAPADATOK!A7," ",Z_ALAPADATOK!B7," ",Z_ALAPADATOK!C7," ",Z_ALAPADATOK!D7," ",Z_ALAPADATOK!E7," ",Z_ALAPADATOK!F7," ",Z_ALAPADATOK!G7," ",Z_ALAPADATOK!H7)</f>
        <v>6.2.3. melléklet a 9 / 2020. ( VII.10. ) önkormányzati rendelethez</v>
      </c>
      <c r="C1" s="857"/>
      <c r="D1" s="857"/>
      <c r="E1" s="857"/>
    </row>
    <row r="2" spans="1:5" s="214" customFormat="1" ht="24.75" thickBot="1">
      <c r="A2" s="324" t="s">
        <v>453</v>
      </c>
      <c r="B2" s="853" t="str">
        <f>CONCATENATE('Z_6.2.2.sz.mell'!B2:D2)</f>
        <v>Besenyszögi Közös Önkormányzati Hivatal</v>
      </c>
      <c r="C2" s="854"/>
      <c r="D2" s="855"/>
      <c r="E2" s="325" t="s">
        <v>42</v>
      </c>
    </row>
    <row r="3" spans="1:5" s="214" customFormat="1" ht="24.75" thickBot="1">
      <c r="A3" s="324" t="s">
        <v>135</v>
      </c>
      <c r="B3" s="853" t="s">
        <v>845</v>
      </c>
      <c r="C3" s="854"/>
      <c r="D3" s="855"/>
      <c r="E3" s="325" t="s">
        <v>332</v>
      </c>
    </row>
    <row r="4" spans="1:5" s="215" customFormat="1" ht="15.75" customHeight="1" thickBot="1">
      <c r="A4" s="326"/>
      <c r="B4" s="326"/>
      <c r="C4" s="327"/>
      <c r="D4" s="328"/>
      <c r="E4" s="327" t="str">
        <f>'Z_6.2.2.sz.mell'!E4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CONCATENATE('Z_6.2.2.sz.mell'!E5)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0</v>
      </c>
      <c r="D8" s="119">
        <f>SUM(D9:D19)</f>
        <v>0</v>
      </c>
      <c r="E8" s="147">
        <f>SUM(E9:E19)</f>
        <v>300200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6">
        <v>268299</v>
      </c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6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6"/>
    </row>
    <row r="14" spans="1:5" s="152" customFormat="1" ht="12" customHeight="1">
      <c r="A14" s="210" t="s">
        <v>67</v>
      </c>
      <c r="B14" s="6" t="s">
        <v>304</v>
      </c>
      <c r="C14" s="116"/>
      <c r="D14" s="116"/>
      <c r="E14" s="266">
        <v>3321</v>
      </c>
    </row>
    <row r="15" spans="1:5" s="152" customFormat="1" ht="12" customHeight="1">
      <c r="A15" s="210" t="s">
        <v>68</v>
      </c>
      <c r="B15" s="5" t="s">
        <v>305</v>
      </c>
      <c r="C15" s="116"/>
      <c r="D15" s="116"/>
      <c r="E15" s="266"/>
    </row>
    <row r="16" spans="1:5" s="152" customFormat="1" ht="12" customHeight="1">
      <c r="A16" s="210" t="s">
        <v>76</v>
      </c>
      <c r="B16" s="6" t="s">
        <v>191</v>
      </c>
      <c r="C16" s="272"/>
      <c r="D16" s="272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118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7">
        <v>28580</v>
      </c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8890200</v>
      </c>
      <c r="D20" s="119">
        <f>SUM(D21:D23)</f>
        <v>7372164</v>
      </c>
      <c r="E20" s="147">
        <f>SUM(E21:E23)</f>
        <v>9108476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116"/>
      <c r="E22" s="266"/>
    </row>
    <row r="23" spans="1:5" s="217" customFormat="1" ht="12" customHeight="1">
      <c r="A23" s="210" t="s">
        <v>71</v>
      </c>
      <c r="B23" s="6" t="s">
        <v>308</v>
      </c>
      <c r="C23" s="116">
        <v>8890200</v>
      </c>
      <c r="D23" s="116">
        <v>7372164</v>
      </c>
      <c r="E23" s="266">
        <v>9108476</v>
      </c>
    </row>
    <row r="24" spans="1:5" s="217" customFormat="1" ht="12" customHeight="1" thickBot="1">
      <c r="A24" s="210" t="s">
        <v>72</v>
      </c>
      <c r="B24" s="6" t="s">
        <v>407</v>
      </c>
      <c r="C24" s="116"/>
      <c r="D24" s="116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6"/>
      <c r="E25" s="146"/>
    </row>
    <row r="26" spans="1:5" s="217" customFormat="1" ht="12" customHeight="1" thickBot="1">
      <c r="A26" s="78" t="s">
        <v>9</v>
      </c>
      <c r="B26" s="56" t="s">
        <v>408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3"/>
      <c r="D27" s="273"/>
      <c r="E27" s="271"/>
    </row>
    <row r="28" spans="1:5" s="217" customFormat="1" ht="12" customHeight="1">
      <c r="A28" s="211" t="s">
        <v>178</v>
      </c>
      <c r="B28" s="212" t="s">
        <v>307</v>
      </c>
      <c r="C28" s="116"/>
      <c r="D28" s="116"/>
      <c r="E28" s="266"/>
    </row>
    <row r="29" spans="1:5" s="217" customFormat="1" ht="12" customHeight="1">
      <c r="A29" s="211" t="s">
        <v>179</v>
      </c>
      <c r="B29" s="213" t="s">
        <v>310</v>
      </c>
      <c r="C29" s="116"/>
      <c r="D29" s="116"/>
      <c r="E29" s="266"/>
    </row>
    <row r="30" spans="1:5" s="217" customFormat="1" ht="12" customHeight="1" thickBot="1">
      <c r="A30" s="210" t="s">
        <v>180</v>
      </c>
      <c r="B30" s="61" t="s">
        <v>409</v>
      </c>
      <c r="C30" s="48"/>
      <c r="D30" s="48"/>
      <c r="E30" s="295"/>
    </row>
    <row r="31" spans="1:5" s="217" customFormat="1" ht="12" customHeight="1" thickBot="1">
      <c r="A31" s="78" t="s">
        <v>10</v>
      </c>
      <c r="B31" s="56" t="s">
        <v>311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3"/>
      <c r="D32" s="273"/>
      <c r="E32" s="271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8"/>
    </row>
    <row r="34" spans="1:5" s="217" customFormat="1" ht="12" customHeight="1" thickBot="1">
      <c r="A34" s="210" t="s">
        <v>58</v>
      </c>
      <c r="B34" s="61" t="s">
        <v>200</v>
      </c>
      <c r="C34" s="48"/>
      <c r="D34" s="48"/>
      <c r="E34" s="295"/>
    </row>
    <row r="35" spans="1:5" s="152" customFormat="1" ht="12" customHeight="1" thickBot="1">
      <c r="A35" s="78" t="s">
        <v>11</v>
      </c>
      <c r="B35" s="56" t="s">
        <v>283</v>
      </c>
      <c r="C35" s="296"/>
      <c r="D35" s="296"/>
      <c r="E35" s="146"/>
    </row>
    <row r="36" spans="1:5" s="152" customFormat="1" ht="12" customHeight="1" thickBot="1">
      <c r="A36" s="78" t="s">
        <v>12</v>
      </c>
      <c r="B36" s="56" t="s">
        <v>312</v>
      </c>
      <c r="C36" s="296"/>
      <c r="D36" s="296"/>
      <c r="E36" s="146"/>
    </row>
    <row r="37" spans="1:5" s="152" customFormat="1" ht="12" customHeight="1" thickBot="1">
      <c r="A37" s="74" t="s">
        <v>13</v>
      </c>
      <c r="B37" s="56" t="s">
        <v>313</v>
      </c>
      <c r="C37" s="119">
        <f>+C8+C20+C25+C26+C31+C35+C36</f>
        <v>8890200</v>
      </c>
      <c r="D37" s="119">
        <f>+D8+D20+D25+D26+D31+D35+D36</f>
        <v>7372164</v>
      </c>
      <c r="E37" s="147">
        <f>+E8+E20+E25+E26+E31+E35+E36</f>
        <v>9408676</v>
      </c>
    </row>
    <row r="38" spans="1:5" s="152" customFormat="1" ht="12" customHeight="1" thickBot="1">
      <c r="A38" s="84" t="s">
        <v>14</v>
      </c>
      <c r="B38" s="56" t="s">
        <v>314</v>
      </c>
      <c r="C38" s="119">
        <f>+C39+C40+C41</f>
        <v>75590000</v>
      </c>
      <c r="D38" s="119">
        <f>+D39+D40+D41</f>
        <v>82109859</v>
      </c>
      <c r="E38" s="147">
        <f>+E39+E40+E41</f>
        <v>82109859</v>
      </c>
    </row>
    <row r="39" spans="1:5" s="152" customFormat="1" ht="12" customHeight="1">
      <c r="A39" s="211" t="s">
        <v>315</v>
      </c>
      <c r="B39" s="212" t="s">
        <v>150</v>
      </c>
      <c r="C39" s="273"/>
      <c r="D39" s="273">
        <v>2766762</v>
      </c>
      <c r="E39" s="271">
        <v>2766762</v>
      </c>
    </row>
    <row r="40" spans="1:5" s="152" customFormat="1" ht="12" customHeight="1">
      <c r="A40" s="211" t="s">
        <v>316</v>
      </c>
      <c r="B40" s="213" t="s">
        <v>0</v>
      </c>
      <c r="C40" s="120"/>
      <c r="D40" s="120"/>
      <c r="E40" s="268"/>
    </row>
    <row r="41" spans="1:5" s="217" customFormat="1" ht="12" customHeight="1" thickBot="1">
      <c r="A41" s="210" t="s">
        <v>317</v>
      </c>
      <c r="B41" s="61" t="s">
        <v>318</v>
      </c>
      <c r="C41" s="48">
        <v>75590000</v>
      </c>
      <c r="D41" s="48">
        <v>79343097</v>
      </c>
      <c r="E41" s="48">
        <v>79343097</v>
      </c>
    </row>
    <row r="42" spans="1:5" s="217" customFormat="1" ht="15" customHeight="1" thickBot="1">
      <c r="A42" s="84" t="s">
        <v>15</v>
      </c>
      <c r="B42" s="85" t="s">
        <v>319</v>
      </c>
      <c r="C42" s="297">
        <f>+C37+C38</f>
        <v>84480200</v>
      </c>
      <c r="D42" s="297">
        <f>+D37+D38</f>
        <v>89482023</v>
      </c>
      <c r="E42" s="150">
        <f>+E37+E38</f>
        <v>91518535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7" t="s">
        <v>40</v>
      </c>
      <c r="B45" s="848"/>
      <c r="C45" s="848"/>
      <c r="D45" s="848"/>
      <c r="E45" s="849"/>
    </row>
    <row r="46" spans="1:5" s="218" customFormat="1" ht="12" customHeight="1" thickBot="1">
      <c r="A46" s="78" t="s">
        <v>6</v>
      </c>
      <c r="B46" s="56" t="s">
        <v>320</v>
      </c>
      <c r="C46" s="119">
        <f>SUM(C47:C51)</f>
        <v>84480200</v>
      </c>
      <c r="D46" s="119">
        <f>SUM(D47:D51)</f>
        <v>89191228</v>
      </c>
      <c r="E46" s="147">
        <f>SUM(E47:E51)</f>
        <v>85433593</v>
      </c>
    </row>
    <row r="47" spans="1:5" ht="12" customHeight="1">
      <c r="A47" s="210" t="s">
        <v>63</v>
      </c>
      <c r="B47" s="7" t="s">
        <v>35</v>
      </c>
      <c r="C47" s="273">
        <v>63106200</v>
      </c>
      <c r="D47" s="273">
        <v>67288329</v>
      </c>
      <c r="E47" s="271">
        <v>66323349</v>
      </c>
    </row>
    <row r="48" spans="1:5" ht="12" customHeight="1">
      <c r="A48" s="210" t="s">
        <v>64</v>
      </c>
      <c r="B48" s="6" t="s">
        <v>122</v>
      </c>
      <c r="C48" s="47">
        <v>12614000</v>
      </c>
      <c r="D48" s="47">
        <v>13243086</v>
      </c>
      <c r="E48" s="269">
        <v>12792539</v>
      </c>
    </row>
    <row r="49" spans="1:5" ht="12" customHeight="1">
      <c r="A49" s="210" t="s">
        <v>65</v>
      </c>
      <c r="B49" s="6" t="s">
        <v>90</v>
      </c>
      <c r="C49" s="47">
        <v>8760000</v>
      </c>
      <c r="D49" s="47">
        <v>8659813</v>
      </c>
      <c r="E49" s="269">
        <v>6317705</v>
      </c>
    </row>
    <row r="50" spans="1:5" ht="12" customHeight="1">
      <c r="A50" s="210" t="s">
        <v>66</v>
      </c>
      <c r="B50" s="6" t="s">
        <v>123</v>
      </c>
      <c r="C50" s="47"/>
      <c r="D50" s="47"/>
      <c r="E50" s="269"/>
    </row>
    <row r="51" spans="1:5" ht="12" customHeight="1" thickBot="1">
      <c r="A51" s="210" t="s">
        <v>97</v>
      </c>
      <c r="B51" s="6" t="s">
        <v>124</v>
      </c>
      <c r="C51" s="47"/>
      <c r="D51" s="47"/>
      <c r="E51" s="269"/>
    </row>
    <row r="52" spans="1:5" ht="12" customHeight="1" thickBot="1">
      <c r="A52" s="78" t="s">
        <v>7</v>
      </c>
      <c r="B52" s="56" t="s">
        <v>321</v>
      </c>
      <c r="C52" s="119">
        <f>SUM(C53:C55)</f>
        <v>0</v>
      </c>
      <c r="D52" s="119">
        <f>SUM(D53:D55)</f>
        <v>290795</v>
      </c>
      <c r="E52" s="147">
        <f>SUM(E53:E55)</f>
        <v>270275</v>
      </c>
    </row>
    <row r="53" spans="1:5" s="218" customFormat="1" ht="12" customHeight="1">
      <c r="A53" s="210" t="s">
        <v>69</v>
      </c>
      <c r="B53" s="7" t="s">
        <v>143</v>
      </c>
      <c r="C53" s="273"/>
      <c r="D53" s="273">
        <v>290795</v>
      </c>
      <c r="E53" s="271">
        <v>270275</v>
      </c>
    </row>
    <row r="54" spans="1:5" ht="12" customHeight="1">
      <c r="A54" s="210" t="s">
        <v>70</v>
      </c>
      <c r="B54" s="6" t="s">
        <v>126</v>
      </c>
      <c r="C54" s="47"/>
      <c r="D54" s="47"/>
      <c r="E54" s="269"/>
    </row>
    <row r="55" spans="1:5" ht="12" customHeight="1">
      <c r="A55" s="210" t="s">
        <v>71</v>
      </c>
      <c r="B55" s="6" t="s">
        <v>41</v>
      </c>
      <c r="C55" s="47"/>
      <c r="D55" s="47"/>
      <c r="E55" s="269"/>
    </row>
    <row r="56" spans="1:5" ht="12" customHeight="1" thickBot="1">
      <c r="A56" s="210" t="s">
        <v>72</v>
      </c>
      <c r="B56" s="6" t="s">
        <v>410</v>
      </c>
      <c r="C56" s="47"/>
      <c r="D56" s="47"/>
      <c r="E56" s="269"/>
    </row>
    <row r="57" spans="1:5" ht="12" customHeight="1" thickBot="1">
      <c r="A57" s="78" t="s">
        <v>8</v>
      </c>
      <c r="B57" s="56" t="s">
        <v>2</v>
      </c>
      <c r="C57" s="296"/>
      <c r="D57" s="296"/>
      <c r="E57" s="146"/>
    </row>
    <row r="58" spans="1:5" ht="15" customHeight="1" thickBot="1">
      <c r="A58" s="78" t="s">
        <v>9</v>
      </c>
      <c r="B58" s="90" t="s">
        <v>414</v>
      </c>
      <c r="C58" s="297">
        <f>+C46+C52+C57</f>
        <v>84480200</v>
      </c>
      <c r="D58" s="297">
        <f>+D46+D52+D57</f>
        <v>89482023</v>
      </c>
      <c r="E58" s="150">
        <f>+E46+E52+E57</f>
        <v>85703868</v>
      </c>
    </row>
    <row r="59" spans="3:5" ht="13.5" thickBot="1">
      <c r="C59" s="587">
        <f>C42-C58</f>
        <v>0</v>
      </c>
      <c r="D59" s="587">
        <f>D42-D58</f>
        <v>0</v>
      </c>
      <c r="E59" s="151"/>
    </row>
    <row r="60" spans="1:5" ht="15" customHeight="1" thickBot="1">
      <c r="A60" s="301" t="s">
        <v>485</v>
      </c>
      <c r="B60" s="302"/>
      <c r="C60" s="291">
        <v>15</v>
      </c>
      <c r="D60" s="291">
        <v>15</v>
      </c>
      <c r="E60" s="290">
        <v>15</v>
      </c>
    </row>
    <row r="61" spans="1:5" ht="14.25" customHeight="1" thickBot="1">
      <c r="A61" s="303" t="s">
        <v>486</v>
      </c>
      <c r="B61" s="304"/>
      <c r="C61" s="291">
        <v>0</v>
      </c>
      <c r="D61" s="291">
        <v>0</v>
      </c>
      <c r="E61" s="290">
        <v>0</v>
      </c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0">
      <selection activeCell="E65" sqref="E65"/>
    </sheetView>
  </sheetViews>
  <sheetFormatPr defaultColWidth="9.00390625" defaultRowHeight="12.75"/>
  <cols>
    <col min="1" max="1" width="13.00390625" style="91" customWidth="1"/>
    <col min="2" max="2" width="59.00390625" style="92" customWidth="1"/>
    <col min="3" max="5" width="15.875" style="92" customWidth="1"/>
    <col min="6" max="16384" width="9.375" style="92" customWidth="1"/>
  </cols>
  <sheetData>
    <row r="1" spans="1:5" s="82" customFormat="1" ht="21" customHeight="1" thickBot="1">
      <c r="A1" s="323"/>
      <c r="B1" s="856" t="str">
        <f>CONCATENATE("6.2.4. melléklet ",Z_ALAPADATOK!A7," ",Z_ALAPADATOK!B7," ",Z_ALAPADATOK!C7," ",Z_ALAPADATOK!D7," ",Z_ALAPADATOK!E7," ",Z_ALAPADATOK!F7," ",Z_ALAPADATOK!G7," ",Z_ALAPADATOK!H7)</f>
        <v>6.2.4. melléklet a 9 / 2020. ( VII.10. ) önkormányzati rendelethez</v>
      </c>
      <c r="C1" s="857"/>
      <c r="D1" s="857"/>
      <c r="E1" s="857"/>
    </row>
    <row r="2" spans="1:5" s="214" customFormat="1" ht="24.75" thickBot="1">
      <c r="A2" s="324" t="s">
        <v>453</v>
      </c>
      <c r="B2" s="853" t="str">
        <f>CONCATENATE('Z_6.2.2.sz.mell'!B2:D2)</f>
        <v>Besenyszögi Közös Önkormányzati Hivatal</v>
      </c>
      <c r="C2" s="854"/>
      <c r="D2" s="855"/>
      <c r="E2" s="325" t="s">
        <v>42</v>
      </c>
    </row>
    <row r="3" spans="1:5" s="214" customFormat="1" ht="24.75" thickBot="1">
      <c r="A3" s="324" t="s">
        <v>135</v>
      </c>
      <c r="B3" s="853" t="s">
        <v>846</v>
      </c>
      <c r="C3" s="854"/>
      <c r="D3" s="855"/>
      <c r="E3" s="325" t="s">
        <v>514</v>
      </c>
    </row>
    <row r="4" spans="1:5" s="215" customFormat="1" ht="15.75" customHeight="1" thickBot="1">
      <c r="A4" s="326"/>
      <c r="B4" s="326"/>
      <c r="C4" s="327"/>
      <c r="D4" s="328"/>
      <c r="E4" s="327" t="str">
        <f>'Z_6.2.2.sz.mell'!E4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CONCATENATE('Z_6.2.2.sz.mell'!E5)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0</v>
      </c>
      <c r="D8" s="119">
        <f>SUM(D9:D19)</f>
        <v>0</v>
      </c>
      <c r="E8" s="147">
        <f>SUM(E9:E19)</f>
        <v>2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/>
      <c r="D10" s="116"/>
      <c r="E10" s="266"/>
    </row>
    <row r="11" spans="1:5" s="152" customFormat="1" ht="12" customHeight="1">
      <c r="A11" s="210" t="s">
        <v>65</v>
      </c>
      <c r="B11" s="6" t="s">
        <v>186</v>
      </c>
      <c r="C11" s="116"/>
      <c r="D11" s="116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116"/>
      <c r="E12" s="266"/>
    </row>
    <row r="13" spans="1:5" s="152" customFormat="1" ht="12" customHeight="1">
      <c r="A13" s="210" t="s">
        <v>97</v>
      </c>
      <c r="B13" s="6" t="s">
        <v>188</v>
      </c>
      <c r="C13" s="116"/>
      <c r="D13" s="116"/>
      <c r="E13" s="266"/>
    </row>
    <row r="14" spans="1:5" s="152" customFormat="1" ht="12" customHeight="1">
      <c r="A14" s="210" t="s">
        <v>67</v>
      </c>
      <c r="B14" s="6" t="s">
        <v>304</v>
      </c>
      <c r="C14" s="116"/>
      <c r="D14" s="116"/>
      <c r="E14" s="266"/>
    </row>
    <row r="15" spans="1:5" s="152" customFormat="1" ht="12" customHeight="1">
      <c r="A15" s="210" t="s">
        <v>68</v>
      </c>
      <c r="B15" s="5" t="s">
        <v>305</v>
      </c>
      <c r="C15" s="116"/>
      <c r="D15" s="116"/>
      <c r="E15" s="266"/>
    </row>
    <row r="16" spans="1:5" s="152" customFormat="1" ht="12" customHeight="1">
      <c r="A16" s="210" t="s">
        <v>76</v>
      </c>
      <c r="B16" s="6" t="s">
        <v>191</v>
      </c>
      <c r="C16" s="272"/>
      <c r="D16" s="272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116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118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118"/>
      <c r="E19" s="267">
        <v>2</v>
      </c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6203600</v>
      </c>
      <c r="D20" s="119">
        <f>SUM(D21:D23)</f>
        <v>6710544</v>
      </c>
      <c r="E20" s="147">
        <f>SUM(E21:E23)</f>
        <v>5887244</v>
      </c>
    </row>
    <row r="21" spans="1:5" s="217" customFormat="1" ht="12" customHeight="1">
      <c r="A21" s="210" t="s">
        <v>69</v>
      </c>
      <c r="B21" s="7" t="s">
        <v>168</v>
      </c>
      <c r="C21" s="116"/>
      <c r="D21" s="116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116"/>
      <c r="E22" s="266"/>
    </row>
    <row r="23" spans="1:5" s="217" customFormat="1" ht="12" customHeight="1">
      <c r="A23" s="210" t="s">
        <v>71</v>
      </c>
      <c r="B23" s="6" t="s">
        <v>308</v>
      </c>
      <c r="C23" s="116">
        <v>6203600</v>
      </c>
      <c r="D23" s="116">
        <v>6710544</v>
      </c>
      <c r="E23" s="266">
        <v>5887244</v>
      </c>
    </row>
    <row r="24" spans="1:5" s="217" customFormat="1" ht="12" customHeight="1" thickBot="1">
      <c r="A24" s="210" t="s">
        <v>72</v>
      </c>
      <c r="B24" s="6" t="s">
        <v>407</v>
      </c>
      <c r="C24" s="116"/>
      <c r="D24" s="116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6"/>
      <c r="E25" s="146"/>
    </row>
    <row r="26" spans="1:5" s="217" customFormat="1" ht="12" customHeight="1" thickBot="1">
      <c r="A26" s="78" t="s">
        <v>9</v>
      </c>
      <c r="B26" s="56" t="s">
        <v>408</v>
      </c>
      <c r="C26" s="119">
        <f>+C27+C28+C29</f>
        <v>0</v>
      </c>
      <c r="D26" s="119">
        <f>+D27+D28+D29</f>
        <v>0</v>
      </c>
      <c r="E26" s="147">
        <f>+E27+E28+E29</f>
        <v>0</v>
      </c>
    </row>
    <row r="27" spans="1:5" s="217" customFormat="1" ht="12" customHeight="1">
      <c r="A27" s="211" t="s">
        <v>177</v>
      </c>
      <c r="B27" s="212" t="s">
        <v>173</v>
      </c>
      <c r="C27" s="273"/>
      <c r="D27" s="273"/>
      <c r="E27" s="271"/>
    </row>
    <row r="28" spans="1:5" s="217" customFormat="1" ht="12" customHeight="1">
      <c r="A28" s="211" t="s">
        <v>178</v>
      </c>
      <c r="B28" s="212" t="s">
        <v>307</v>
      </c>
      <c r="C28" s="116"/>
      <c r="D28" s="116"/>
      <c r="E28" s="266"/>
    </row>
    <row r="29" spans="1:5" s="217" customFormat="1" ht="12" customHeight="1">
      <c r="A29" s="211" t="s">
        <v>179</v>
      </c>
      <c r="B29" s="213" t="s">
        <v>310</v>
      </c>
      <c r="C29" s="116"/>
      <c r="D29" s="116"/>
      <c r="E29" s="266"/>
    </row>
    <row r="30" spans="1:5" s="217" customFormat="1" ht="12" customHeight="1" thickBot="1">
      <c r="A30" s="210" t="s">
        <v>180</v>
      </c>
      <c r="B30" s="61" t="s">
        <v>409</v>
      </c>
      <c r="C30" s="48"/>
      <c r="D30" s="48"/>
      <c r="E30" s="295"/>
    </row>
    <row r="31" spans="1:5" s="217" customFormat="1" ht="12" customHeight="1" thickBot="1">
      <c r="A31" s="78" t="s">
        <v>10</v>
      </c>
      <c r="B31" s="56" t="s">
        <v>311</v>
      </c>
      <c r="C31" s="119">
        <f>+C32+C33+C34</f>
        <v>0</v>
      </c>
      <c r="D31" s="119">
        <f>+D32+D33+D34</f>
        <v>0</v>
      </c>
      <c r="E31" s="147">
        <f>+E32+E33+E34</f>
        <v>0</v>
      </c>
    </row>
    <row r="32" spans="1:5" s="217" customFormat="1" ht="12" customHeight="1">
      <c r="A32" s="211" t="s">
        <v>56</v>
      </c>
      <c r="B32" s="212" t="s">
        <v>198</v>
      </c>
      <c r="C32" s="273"/>
      <c r="D32" s="273"/>
      <c r="E32" s="271"/>
    </row>
    <row r="33" spans="1:5" s="217" customFormat="1" ht="12" customHeight="1">
      <c r="A33" s="211" t="s">
        <v>57</v>
      </c>
      <c r="B33" s="213" t="s">
        <v>199</v>
      </c>
      <c r="C33" s="120"/>
      <c r="D33" s="120"/>
      <c r="E33" s="268"/>
    </row>
    <row r="34" spans="1:5" s="217" customFormat="1" ht="12" customHeight="1" thickBot="1">
      <c r="A34" s="210" t="s">
        <v>58</v>
      </c>
      <c r="B34" s="61" t="s">
        <v>200</v>
      </c>
      <c r="C34" s="48"/>
      <c r="D34" s="48"/>
      <c r="E34" s="295"/>
    </row>
    <row r="35" spans="1:5" s="152" customFormat="1" ht="12" customHeight="1" thickBot="1">
      <c r="A35" s="78" t="s">
        <v>11</v>
      </c>
      <c r="B35" s="56" t="s">
        <v>283</v>
      </c>
      <c r="C35" s="296"/>
      <c r="D35" s="296"/>
      <c r="E35" s="146"/>
    </row>
    <row r="36" spans="1:5" s="152" customFormat="1" ht="12" customHeight="1" thickBot="1">
      <c r="A36" s="78" t="s">
        <v>12</v>
      </c>
      <c r="B36" s="56" t="s">
        <v>312</v>
      </c>
      <c r="C36" s="296"/>
      <c r="D36" s="296"/>
      <c r="E36" s="146"/>
    </row>
    <row r="37" spans="1:5" s="152" customFormat="1" ht="12" customHeight="1" thickBot="1">
      <c r="A37" s="74" t="s">
        <v>13</v>
      </c>
      <c r="B37" s="56" t="s">
        <v>313</v>
      </c>
      <c r="C37" s="119">
        <f>+C8+C20+C25+C26+C31+C35+C36</f>
        <v>6203600</v>
      </c>
      <c r="D37" s="119">
        <f>+D8+D20+D25+D26+D31+D35+D36</f>
        <v>6710544</v>
      </c>
      <c r="E37" s="147">
        <f>+E8+E20+E25+E26+E31+E35+E36</f>
        <v>5887246</v>
      </c>
    </row>
    <row r="38" spans="1:5" s="152" customFormat="1" ht="12" customHeight="1" thickBot="1">
      <c r="A38" s="84" t="s">
        <v>14</v>
      </c>
      <c r="B38" s="56" t="s">
        <v>314</v>
      </c>
      <c r="C38" s="119">
        <f>+C39+C40+C41</f>
        <v>14956400</v>
      </c>
      <c r="D38" s="119">
        <f>+D39+D40+D41</f>
        <v>14956400</v>
      </c>
      <c r="E38" s="147">
        <f>+E39+E40+E41</f>
        <v>14956400</v>
      </c>
    </row>
    <row r="39" spans="1:5" s="152" customFormat="1" ht="12" customHeight="1">
      <c r="A39" s="211" t="s">
        <v>315</v>
      </c>
      <c r="B39" s="212" t="s">
        <v>150</v>
      </c>
      <c r="C39" s="273"/>
      <c r="D39" s="273"/>
      <c r="E39" s="271"/>
    </row>
    <row r="40" spans="1:5" s="152" customFormat="1" ht="12" customHeight="1">
      <c r="A40" s="211" t="s">
        <v>316</v>
      </c>
      <c r="B40" s="213" t="s">
        <v>0</v>
      </c>
      <c r="C40" s="120"/>
      <c r="D40" s="120"/>
      <c r="E40" s="268"/>
    </row>
    <row r="41" spans="1:5" s="217" customFormat="1" ht="12" customHeight="1" thickBot="1">
      <c r="A41" s="210" t="s">
        <v>317</v>
      </c>
      <c r="B41" s="61" t="s">
        <v>318</v>
      </c>
      <c r="C41" s="48">
        <v>14956400</v>
      </c>
      <c r="D41" s="48">
        <v>14956400</v>
      </c>
      <c r="E41" s="295">
        <v>14956400</v>
      </c>
    </row>
    <row r="42" spans="1:5" s="217" customFormat="1" ht="15" customHeight="1" thickBot="1">
      <c r="A42" s="84" t="s">
        <v>15</v>
      </c>
      <c r="B42" s="85" t="s">
        <v>319</v>
      </c>
      <c r="C42" s="297">
        <f>+C37+C38</f>
        <v>21160000</v>
      </c>
      <c r="D42" s="297">
        <f>+D37+D38</f>
        <v>21666944</v>
      </c>
      <c r="E42" s="150">
        <f>+E37+E38</f>
        <v>20843646</v>
      </c>
    </row>
    <row r="43" spans="1:3" s="217" customFormat="1" ht="15" customHeight="1">
      <c r="A43" s="86"/>
      <c r="B43" s="87"/>
      <c r="C43" s="148"/>
    </row>
    <row r="44" spans="1:3" ht="13.5" thickBot="1">
      <c r="A44" s="88"/>
      <c r="B44" s="89"/>
      <c r="C44" s="149"/>
    </row>
    <row r="45" spans="1:5" s="216" customFormat="1" ht="16.5" customHeight="1" thickBot="1">
      <c r="A45" s="847" t="s">
        <v>40</v>
      </c>
      <c r="B45" s="848"/>
      <c r="C45" s="848"/>
      <c r="D45" s="848"/>
      <c r="E45" s="849"/>
    </row>
    <row r="46" spans="1:5" s="218" customFormat="1" ht="12" customHeight="1" thickBot="1">
      <c r="A46" s="78" t="s">
        <v>6</v>
      </c>
      <c r="B46" s="56" t="s">
        <v>320</v>
      </c>
      <c r="C46" s="119">
        <f>SUM(C47:C51)</f>
        <v>21160000</v>
      </c>
      <c r="D46" s="119">
        <f>SUM(D47:D51)</f>
        <v>21666944</v>
      </c>
      <c r="E46" s="147">
        <f>SUM(E47:E51)</f>
        <v>21402464</v>
      </c>
    </row>
    <row r="47" spans="1:5" ht="12" customHeight="1">
      <c r="A47" s="210" t="s">
        <v>63</v>
      </c>
      <c r="B47" s="7" t="s">
        <v>35</v>
      </c>
      <c r="C47" s="273">
        <v>16399000</v>
      </c>
      <c r="D47" s="273">
        <v>16808242</v>
      </c>
      <c r="E47" s="271">
        <v>16672059</v>
      </c>
    </row>
    <row r="48" spans="1:5" ht="12" customHeight="1">
      <c r="A48" s="210" t="s">
        <v>64</v>
      </c>
      <c r="B48" s="6" t="s">
        <v>122</v>
      </c>
      <c r="C48" s="47">
        <v>3316000</v>
      </c>
      <c r="D48" s="47">
        <v>3322478</v>
      </c>
      <c r="E48" s="269">
        <v>3271549</v>
      </c>
    </row>
    <row r="49" spans="1:5" ht="12" customHeight="1">
      <c r="A49" s="210" t="s">
        <v>65</v>
      </c>
      <c r="B49" s="6" t="s">
        <v>90</v>
      </c>
      <c r="C49" s="47">
        <v>1445000</v>
      </c>
      <c r="D49" s="47">
        <v>1536224</v>
      </c>
      <c r="E49" s="269">
        <v>1458856</v>
      </c>
    </row>
    <row r="50" spans="1:5" ht="12" customHeight="1">
      <c r="A50" s="210" t="s">
        <v>66</v>
      </c>
      <c r="B50" s="6" t="s">
        <v>123</v>
      </c>
      <c r="C50" s="47"/>
      <c r="D50" s="47"/>
      <c r="E50" s="269"/>
    </row>
    <row r="51" spans="1:5" ht="12" customHeight="1" thickBot="1">
      <c r="A51" s="210" t="s">
        <v>97</v>
      </c>
      <c r="B51" s="6" t="s">
        <v>124</v>
      </c>
      <c r="C51" s="47"/>
      <c r="D51" s="47"/>
      <c r="E51" s="269"/>
    </row>
    <row r="52" spans="1:5" ht="12" customHeight="1" thickBot="1">
      <c r="A52" s="78" t="s">
        <v>7</v>
      </c>
      <c r="B52" s="56" t="s">
        <v>321</v>
      </c>
      <c r="C52" s="119">
        <f>SUM(C53:C55)</f>
        <v>0</v>
      </c>
      <c r="D52" s="119">
        <f>SUM(D53:D55)</f>
        <v>0</v>
      </c>
      <c r="E52" s="147">
        <f>SUM(E53:E55)</f>
        <v>0</v>
      </c>
    </row>
    <row r="53" spans="1:5" s="218" customFormat="1" ht="12" customHeight="1">
      <c r="A53" s="210" t="s">
        <v>69</v>
      </c>
      <c r="B53" s="7" t="s">
        <v>143</v>
      </c>
      <c r="C53" s="273"/>
      <c r="D53" s="273"/>
      <c r="E53" s="271"/>
    </row>
    <row r="54" spans="1:5" ht="12" customHeight="1">
      <c r="A54" s="210" t="s">
        <v>70</v>
      </c>
      <c r="B54" s="6" t="s">
        <v>126</v>
      </c>
      <c r="C54" s="47"/>
      <c r="D54" s="47"/>
      <c r="E54" s="269"/>
    </row>
    <row r="55" spans="1:5" ht="12" customHeight="1">
      <c r="A55" s="210" t="s">
        <v>71</v>
      </c>
      <c r="B55" s="6" t="s">
        <v>41</v>
      </c>
      <c r="C55" s="47"/>
      <c r="D55" s="47"/>
      <c r="E55" s="269"/>
    </row>
    <row r="56" spans="1:5" ht="12" customHeight="1" thickBot="1">
      <c r="A56" s="210" t="s">
        <v>72</v>
      </c>
      <c r="B56" s="6" t="s">
        <v>410</v>
      </c>
      <c r="C56" s="47"/>
      <c r="D56" s="47"/>
      <c r="E56" s="269"/>
    </row>
    <row r="57" spans="1:5" ht="12" customHeight="1" thickBot="1">
      <c r="A57" s="78" t="s">
        <v>8</v>
      </c>
      <c r="B57" s="56" t="s">
        <v>2</v>
      </c>
      <c r="C57" s="296"/>
      <c r="D57" s="296"/>
      <c r="E57" s="146"/>
    </row>
    <row r="58" spans="1:5" ht="15" customHeight="1" thickBot="1">
      <c r="A58" s="78" t="s">
        <v>9</v>
      </c>
      <c r="B58" s="90" t="s">
        <v>414</v>
      </c>
      <c r="C58" s="297">
        <f>+C46+C52+C57</f>
        <v>21160000</v>
      </c>
      <c r="D58" s="297">
        <f>+D46+D52+D57</f>
        <v>21666944</v>
      </c>
      <c r="E58" s="150">
        <f>+E46+E52+E57</f>
        <v>21402464</v>
      </c>
    </row>
    <row r="59" spans="3:5" ht="13.5" thickBot="1">
      <c r="C59" s="587">
        <f>C42-C58</f>
        <v>0</v>
      </c>
      <c r="D59" s="587">
        <f>D42-D58</f>
        <v>0</v>
      </c>
      <c r="E59" s="151"/>
    </row>
    <row r="60" spans="1:5" ht="15" customHeight="1" thickBot="1">
      <c r="A60" s="301" t="s">
        <v>485</v>
      </c>
      <c r="B60" s="302"/>
      <c r="C60" s="291">
        <v>4</v>
      </c>
      <c r="D60" s="291">
        <v>4</v>
      </c>
      <c r="E60" s="291">
        <v>4</v>
      </c>
    </row>
    <row r="61" spans="1:5" ht="14.25" customHeight="1" thickBot="1">
      <c r="A61" s="303" t="s">
        <v>486</v>
      </c>
      <c r="B61" s="304"/>
      <c r="C61" s="291">
        <v>0</v>
      </c>
      <c r="D61" s="291">
        <v>0</v>
      </c>
      <c r="E61" s="291">
        <v>0</v>
      </c>
    </row>
  </sheetData>
  <sheetProtection sheet="1" formatCells="0"/>
  <mergeCells count="5">
    <mergeCell ref="B1:E1"/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D10" sqref="D10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851" t="str">
        <f>CONCATENATE(Z_ALAPADATOK!M13," melléklet ",Z_ALAPADATOK!A7," ",Z_ALAPADATOK!B7," ",Z_ALAPADATOK!C7," ",Z_ALAPADATOK!D7," ",Z_ALAPADATOK!E7," ",Z_ALAPADATOK!F7," ",Z_ALAPADATOK!G7," ",Z_ALAPADATOK!H7)</f>
        <v>6.3. melléklet a 9 / 2020. ( VII.10. ) önkormányzati rendelethez</v>
      </c>
      <c r="C1" s="852"/>
      <c r="D1" s="852"/>
      <c r="E1" s="852"/>
    </row>
    <row r="2" spans="1:5" s="214" customFormat="1" ht="25.5" customHeight="1" thickBot="1">
      <c r="A2" s="324" t="s">
        <v>453</v>
      </c>
      <c r="B2" s="853" t="str">
        <f>CONCATENATE(Z_ALAPADATOK!B13)</f>
        <v>Wesniczky Antal Művelődési Ház és Könyvtár</v>
      </c>
      <c r="C2" s="854"/>
      <c r="D2" s="855"/>
      <c r="E2" s="325" t="s">
        <v>43</v>
      </c>
    </row>
    <row r="3" spans="1:5" s="214" customFormat="1" ht="24.75" thickBot="1">
      <c r="A3" s="324" t="s">
        <v>135</v>
      </c>
      <c r="B3" s="853" t="s">
        <v>848</v>
      </c>
      <c r="C3" s="854"/>
      <c r="D3" s="855"/>
      <c r="E3" s="325" t="s">
        <v>38</v>
      </c>
    </row>
    <row r="4" spans="1:5" s="215" customFormat="1" ht="15.75" customHeight="1" thickBot="1">
      <c r="A4" s="326"/>
      <c r="B4" s="326"/>
      <c r="C4" s="327"/>
      <c r="D4" s="328"/>
      <c r="E4" s="327" t="str">
        <f>'Z_6.2.3.sz.mell'!E4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CONCATENATE('Z_6.2.3.sz.mell'!E5)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3000000</v>
      </c>
      <c r="D8" s="119">
        <f>SUM(D9:D19)</f>
        <v>3000000</v>
      </c>
      <c r="E8" s="121">
        <f>SUM(E9:E19)</f>
        <v>2860003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>
        <v>3000000</v>
      </c>
      <c r="D10" s="261">
        <v>3000000</v>
      </c>
      <c r="E10" s="266">
        <v>2855300</v>
      </c>
    </row>
    <row r="11" spans="1:5" s="152" customFormat="1" ht="12" customHeight="1">
      <c r="A11" s="210" t="s">
        <v>65</v>
      </c>
      <c r="B11" s="6" t="s">
        <v>186</v>
      </c>
      <c r="C11" s="116"/>
      <c r="D11" s="261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261"/>
      <c r="E12" s="266"/>
    </row>
    <row r="13" spans="1:5" s="152" customFormat="1" ht="12" customHeight="1">
      <c r="A13" s="210" t="s">
        <v>97</v>
      </c>
      <c r="B13" s="6" t="s">
        <v>188</v>
      </c>
      <c r="C13" s="116"/>
      <c r="D13" s="261"/>
      <c r="E13" s="266"/>
    </row>
    <row r="14" spans="1:5" s="152" customFormat="1" ht="12" customHeight="1">
      <c r="A14" s="210" t="s">
        <v>67</v>
      </c>
      <c r="B14" s="6" t="s">
        <v>304</v>
      </c>
      <c r="C14" s="116"/>
      <c r="D14" s="261"/>
      <c r="E14" s="266"/>
    </row>
    <row r="15" spans="1:5" s="152" customFormat="1" ht="12" customHeight="1">
      <c r="A15" s="210" t="s">
        <v>68</v>
      </c>
      <c r="B15" s="5" t="s">
        <v>305</v>
      </c>
      <c r="C15" s="116"/>
      <c r="D15" s="261"/>
      <c r="E15" s="266"/>
    </row>
    <row r="16" spans="1:5" s="152" customFormat="1" ht="12" customHeight="1">
      <c r="A16" s="210" t="s">
        <v>76</v>
      </c>
      <c r="B16" s="6" t="s">
        <v>191</v>
      </c>
      <c r="C16" s="272"/>
      <c r="D16" s="299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261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262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262"/>
      <c r="E19" s="267">
        <v>4703</v>
      </c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0</v>
      </c>
      <c r="D20" s="263">
        <f>SUM(D21:D23)</f>
        <v>0</v>
      </c>
      <c r="E20" s="147">
        <f>SUM(E21:E23)</f>
        <v>0</v>
      </c>
    </row>
    <row r="21" spans="1:5" s="217" customFormat="1" ht="12" customHeight="1">
      <c r="A21" s="210" t="s">
        <v>69</v>
      </c>
      <c r="B21" s="7" t="s">
        <v>168</v>
      </c>
      <c r="C21" s="116"/>
      <c r="D21" s="261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261"/>
      <c r="E22" s="266"/>
    </row>
    <row r="23" spans="1:5" s="217" customFormat="1" ht="12" customHeight="1">
      <c r="A23" s="210" t="s">
        <v>71</v>
      </c>
      <c r="B23" s="6" t="s">
        <v>308</v>
      </c>
      <c r="C23" s="116"/>
      <c r="D23" s="261"/>
      <c r="E23" s="266"/>
    </row>
    <row r="24" spans="1:5" s="217" customFormat="1" ht="12" customHeight="1" thickBot="1">
      <c r="A24" s="210" t="s">
        <v>72</v>
      </c>
      <c r="B24" s="6" t="s">
        <v>411</v>
      </c>
      <c r="C24" s="116"/>
      <c r="D24" s="261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8"/>
      <c r="E25" s="146"/>
    </row>
    <row r="26" spans="1:5" s="217" customFormat="1" ht="12" customHeight="1" thickBot="1">
      <c r="A26" s="78" t="s">
        <v>9</v>
      </c>
      <c r="B26" s="56" t="s">
        <v>309</v>
      </c>
      <c r="C26" s="119">
        <f>+C27+C28</f>
        <v>0</v>
      </c>
      <c r="D26" s="263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307</v>
      </c>
      <c r="C27" s="273"/>
      <c r="D27" s="58"/>
      <c r="E27" s="271"/>
    </row>
    <row r="28" spans="1:5" s="217" customFormat="1" ht="12" customHeight="1">
      <c r="A28" s="211" t="s">
        <v>178</v>
      </c>
      <c r="B28" s="213" t="s">
        <v>310</v>
      </c>
      <c r="C28" s="120"/>
      <c r="D28" s="264"/>
      <c r="E28" s="268"/>
    </row>
    <row r="29" spans="1:5" s="217" customFormat="1" ht="12" customHeight="1" thickBot="1">
      <c r="A29" s="210" t="s">
        <v>179</v>
      </c>
      <c r="B29" s="61" t="s">
        <v>412</v>
      </c>
      <c r="C29" s="48"/>
      <c r="D29" s="300"/>
      <c r="E29" s="295"/>
    </row>
    <row r="30" spans="1:5" s="217" customFormat="1" ht="12" customHeight="1" thickBot="1">
      <c r="A30" s="78" t="s">
        <v>10</v>
      </c>
      <c r="B30" s="56" t="s">
        <v>311</v>
      </c>
      <c r="C30" s="119">
        <f>+C31+C32+C33</f>
        <v>0</v>
      </c>
      <c r="D30" s="263">
        <f>+D31+D32+D33</f>
        <v>0</v>
      </c>
      <c r="E30" s="147">
        <f>+E31+E32+E33</f>
        <v>0</v>
      </c>
    </row>
    <row r="31" spans="1:5" s="217" customFormat="1" ht="12" customHeight="1">
      <c r="A31" s="211" t="s">
        <v>56</v>
      </c>
      <c r="B31" s="212" t="s">
        <v>198</v>
      </c>
      <c r="C31" s="273"/>
      <c r="D31" s="58"/>
      <c r="E31" s="271"/>
    </row>
    <row r="32" spans="1:5" s="217" customFormat="1" ht="12" customHeight="1">
      <c r="A32" s="211" t="s">
        <v>57</v>
      </c>
      <c r="B32" s="213" t="s">
        <v>199</v>
      </c>
      <c r="C32" s="120"/>
      <c r="D32" s="264"/>
      <c r="E32" s="268"/>
    </row>
    <row r="33" spans="1:5" s="217" customFormat="1" ht="12" customHeight="1" thickBot="1">
      <c r="A33" s="210" t="s">
        <v>58</v>
      </c>
      <c r="B33" s="61" t="s">
        <v>200</v>
      </c>
      <c r="C33" s="48"/>
      <c r="D33" s="300"/>
      <c r="E33" s="295"/>
    </row>
    <row r="34" spans="1:5" s="152" customFormat="1" ht="12" customHeight="1" thickBot="1">
      <c r="A34" s="78" t="s">
        <v>11</v>
      </c>
      <c r="B34" s="56" t="s">
        <v>283</v>
      </c>
      <c r="C34" s="296"/>
      <c r="D34" s="298"/>
      <c r="E34" s="146"/>
    </row>
    <row r="35" spans="1:5" s="152" customFormat="1" ht="12" customHeight="1" thickBot="1">
      <c r="A35" s="78" t="s">
        <v>12</v>
      </c>
      <c r="B35" s="56" t="s">
        <v>312</v>
      </c>
      <c r="C35" s="296"/>
      <c r="D35" s="298"/>
      <c r="E35" s="146"/>
    </row>
    <row r="36" spans="1:5" s="152" customFormat="1" ht="12" customHeight="1" thickBot="1">
      <c r="A36" s="74" t="s">
        <v>13</v>
      </c>
      <c r="B36" s="56" t="s">
        <v>413</v>
      </c>
      <c r="C36" s="119">
        <f>+C8+C20+C25+C26+C30+C34+C35</f>
        <v>3000000</v>
      </c>
      <c r="D36" s="263">
        <f>+D8+D20+D25+D26+D30+D34+D35</f>
        <v>3000000</v>
      </c>
      <c r="E36" s="147">
        <f>+E8+E20+E25+E26+E30+E34+E35</f>
        <v>2860003</v>
      </c>
    </row>
    <row r="37" spans="1:5" s="152" customFormat="1" ht="12" customHeight="1" thickBot="1">
      <c r="A37" s="84" t="s">
        <v>14</v>
      </c>
      <c r="B37" s="56" t="s">
        <v>314</v>
      </c>
      <c r="C37" s="119">
        <f>+C38+C39+C40</f>
        <v>18165000</v>
      </c>
      <c r="D37" s="263">
        <f>+D38+D39+D40</f>
        <v>20367697</v>
      </c>
      <c r="E37" s="147">
        <f>+E38+E39+E40</f>
        <v>18823706</v>
      </c>
    </row>
    <row r="38" spans="1:5" s="152" customFormat="1" ht="12" customHeight="1">
      <c r="A38" s="211" t="s">
        <v>315</v>
      </c>
      <c r="B38" s="212" t="s">
        <v>150</v>
      </c>
      <c r="C38" s="273"/>
      <c r="D38" s="58">
        <v>126972</v>
      </c>
      <c r="E38" s="271">
        <v>126972</v>
      </c>
    </row>
    <row r="39" spans="1:5" s="152" customFormat="1" ht="12" customHeight="1">
      <c r="A39" s="211" t="s">
        <v>316</v>
      </c>
      <c r="B39" s="213" t="s">
        <v>0</v>
      </c>
      <c r="C39" s="120"/>
      <c r="D39" s="264"/>
      <c r="E39" s="268"/>
    </row>
    <row r="40" spans="1:5" s="217" customFormat="1" ht="12" customHeight="1" thickBot="1">
      <c r="A40" s="210" t="s">
        <v>317</v>
      </c>
      <c r="B40" s="61" t="s">
        <v>318</v>
      </c>
      <c r="C40" s="48">
        <v>18165000</v>
      </c>
      <c r="D40" s="300">
        <v>20240725</v>
      </c>
      <c r="E40" s="295">
        <v>18696734</v>
      </c>
    </row>
    <row r="41" spans="1:5" s="217" customFormat="1" ht="15" customHeight="1" thickBot="1">
      <c r="A41" s="84" t="s">
        <v>15</v>
      </c>
      <c r="B41" s="85" t="s">
        <v>319</v>
      </c>
      <c r="C41" s="297">
        <f>+C36+C37</f>
        <v>21165000</v>
      </c>
      <c r="D41" s="293">
        <f>+D36+D37</f>
        <v>23367697</v>
      </c>
      <c r="E41" s="150">
        <f>+E36+E37</f>
        <v>21683709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47" t="s">
        <v>40</v>
      </c>
      <c r="B44" s="848"/>
      <c r="C44" s="848"/>
      <c r="D44" s="848"/>
      <c r="E44" s="849"/>
    </row>
    <row r="45" spans="1:5" s="218" customFormat="1" ht="12" customHeight="1" thickBot="1">
      <c r="A45" s="78" t="s">
        <v>6</v>
      </c>
      <c r="B45" s="56" t="s">
        <v>320</v>
      </c>
      <c r="C45" s="119">
        <f>SUM(C46:C50)</f>
        <v>20755000</v>
      </c>
      <c r="D45" s="263">
        <f>SUM(D46:D50)</f>
        <v>22953917</v>
      </c>
      <c r="E45" s="147">
        <f>SUM(E46:E50)</f>
        <v>21105388</v>
      </c>
    </row>
    <row r="46" spans="1:5" ht="12" customHeight="1">
      <c r="A46" s="210" t="s">
        <v>63</v>
      </c>
      <c r="B46" s="7" t="s">
        <v>35</v>
      </c>
      <c r="C46" s="273">
        <v>12078000</v>
      </c>
      <c r="D46" s="58">
        <v>13833000</v>
      </c>
      <c r="E46" s="271">
        <v>13710074</v>
      </c>
    </row>
    <row r="47" spans="1:5" ht="12" customHeight="1">
      <c r="A47" s="210" t="s">
        <v>64</v>
      </c>
      <c r="B47" s="6" t="s">
        <v>122</v>
      </c>
      <c r="C47" s="47">
        <v>2452000</v>
      </c>
      <c r="D47" s="59">
        <v>2772725</v>
      </c>
      <c r="E47" s="269">
        <v>2660312</v>
      </c>
    </row>
    <row r="48" spans="1:5" ht="12" customHeight="1">
      <c r="A48" s="210" t="s">
        <v>65</v>
      </c>
      <c r="B48" s="6" t="s">
        <v>90</v>
      </c>
      <c r="C48" s="47">
        <v>6225000</v>
      </c>
      <c r="D48" s="59">
        <v>6348192</v>
      </c>
      <c r="E48" s="269">
        <v>4735002</v>
      </c>
    </row>
    <row r="49" spans="1:5" ht="12" customHeight="1">
      <c r="A49" s="210" t="s">
        <v>66</v>
      </c>
      <c r="B49" s="6" t="s">
        <v>123</v>
      </c>
      <c r="C49" s="47"/>
      <c r="D49" s="59"/>
      <c r="E49" s="269"/>
    </row>
    <row r="50" spans="1:5" ht="12" customHeight="1" thickBot="1">
      <c r="A50" s="210" t="s">
        <v>97</v>
      </c>
      <c r="B50" s="6" t="s">
        <v>124</v>
      </c>
      <c r="C50" s="47"/>
      <c r="D50" s="59"/>
      <c r="E50" s="269"/>
    </row>
    <row r="51" spans="1:5" ht="12" customHeight="1" thickBot="1">
      <c r="A51" s="78" t="s">
        <v>7</v>
      </c>
      <c r="B51" s="56" t="s">
        <v>321</v>
      </c>
      <c r="C51" s="119">
        <f>SUM(C52:C54)</f>
        <v>410000</v>
      </c>
      <c r="D51" s="263">
        <f>SUM(D52:D54)</f>
        <v>413780</v>
      </c>
      <c r="E51" s="147">
        <f>SUM(E52:E54)</f>
        <v>413780</v>
      </c>
    </row>
    <row r="52" spans="1:5" s="218" customFormat="1" ht="12" customHeight="1">
      <c r="A52" s="210" t="s">
        <v>69</v>
      </c>
      <c r="B52" s="7" t="s">
        <v>143</v>
      </c>
      <c r="C52" s="273">
        <v>410000</v>
      </c>
      <c r="D52" s="58">
        <v>413780</v>
      </c>
      <c r="E52" s="271">
        <v>413780</v>
      </c>
    </row>
    <row r="53" spans="1:5" ht="12" customHeight="1">
      <c r="A53" s="210" t="s">
        <v>70</v>
      </c>
      <c r="B53" s="6" t="s">
        <v>126</v>
      </c>
      <c r="C53" s="47"/>
      <c r="D53" s="59"/>
      <c r="E53" s="269"/>
    </row>
    <row r="54" spans="1:5" ht="12" customHeight="1">
      <c r="A54" s="210" t="s">
        <v>71</v>
      </c>
      <c r="B54" s="6" t="s">
        <v>41</v>
      </c>
      <c r="C54" s="47"/>
      <c r="D54" s="59"/>
      <c r="E54" s="269"/>
    </row>
    <row r="55" spans="1:5" ht="12" customHeight="1" thickBot="1">
      <c r="A55" s="210" t="s">
        <v>72</v>
      </c>
      <c r="B55" s="6" t="s">
        <v>410</v>
      </c>
      <c r="C55" s="47"/>
      <c r="D55" s="59"/>
      <c r="E55" s="269"/>
    </row>
    <row r="56" spans="1:5" ht="15" customHeight="1" thickBot="1">
      <c r="A56" s="78" t="s">
        <v>8</v>
      </c>
      <c r="B56" s="56" t="s">
        <v>2</v>
      </c>
      <c r="C56" s="296"/>
      <c r="D56" s="298"/>
      <c r="E56" s="146"/>
    </row>
    <row r="57" spans="1:5" ht="13.5" thickBot="1">
      <c r="A57" s="78" t="s">
        <v>9</v>
      </c>
      <c r="B57" s="90" t="s">
        <v>414</v>
      </c>
      <c r="C57" s="297">
        <f>+C45+C51+C56</f>
        <v>21165000</v>
      </c>
      <c r="D57" s="293">
        <f>+D45+D51+D56</f>
        <v>23367697</v>
      </c>
      <c r="E57" s="150">
        <f>+E45+E51+E56</f>
        <v>21519168</v>
      </c>
    </row>
    <row r="58" spans="3:4" ht="15" customHeight="1" thickBot="1">
      <c r="C58" s="587">
        <f>C41-C57</f>
        <v>0</v>
      </c>
      <c r="D58" s="587">
        <f>D41-D57</f>
        <v>0</v>
      </c>
    </row>
    <row r="59" spans="1:5" ht="14.25" customHeight="1" thickBot="1">
      <c r="A59" s="301" t="s">
        <v>485</v>
      </c>
      <c r="B59" s="302"/>
      <c r="C59" s="291">
        <v>4</v>
      </c>
      <c r="D59" s="291">
        <v>4</v>
      </c>
      <c r="E59" s="290">
        <v>5</v>
      </c>
    </row>
    <row r="60" spans="1:5" ht="13.5" thickBot="1">
      <c r="A60" s="303" t="s">
        <v>486</v>
      </c>
      <c r="B60" s="304"/>
      <c r="C60" s="291">
        <v>0</v>
      </c>
      <c r="D60" s="291">
        <v>0</v>
      </c>
      <c r="E60" s="290">
        <v>0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15" sqref="E15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851" t="str">
        <f>CONCATENATE(Z_ALAPADATOK!M15," melléklet ",Z_ALAPADATOK!A7," ",Z_ALAPADATOK!B7," ",Z_ALAPADATOK!C7," ",Z_ALAPADATOK!D7," ",Z_ALAPADATOK!E7," ",Z_ALAPADATOK!F7," ",Z_ALAPADATOK!G7," ",Z_ALAPADATOK!H7)</f>
        <v>6.4. melléklet a 9 / 2020. ( VII.10. ) önkormányzati rendelethez</v>
      </c>
      <c r="C1" s="852"/>
      <c r="D1" s="852"/>
      <c r="E1" s="852"/>
    </row>
    <row r="2" spans="1:5" s="214" customFormat="1" ht="25.5" customHeight="1" thickBot="1">
      <c r="A2" s="324" t="s">
        <v>453</v>
      </c>
      <c r="B2" s="853" t="str">
        <f>CONCATENATE(Z_ALAPADATOK!B15)</f>
        <v>Besenyszögi Eszterlánc Óvoda</v>
      </c>
      <c r="C2" s="854"/>
      <c r="D2" s="855"/>
      <c r="E2" s="325" t="s">
        <v>332</v>
      </c>
    </row>
    <row r="3" spans="1:5" s="214" customFormat="1" ht="24.75" thickBot="1">
      <c r="A3" s="324" t="s">
        <v>135</v>
      </c>
      <c r="B3" s="853" t="s">
        <v>848</v>
      </c>
      <c r="C3" s="854"/>
      <c r="D3" s="855"/>
      <c r="E3" s="325" t="s">
        <v>38</v>
      </c>
    </row>
    <row r="4" spans="1:5" s="215" customFormat="1" ht="15.75" customHeight="1" thickBot="1">
      <c r="A4" s="326"/>
      <c r="B4" s="326"/>
      <c r="C4" s="327"/>
      <c r="D4" s="328"/>
      <c r="E4" s="327" t="str">
        <f>'Z_6.2.3.sz.mell'!E4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'Z_6.3.sz.mell'!E5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882904</v>
      </c>
      <c r="D8" s="119">
        <f>SUM(D9:D19)</f>
        <v>882904</v>
      </c>
      <c r="E8" s="121">
        <f>SUM(E9:E19)</f>
        <v>1182309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/>
      <c r="D10" s="261"/>
      <c r="E10" s="266"/>
    </row>
    <row r="11" spans="1:5" s="152" customFormat="1" ht="12" customHeight="1">
      <c r="A11" s="210" t="s">
        <v>65</v>
      </c>
      <c r="B11" s="6" t="s">
        <v>186</v>
      </c>
      <c r="C11" s="116"/>
      <c r="D11" s="261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261"/>
      <c r="E12" s="266"/>
    </row>
    <row r="13" spans="1:5" s="152" customFormat="1" ht="12" customHeight="1">
      <c r="A13" s="210" t="s">
        <v>97</v>
      </c>
      <c r="B13" s="6" t="s">
        <v>188</v>
      </c>
      <c r="C13" s="116">
        <v>695200</v>
      </c>
      <c r="D13" s="261">
        <v>695200</v>
      </c>
      <c r="E13" s="266">
        <v>736526</v>
      </c>
    </row>
    <row r="14" spans="1:5" s="152" customFormat="1" ht="12" customHeight="1">
      <c r="A14" s="210" t="s">
        <v>67</v>
      </c>
      <c r="B14" s="6" t="s">
        <v>304</v>
      </c>
      <c r="C14" s="116">
        <v>187704</v>
      </c>
      <c r="D14" s="116">
        <v>187704</v>
      </c>
      <c r="E14" s="266">
        <v>198874</v>
      </c>
    </row>
    <row r="15" spans="1:5" s="152" customFormat="1" ht="12" customHeight="1">
      <c r="A15" s="210" t="s">
        <v>68</v>
      </c>
      <c r="B15" s="5" t="s">
        <v>305</v>
      </c>
      <c r="C15" s="116"/>
      <c r="D15" s="261"/>
      <c r="E15" s="266">
        <v>243000</v>
      </c>
    </row>
    <row r="16" spans="1:5" s="152" customFormat="1" ht="12" customHeight="1">
      <c r="A16" s="210" t="s">
        <v>76</v>
      </c>
      <c r="B16" s="6" t="s">
        <v>191</v>
      </c>
      <c r="C16" s="272"/>
      <c r="D16" s="299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261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262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262"/>
      <c r="E19" s="267">
        <v>3909</v>
      </c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14023510</v>
      </c>
      <c r="D20" s="263">
        <f>SUM(D21:D23)</f>
        <v>14023510</v>
      </c>
      <c r="E20" s="147">
        <f>SUM(E21:E23)</f>
        <v>10004478</v>
      </c>
    </row>
    <row r="21" spans="1:5" s="217" customFormat="1" ht="12" customHeight="1">
      <c r="A21" s="210" t="s">
        <v>69</v>
      </c>
      <c r="B21" s="7" t="s">
        <v>168</v>
      </c>
      <c r="C21" s="116"/>
      <c r="D21" s="261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261"/>
      <c r="E22" s="266"/>
    </row>
    <row r="23" spans="1:5" s="217" customFormat="1" ht="12" customHeight="1">
      <c r="A23" s="210" t="s">
        <v>71</v>
      </c>
      <c r="B23" s="6" t="s">
        <v>308</v>
      </c>
      <c r="C23" s="116">
        <v>14023510</v>
      </c>
      <c r="D23" s="116">
        <v>14023510</v>
      </c>
      <c r="E23" s="266">
        <v>10004478</v>
      </c>
    </row>
    <row r="24" spans="1:5" s="217" customFormat="1" ht="12" customHeight="1" thickBot="1">
      <c r="A24" s="210" t="s">
        <v>72</v>
      </c>
      <c r="B24" s="6" t="s">
        <v>411</v>
      </c>
      <c r="C24" s="116"/>
      <c r="D24" s="261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8"/>
      <c r="E25" s="146"/>
    </row>
    <row r="26" spans="1:5" s="217" customFormat="1" ht="12" customHeight="1" thickBot="1">
      <c r="A26" s="78" t="s">
        <v>9</v>
      </c>
      <c r="B26" s="56" t="s">
        <v>309</v>
      </c>
      <c r="C26" s="119">
        <f>+C27+C28</f>
        <v>0</v>
      </c>
      <c r="D26" s="263">
        <f>+D27+D28</f>
        <v>391690</v>
      </c>
      <c r="E26" s="147">
        <f>+E27+E28</f>
        <v>391690</v>
      </c>
    </row>
    <row r="27" spans="1:5" s="217" customFormat="1" ht="12" customHeight="1">
      <c r="A27" s="211" t="s">
        <v>177</v>
      </c>
      <c r="B27" s="212" t="s">
        <v>307</v>
      </c>
      <c r="C27" s="273"/>
      <c r="D27" s="58"/>
      <c r="E27" s="271"/>
    </row>
    <row r="28" spans="1:5" s="217" customFormat="1" ht="12" customHeight="1">
      <c r="A28" s="211" t="s">
        <v>178</v>
      </c>
      <c r="B28" s="213" t="s">
        <v>849</v>
      </c>
      <c r="C28" s="120"/>
      <c r="D28" s="264">
        <v>391690</v>
      </c>
      <c r="E28" s="268">
        <v>391690</v>
      </c>
    </row>
    <row r="29" spans="1:5" s="217" customFormat="1" ht="12" customHeight="1" thickBot="1">
      <c r="A29" s="210" t="s">
        <v>179</v>
      </c>
      <c r="B29" s="61" t="s">
        <v>412</v>
      </c>
      <c r="C29" s="48"/>
      <c r="D29" s="300"/>
      <c r="E29" s="295"/>
    </row>
    <row r="30" spans="1:5" s="217" customFormat="1" ht="12" customHeight="1" thickBot="1">
      <c r="A30" s="78" t="s">
        <v>10</v>
      </c>
      <c r="B30" s="56" t="s">
        <v>311</v>
      </c>
      <c r="C30" s="119">
        <f>+C31+C32+C33</f>
        <v>0</v>
      </c>
      <c r="D30" s="263">
        <f>+D31+D32+D33</f>
        <v>0</v>
      </c>
      <c r="E30" s="147">
        <f>+E31+E32+E33</f>
        <v>0</v>
      </c>
    </row>
    <row r="31" spans="1:5" s="217" customFormat="1" ht="12" customHeight="1">
      <c r="A31" s="211" t="s">
        <v>56</v>
      </c>
      <c r="B31" s="212" t="s">
        <v>198</v>
      </c>
      <c r="C31" s="273"/>
      <c r="D31" s="58"/>
      <c r="E31" s="271"/>
    </row>
    <row r="32" spans="1:5" s="217" customFormat="1" ht="12" customHeight="1">
      <c r="A32" s="211" t="s">
        <v>57</v>
      </c>
      <c r="B32" s="213" t="s">
        <v>199</v>
      </c>
      <c r="C32" s="120"/>
      <c r="D32" s="264"/>
      <c r="E32" s="268"/>
    </row>
    <row r="33" spans="1:5" s="217" customFormat="1" ht="12" customHeight="1" thickBot="1">
      <c r="A33" s="210" t="s">
        <v>58</v>
      </c>
      <c r="B33" s="61" t="s">
        <v>200</v>
      </c>
      <c r="C33" s="48"/>
      <c r="D33" s="300"/>
      <c r="E33" s="295"/>
    </row>
    <row r="34" spans="1:5" s="152" customFormat="1" ht="12" customHeight="1" thickBot="1">
      <c r="A34" s="78" t="s">
        <v>11</v>
      </c>
      <c r="B34" s="56" t="s">
        <v>283</v>
      </c>
      <c r="C34" s="296"/>
      <c r="D34" s="298"/>
      <c r="E34" s="146"/>
    </row>
    <row r="35" spans="1:5" s="152" customFormat="1" ht="12" customHeight="1" thickBot="1">
      <c r="A35" s="78" t="s">
        <v>12</v>
      </c>
      <c r="B35" s="56" t="s">
        <v>312</v>
      </c>
      <c r="C35" s="296"/>
      <c r="D35" s="298"/>
      <c r="E35" s="146"/>
    </row>
    <row r="36" spans="1:5" s="152" customFormat="1" ht="12" customHeight="1" thickBot="1">
      <c r="A36" s="74" t="s">
        <v>13</v>
      </c>
      <c r="B36" s="56" t="s">
        <v>413</v>
      </c>
      <c r="C36" s="119">
        <f>+C8+C20+C25+C26+C30+C34+C35</f>
        <v>14906414</v>
      </c>
      <c r="D36" s="263">
        <f>+D8+D20+D25+D26+D30+D34+D35</f>
        <v>15298104</v>
      </c>
      <c r="E36" s="147">
        <f>+E8+E20+E25+E26+E30+E34+E35</f>
        <v>11578477</v>
      </c>
    </row>
    <row r="37" spans="1:5" s="152" customFormat="1" ht="12" customHeight="1" thickBot="1">
      <c r="A37" s="84" t="s">
        <v>14</v>
      </c>
      <c r="B37" s="56" t="s">
        <v>314</v>
      </c>
      <c r="C37" s="119">
        <f>+C38+C39+C40</f>
        <v>87341736</v>
      </c>
      <c r="D37" s="263">
        <f>+D38+D39+D40</f>
        <v>93471190</v>
      </c>
      <c r="E37" s="147">
        <f>+E38+E39+E40</f>
        <v>90662842</v>
      </c>
    </row>
    <row r="38" spans="1:5" s="152" customFormat="1" ht="12" customHeight="1">
      <c r="A38" s="211" t="s">
        <v>315</v>
      </c>
      <c r="B38" s="212" t="s">
        <v>150</v>
      </c>
      <c r="C38" s="273"/>
      <c r="D38" s="58">
        <v>2609637</v>
      </c>
      <c r="E38" s="58">
        <v>2609637</v>
      </c>
    </row>
    <row r="39" spans="1:5" s="152" customFormat="1" ht="12" customHeight="1">
      <c r="A39" s="211" t="s">
        <v>316</v>
      </c>
      <c r="B39" s="213" t="s">
        <v>0</v>
      </c>
      <c r="C39" s="120"/>
      <c r="D39" s="264"/>
      <c r="E39" s="268"/>
    </row>
    <row r="40" spans="1:5" s="217" customFormat="1" ht="12" customHeight="1" thickBot="1">
      <c r="A40" s="210" t="s">
        <v>317</v>
      </c>
      <c r="B40" s="61" t="s">
        <v>318</v>
      </c>
      <c r="C40" s="48">
        <v>87341736</v>
      </c>
      <c r="D40" s="300">
        <v>90861553</v>
      </c>
      <c r="E40" s="295">
        <v>88053205</v>
      </c>
    </row>
    <row r="41" spans="1:5" s="217" customFormat="1" ht="15" customHeight="1" thickBot="1">
      <c r="A41" s="84" t="s">
        <v>15</v>
      </c>
      <c r="B41" s="85" t="s">
        <v>319</v>
      </c>
      <c r="C41" s="297">
        <f>+C36+C37</f>
        <v>102248150</v>
      </c>
      <c r="D41" s="293">
        <f>+D36+D37</f>
        <v>108769294</v>
      </c>
      <c r="E41" s="150">
        <f>+E36+E37</f>
        <v>102241319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47" t="s">
        <v>40</v>
      </c>
      <c r="B44" s="848"/>
      <c r="C44" s="848"/>
      <c r="D44" s="848"/>
      <c r="E44" s="849"/>
    </row>
    <row r="45" spans="1:5" s="218" customFormat="1" ht="12" customHeight="1" thickBot="1">
      <c r="A45" s="78" t="s">
        <v>6</v>
      </c>
      <c r="B45" s="56" t="s">
        <v>320</v>
      </c>
      <c r="C45" s="119">
        <f>SUM(C46:C50)</f>
        <v>102248150</v>
      </c>
      <c r="D45" s="263">
        <f>SUM(D46:D50)</f>
        <v>107044156</v>
      </c>
      <c r="E45" s="147">
        <f>SUM(E46:E50)</f>
        <v>99602674</v>
      </c>
    </row>
    <row r="46" spans="1:5" ht="12" customHeight="1">
      <c r="A46" s="210" t="s">
        <v>63</v>
      </c>
      <c r="B46" s="7" t="s">
        <v>35</v>
      </c>
      <c r="C46" s="273">
        <v>68291410</v>
      </c>
      <c r="D46" s="58">
        <v>69671490</v>
      </c>
      <c r="E46" s="271">
        <v>66308873</v>
      </c>
    </row>
    <row r="47" spans="1:5" ht="12" customHeight="1">
      <c r="A47" s="210" t="s">
        <v>64</v>
      </c>
      <c r="B47" s="6" t="s">
        <v>122</v>
      </c>
      <c r="C47" s="47">
        <v>13423750</v>
      </c>
      <c r="D47" s="59">
        <v>13497853</v>
      </c>
      <c r="E47" s="269">
        <v>12630350</v>
      </c>
    </row>
    <row r="48" spans="1:5" ht="12" customHeight="1">
      <c r="A48" s="210" t="s">
        <v>65</v>
      </c>
      <c r="B48" s="6" t="s">
        <v>90</v>
      </c>
      <c r="C48" s="47">
        <v>20532990</v>
      </c>
      <c r="D48" s="59">
        <v>23873313</v>
      </c>
      <c r="E48" s="269">
        <v>20661951</v>
      </c>
    </row>
    <row r="49" spans="1:5" ht="12" customHeight="1">
      <c r="A49" s="210" t="s">
        <v>66</v>
      </c>
      <c r="B49" s="6" t="s">
        <v>123</v>
      </c>
      <c r="C49" s="47"/>
      <c r="D49" s="59"/>
      <c r="E49" s="269"/>
    </row>
    <row r="50" spans="1:5" ht="12" customHeight="1" thickBot="1">
      <c r="A50" s="210" t="s">
        <v>97</v>
      </c>
      <c r="B50" s="6" t="s">
        <v>124</v>
      </c>
      <c r="C50" s="47"/>
      <c r="D50" s="59">
        <v>1500</v>
      </c>
      <c r="E50" s="269">
        <v>1500</v>
      </c>
    </row>
    <row r="51" spans="1:5" ht="12" customHeight="1" thickBot="1">
      <c r="A51" s="78" t="s">
        <v>7</v>
      </c>
      <c r="B51" s="56" t="s">
        <v>321</v>
      </c>
      <c r="C51" s="119">
        <f>SUM(C52:C54)</f>
        <v>0</v>
      </c>
      <c r="D51" s="263">
        <f>SUM(D52:D54)</f>
        <v>1725138</v>
      </c>
      <c r="E51" s="147">
        <f>SUM(E52:E54)</f>
        <v>1701477</v>
      </c>
    </row>
    <row r="52" spans="1:5" s="218" customFormat="1" ht="12" customHeight="1">
      <c r="A52" s="210" t="s">
        <v>69</v>
      </c>
      <c r="B52" s="7" t="s">
        <v>143</v>
      </c>
      <c r="C52" s="273"/>
      <c r="D52" s="273">
        <v>1725138</v>
      </c>
      <c r="E52" s="271">
        <v>1701477</v>
      </c>
    </row>
    <row r="53" spans="1:5" ht="12" customHeight="1">
      <c r="A53" s="210" t="s">
        <v>70</v>
      </c>
      <c r="B53" s="6" t="s">
        <v>126</v>
      </c>
      <c r="C53" s="47"/>
      <c r="D53" s="59"/>
      <c r="E53" s="269"/>
    </row>
    <row r="54" spans="1:5" ht="12" customHeight="1">
      <c r="A54" s="210" t="s">
        <v>71</v>
      </c>
      <c r="B54" s="6" t="s">
        <v>41</v>
      </c>
      <c r="C54" s="47"/>
      <c r="D54" s="59"/>
      <c r="E54" s="269"/>
    </row>
    <row r="55" spans="1:5" ht="12" customHeight="1" thickBot="1">
      <c r="A55" s="210" t="s">
        <v>72</v>
      </c>
      <c r="B55" s="6" t="s">
        <v>410</v>
      </c>
      <c r="C55" s="47"/>
      <c r="D55" s="59"/>
      <c r="E55" s="269"/>
    </row>
    <row r="56" spans="1:5" ht="15" customHeight="1" thickBot="1">
      <c r="A56" s="78" t="s">
        <v>8</v>
      </c>
      <c r="B56" s="56" t="s">
        <v>2</v>
      </c>
      <c r="C56" s="296"/>
      <c r="D56" s="298"/>
      <c r="E56" s="146"/>
    </row>
    <row r="57" spans="1:5" ht="13.5" thickBot="1">
      <c r="A57" s="78" t="s">
        <v>9</v>
      </c>
      <c r="B57" s="90" t="s">
        <v>414</v>
      </c>
      <c r="C57" s="297">
        <f>+C45+C51+C56</f>
        <v>102248150</v>
      </c>
      <c r="D57" s="293">
        <f>+D45+D51+D56</f>
        <v>108769294</v>
      </c>
      <c r="E57" s="150">
        <f>+E45+E51+E56</f>
        <v>101304151</v>
      </c>
    </row>
    <row r="58" spans="3:4" ht="15" customHeight="1" thickBot="1">
      <c r="C58" s="587">
        <f>C41-C57</f>
        <v>0</v>
      </c>
      <c r="D58" s="587">
        <f>D41-D57</f>
        <v>0</v>
      </c>
    </row>
    <row r="59" spans="1:5" ht="14.25" customHeight="1" thickBot="1">
      <c r="A59" s="301" t="s">
        <v>485</v>
      </c>
      <c r="B59" s="302"/>
      <c r="C59" s="291">
        <v>19</v>
      </c>
      <c r="D59" s="291">
        <v>20</v>
      </c>
      <c r="E59" s="290">
        <v>20</v>
      </c>
    </row>
    <row r="60" spans="1:5" ht="13.5" thickBot="1">
      <c r="A60" s="303" t="s">
        <v>486</v>
      </c>
      <c r="B60" s="304"/>
      <c r="C60" s="291">
        <v>0</v>
      </c>
      <c r="D60" s="291">
        <v>0</v>
      </c>
      <c r="E60" s="290">
        <v>0</v>
      </c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I48" sqref="I48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856" t="str">
        <f>CONCATENATE(Z_ALAPADATOK!M15,"1. melléklet ",Z_ALAPADATOK!A7," ",Z_ALAPADATOK!B7," ",Z_ALAPADATOK!C7," ",Z_ALAPADATOK!D7," ",Z_ALAPADATOK!E7," ",Z_ALAPADATOK!F7," ",Z_ALAPADATOK!G7," ",Z_ALAPADATOK!H7)</f>
        <v>6.4.1. melléklet a 9 / 2020. ( VII.10. ) önkormányzati rendelethez</v>
      </c>
      <c r="C1" s="857"/>
      <c r="D1" s="857"/>
      <c r="E1" s="857"/>
    </row>
    <row r="2" spans="1:5" s="214" customFormat="1" ht="25.5" customHeight="1" thickBot="1">
      <c r="A2" s="324" t="s">
        <v>453</v>
      </c>
      <c r="B2" s="853" t="str">
        <f>CONCATENATE('Óvodák összesen'!B2:D2)</f>
        <v>Besenyszögi Eszterlánc Óvoda</v>
      </c>
      <c r="C2" s="854"/>
      <c r="D2" s="855"/>
      <c r="E2" s="325" t="s">
        <v>332</v>
      </c>
    </row>
    <row r="3" spans="1:5" s="214" customFormat="1" ht="24.75" thickBot="1">
      <c r="A3" s="324" t="s">
        <v>135</v>
      </c>
      <c r="B3" s="853" t="s">
        <v>850</v>
      </c>
      <c r="C3" s="854"/>
      <c r="D3" s="855"/>
      <c r="E3" s="325" t="s">
        <v>42</v>
      </c>
    </row>
    <row r="4" spans="1:5" s="215" customFormat="1" ht="15.75" customHeight="1" thickBot="1">
      <c r="A4" s="326"/>
      <c r="B4" s="326"/>
      <c r="C4" s="327"/>
      <c r="D4" s="328"/>
      <c r="E4" s="327" t="str">
        <f>'Óvodák összesen'!E4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CONCATENATE('Óvodák összesen'!E5)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706024</v>
      </c>
      <c r="D8" s="119">
        <f>SUM(D9:D19)</f>
        <v>706024</v>
      </c>
      <c r="E8" s="121">
        <f>SUM(E9:E19)</f>
        <v>1003509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/>
      <c r="D10" s="261"/>
      <c r="E10" s="266"/>
    </row>
    <row r="11" spans="1:5" s="152" customFormat="1" ht="12" customHeight="1">
      <c r="A11" s="210" t="s">
        <v>65</v>
      </c>
      <c r="B11" s="6" t="s">
        <v>186</v>
      </c>
      <c r="C11" s="116"/>
      <c r="D11" s="261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261"/>
      <c r="E12" s="266"/>
    </row>
    <row r="13" spans="1:5" s="152" customFormat="1" ht="12" customHeight="1">
      <c r="A13" s="210" t="s">
        <v>97</v>
      </c>
      <c r="B13" s="6" t="s">
        <v>188</v>
      </c>
      <c r="C13" s="116">
        <v>555924</v>
      </c>
      <c r="D13" s="261">
        <v>555924</v>
      </c>
      <c r="E13" s="266">
        <v>595737</v>
      </c>
    </row>
    <row r="14" spans="1:5" s="152" customFormat="1" ht="12" customHeight="1">
      <c r="A14" s="210" t="s">
        <v>67</v>
      </c>
      <c r="B14" s="6" t="s">
        <v>304</v>
      </c>
      <c r="C14" s="116">
        <v>150100</v>
      </c>
      <c r="D14" s="261">
        <v>150100</v>
      </c>
      <c r="E14" s="266">
        <v>160863</v>
      </c>
    </row>
    <row r="15" spans="1:5" s="152" customFormat="1" ht="12" customHeight="1">
      <c r="A15" s="210" t="s">
        <v>68</v>
      </c>
      <c r="B15" s="5" t="s">
        <v>305</v>
      </c>
      <c r="C15" s="116"/>
      <c r="D15" s="261"/>
      <c r="E15" s="266">
        <v>243000</v>
      </c>
    </row>
    <row r="16" spans="1:5" s="152" customFormat="1" ht="12" customHeight="1">
      <c r="A16" s="210" t="s">
        <v>76</v>
      </c>
      <c r="B16" s="6" t="s">
        <v>191</v>
      </c>
      <c r="C16" s="272"/>
      <c r="D16" s="299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261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262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262"/>
      <c r="E19" s="267">
        <v>3909</v>
      </c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4160000</v>
      </c>
      <c r="D20" s="263">
        <f>SUM(D21:D23)</f>
        <v>4160000</v>
      </c>
      <c r="E20" s="147">
        <f>SUM(E21:E23)</f>
        <v>2102270</v>
      </c>
    </row>
    <row r="21" spans="1:5" s="217" customFormat="1" ht="12" customHeight="1">
      <c r="A21" s="210" t="s">
        <v>69</v>
      </c>
      <c r="B21" s="7" t="s">
        <v>168</v>
      </c>
      <c r="C21" s="116"/>
      <c r="D21" s="261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261"/>
      <c r="E22" s="266"/>
    </row>
    <row r="23" spans="1:5" s="217" customFormat="1" ht="12" customHeight="1">
      <c r="A23" s="210" t="s">
        <v>71</v>
      </c>
      <c r="B23" s="6" t="s">
        <v>308</v>
      </c>
      <c r="C23" s="116">
        <v>4160000</v>
      </c>
      <c r="D23" s="261">
        <v>4160000</v>
      </c>
      <c r="E23" s="266">
        <v>2102270</v>
      </c>
    </row>
    <row r="24" spans="1:5" s="217" customFormat="1" ht="12" customHeight="1" thickBot="1">
      <c r="A24" s="210" t="s">
        <v>72</v>
      </c>
      <c r="B24" s="6" t="s">
        <v>411</v>
      </c>
      <c r="C24" s="116"/>
      <c r="D24" s="261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8"/>
      <c r="E25" s="146"/>
    </row>
    <row r="26" spans="1:5" s="217" customFormat="1" ht="12" customHeight="1" thickBot="1">
      <c r="A26" s="78" t="s">
        <v>9</v>
      </c>
      <c r="B26" s="56" t="s">
        <v>309</v>
      </c>
      <c r="C26" s="119">
        <f>+C27+C28</f>
        <v>0</v>
      </c>
      <c r="D26" s="263">
        <f>+D27+D28</f>
        <v>0</v>
      </c>
      <c r="E26" s="147">
        <f>+E27+E28</f>
        <v>0</v>
      </c>
    </row>
    <row r="27" spans="1:5" s="217" customFormat="1" ht="12" customHeight="1">
      <c r="A27" s="211" t="s">
        <v>177</v>
      </c>
      <c r="B27" s="212" t="s">
        <v>307</v>
      </c>
      <c r="C27" s="273"/>
      <c r="D27" s="58"/>
      <c r="E27" s="271"/>
    </row>
    <row r="28" spans="1:5" s="217" customFormat="1" ht="12" customHeight="1">
      <c r="A28" s="211" t="s">
        <v>178</v>
      </c>
      <c r="B28" s="213" t="s">
        <v>976</v>
      </c>
      <c r="C28" s="120"/>
      <c r="D28" s="264"/>
      <c r="E28" s="268"/>
    </row>
    <row r="29" spans="1:5" s="217" customFormat="1" ht="12" customHeight="1" thickBot="1">
      <c r="A29" s="210" t="s">
        <v>179</v>
      </c>
      <c r="B29" s="61" t="s">
        <v>412</v>
      </c>
      <c r="C29" s="48"/>
      <c r="D29" s="300"/>
      <c r="E29" s="295"/>
    </row>
    <row r="30" spans="1:5" s="217" customFormat="1" ht="12" customHeight="1" thickBot="1">
      <c r="A30" s="78" t="s">
        <v>10</v>
      </c>
      <c r="B30" s="56" t="s">
        <v>311</v>
      </c>
      <c r="C30" s="119">
        <f>+C31+C32+C33</f>
        <v>0</v>
      </c>
      <c r="D30" s="263">
        <f>+D31+D32+D33</f>
        <v>0</v>
      </c>
      <c r="E30" s="147">
        <f>+E31+E32+E33</f>
        <v>0</v>
      </c>
    </row>
    <row r="31" spans="1:5" s="217" customFormat="1" ht="12" customHeight="1">
      <c r="A31" s="211" t="s">
        <v>56</v>
      </c>
      <c r="B31" s="212" t="s">
        <v>198</v>
      </c>
      <c r="C31" s="273"/>
      <c r="D31" s="58"/>
      <c r="E31" s="271"/>
    </row>
    <row r="32" spans="1:5" s="217" customFormat="1" ht="12" customHeight="1">
      <c r="A32" s="211" t="s">
        <v>57</v>
      </c>
      <c r="B32" s="213" t="s">
        <v>199</v>
      </c>
      <c r="C32" s="120"/>
      <c r="D32" s="264"/>
      <c r="E32" s="268"/>
    </row>
    <row r="33" spans="1:5" s="217" customFormat="1" ht="12" customHeight="1" thickBot="1">
      <c r="A33" s="210" t="s">
        <v>58</v>
      </c>
      <c r="B33" s="61" t="s">
        <v>200</v>
      </c>
      <c r="C33" s="48"/>
      <c r="D33" s="300"/>
      <c r="E33" s="295"/>
    </row>
    <row r="34" spans="1:5" s="152" customFormat="1" ht="12" customHeight="1" thickBot="1">
      <c r="A34" s="78" t="s">
        <v>11</v>
      </c>
      <c r="B34" s="56" t="s">
        <v>283</v>
      </c>
      <c r="C34" s="296"/>
      <c r="D34" s="298"/>
      <c r="E34" s="146"/>
    </row>
    <row r="35" spans="1:5" s="152" customFormat="1" ht="12" customHeight="1" thickBot="1">
      <c r="A35" s="78" t="s">
        <v>12</v>
      </c>
      <c r="B35" s="56" t="s">
        <v>312</v>
      </c>
      <c r="C35" s="296"/>
      <c r="D35" s="298"/>
      <c r="E35" s="146"/>
    </row>
    <row r="36" spans="1:5" s="152" customFormat="1" ht="12" customHeight="1" thickBot="1">
      <c r="A36" s="74" t="s">
        <v>13</v>
      </c>
      <c r="B36" s="56" t="s">
        <v>413</v>
      </c>
      <c r="C36" s="119">
        <f>+C8+C20+C25+C26+C30+C34+C35</f>
        <v>4866024</v>
      </c>
      <c r="D36" s="263">
        <f>+D8+D20+D25+D26+D30+D34+D35</f>
        <v>4866024</v>
      </c>
      <c r="E36" s="147">
        <f>+E8+E20+E25+E26+E30+E34+E35</f>
        <v>3105779</v>
      </c>
    </row>
    <row r="37" spans="1:5" s="152" customFormat="1" ht="12" customHeight="1" thickBot="1">
      <c r="A37" s="84" t="s">
        <v>14</v>
      </c>
      <c r="B37" s="56" t="s">
        <v>314</v>
      </c>
      <c r="C37" s="119">
        <f>+C38+C39+C40</f>
        <v>67318686</v>
      </c>
      <c r="D37" s="263">
        <f>+D38+D39+D40</f>
        <v>72878775</v>
      </c>
      <c r="E37" s="147">
        <f>+E38+E39+E40</f>
        <v>70070427</v>
      </c>
    </row>
    <row r="38" spans="1:5" s="152" customFormat="1" ht="12" customHeight="1">
      <c r="A38" s="211" t="s">
        <v>315</v>
      </c>
      <c r="B38" s="212" t="s">
        <v>150</v>
      </c>
      <c r="C38" s="273"/>
      <c r="D38" s="58">
        <v>2609637</v>
      </c>
      <c r="E38" s="271">
        <v>2609637</v>
      </c>
    </row>
    <row r="39" spans="1:5" s="152" customFormat="1" ht="12" customHeight="1">
      <c r="A39" s="211" t="s">
        <v>316</v>
      </c>
      <c r="B39" s="213" t="s">
        <v>0</v>
      </c>
      <c r="C39" s="120"/>
      <c r="D39" s="264"/>
      <c r="E39" s="268"/>
    </row>
    <row r="40" spans="1:5" s="217" customFormat="1" ht="12" customHeight="1" thickBot="1">
      <c r="A40" s="210" t="s">
        <v>317</v>
      </c>
      <c r="B40" s="61" t="s">
        <v>318</v>
      </c>
      <c r="C40" s="48">
        <v>67318686</v>
      </c>
      <c r="D40" s="300">
        <v>70269138</v>
      </c>
      <c r="E40" s="295">
        <v>67460790</v>
      </c>
    </row>
    <row r="41" spans="1:5" s="217" customFormat="1" ht="15" customHeight="1" thickBot="1">
      <c r="A41" s="84" t="s">
        <v>15</v>
      </c>
      <c r="B41" s="85" t="s">
        <v>319</v>
      </c>
      <c r="C41" s="297">
        <f>+C36+C37</f>
        <v>72184710</v>
      </c>
      <c r="D41" s="293">
        <f>+D36+D37</f>
        <v>77744799</v>
      </c>
      <c r="E41" s="150">
        <f>+E36+E37</f>
        <v>73176206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47" t="s">
        <v>40</v>
      </c>
      <c r="B44" s="848"/>
      <c r="C44" s="848"/>
      <c r="D44" s="848"/>
      <c r="E44" s="849"/>
    </row>
    <row r="45" spans="1:5" s="218" customFormat="1" ht="12" customHeight="1" thickBot="1">
      <c r="A45" s="78" t="s">
        <v>6</v>
      </c>
      <c r="B45" s="56" t="s">
        <v>320</v>
      </c>
      <c r="C45" s="119">
        <f>SUM(C46:C50)</f>
        <v>72184710</v>
      </c>
      <c r="D45" s="263">
        <f>SUM(D46:D50)</f>
        <v>76411351</v>
      </c>
      <c r="E45" s="147">
        <f>SUM(E46:E50)</f>
        <v>73222847</v>
      </c>
    </row>
    <row r="46" spans="1:5" ht="12" customHeight="1">
      <c r="A46" s="210" t="s">
        <v>63</v>
      </c>
      <c r="B46" s="7" t="s">
        <v>35</v>
      </c>
      <c r="C46" s="273">
        <v>46990000</v>
      </c>
      <c r="D46" s="58">
        <v>48370080</v>
      </c>
      <c r="E46" s="271">
        <v>48370080</v>
      </c>
    </row>
    <row r="47" spans="1:5" ht="12" customHeight="1">
      <c r="A47" s="210" t="s">
        <v>64</v>
      </c>
      <c r="B47" s="6" t="s">
        <v>122</v>
      </c>
      <c r="C47" s="47">
        <v>9170000</v>
      </c>
      <c r="D47" s="59">
        <v>9244103</v>
      </c>
      <c r="E47" s="269">
        <v>9244103</v>
      </c>
    </row>
    <row r="48" spans="1:5" ht="12" customHeight="1">
      <c r="A48" s="210" t="s">
        <v>65</v>
      </c>
      <c r="B48" s="6" t="s">
        <v>90</v>
      </c>
      <c r="C48" s="47">
        <v>16024710</v>
      </c>
      <c r="D48" s="59">
        <v>18795668</v>
      </c>
      <c r="E48" s="269">
        <v>15607164</v>
      </c>
    </row>
    <row r="49" spans="1:5" ht="12" customHeight="1">
      <c r="A49" s="210" t="s">
        <v>66</v>
      </c>
      <c r="B49" s="6" t="s">
        <v>123</v>
      </c>
      <c r="C49" s="47"/>
      <c r="D49" s="59"/>
      <c r="E49" s="269"/>
    </row>
    <row r="50" spans="1:5" ht="12" customHeight="1" thickBot="1">
      <c r="A50" s="210" t="s">
        <v>97</v>
      </c>
      <c r="B50" s="6" t="s">
        <v>124</v>
      </c>
      <c r="C50" s="47"/>
      <c r="D50" s="59">
        <v>1500</v>
      </c>
      <c r="E50" s="269">
        <v>1500</v>
      </c>
    </row>
    <row r="51" spans="1:5" ht="12" customHeight="1" thickBot="1">
      <c r="A51" s="78" t="s">
        <v>7</v>
      </c>
      <c r="B51" s="56" t="s">
        <v>321</v>
      </c>
      <c r="C51" s="119">
        <f>SUM(C52:C54)</f>
        <v>0</v>
      </c>
      <c r="D51" s="263">
        <f>SUM(D52:D54)</f>
        <v>1333448</v>
      </c>
      <c r="E51" s="147">
        <f>SUM(E52:E54)</f>
        <v>1333448</v>
      </c>
    </row>
    <row r="52" spans="1:5" s="218" customFormat="1" ht="12" customHeight="1">
      <c r="A52" s="210" t="s">
        <v>69</v>
      </c>
      <c r="B52" s="7" t="s">
        <v>143</v>
      </c>
      <c r="C52" s="273"/>
      <c r="D52" s="58">
        <v>1333448</v>
      </c>
      <c r="E52" s="271">
        <v>1333448</v>
      </c>
    </row>
    <row r="53" spans="1:5" ht="12" customHeight="1">
      <c r="A53" s="210" t="s">
        <v>70</v>
      </c>
      <c r="B53" s="6" t="s">
        <v>126</v>
      </c>
      <c r="C53" s="47"/>
      <c r="D53" s="59"/>
      <c r="E53" s="269"/>
    </row>
    <row r="54" spans="1:5" ht="12" customHeight="1">
      <c r="A54" s="210" t="s">
        <v>71</v>
      </c>
      <c r="B54" s="6" t="s">
        <v>41</v>
      </c>
      <c r="C54" s="47"/>
      <c r="D54" s="59"/>
      <c r="E54" s="269"/>
    </row>
    <row r="55" spans="1:5" ht="12" customHeight="1" thickBot="1">
      <c r="A55" s="210" t="s">
        <v>72</v>
      </c>
      <c r="B55" s="6" t="s">
        <v>410</v>
      </c>
      <c r="C55" s="47"/>
      <c r="D55" s="59"/>
      <c r="E55" s="269"/>
    </row>
    <row r="56" spans="1:5" ht="15" customHeight="1" thickBot="1">
      <c r="A56" s="78" t="s">
        <v>8</v>
      </c>
      <c r="B56" s="56" t="s">
        <v>2</v>
      </c>
      <c r="C56" s="296"/>
      <c r="D56" s="298"/>
      <c r="E56" s="146"/>
    </row>
    <row r="57" spans="1:5" ht="13.5" thickBot="1">
      <c r="A57" s="78" t="s">
        <v>9</v>
      </c>
      <c r="B57" s="90" t="s">
        <v>414</v>
      </c>
      <c r="C57" s="297">
        <f>+C45+C51+C56</f>
        <v>72184710</v>
      </c>
      <c r="D57" s="293">
        <f>+D45+D51+D56</f>
        <v>77744799</v>
      </c>
      <c r="E57" s="150">
        <f>+E45+E51+E56</f>
        <v>74556295</v>
      </c>
    </row>
    <row r="58" spans="3:4" ht="15" customHeight="1" thickBot="1">
      <c r="C58" s="587">
        <f>C41-C57</f>
        <v>0</v>
      </c>
      <c r="D58" s="587">
        <f>D41-D57</f>
        <v>0</v>
      </c>
    </row>
    <row r="59" spans="1:5" ht="14.25" customHeight="1" thickBot="1">
      <c r="A59" s="301" t="s">
        <v>485</v>
      </c>
      <c r="B59" s="302"/>
      <c r="C59" s="291"/>
      <c r="D59" s="291"/>
      <c r="E59" s="290"/>
    </row>
    <row r="60" spans="1:5" ht="13.5" thickBot="1">
      <c r="A60" s="303" t="s">
        <v>486</v>
      </c>
      <c r="B60" s="304"/>
      <c r="C60" s="291"/>
      <c r="D60" s="291"/>
      <c r="E60" s="290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40" sqref="E40"/>
    </sheetView>
  </sheetViews>
  <sheetFormatPr defaultColWidth="9.00390625" defaultRowHeight="12.75"/>
  <cols>
    <col min="1" max="1" width="13.875" style="91" customWidth="1"/>
    <col min="2" max="2" width="54.50390625" style="92" customWidth="1"/>
    <col min="3" max="5" width="15.875" style="92" customWidth="1"/>
    <col min="6" max="16384" width="9.375" style="92" customWidth="1"/>
  </cols>
  <sheetData>
    <row r="1" spans="1:5" s="82" customFormat="1" ht="16.5" thickBot="1">
      <c r="A1" s="323"/>
      <c r="B1" s="856" t="str">
        <f>CONCATENATE(Z_ALAPADATOK!M15,"2. melléklet ",Z_ALAPADATOK!A7," ",Z_ALAPADATOK!B7," ",Z_ALAPADATOK!C7," ",Z_ALAPADATOK!D7," ",Z_ALAPADATOK!E7," ",Z_ALAPADATOK!F7," ",Z_ALAPADATOK!G7," ",Z_ALAPADATOK!H7)</f>
        <v>6.4.2. melléklet a 9 / 2020. ( VII.10. ) önkormányzati rendelethez</v>
      </c>
      <c r="C1" s="857"/>
      <c r="D1" s="857"/>
      <c r="E1" s="857"/>
    </row>
    <row r="2" spans="1:5" s="214" customFormat="1" ht="25.5" customHeight="1" thickBot="1">
      <c r="A2" s="324" t="s">
        <v>453</v>
      </c>
      <c r="B2" s="853" t="str">
        <f>CONCATENATE('Z_6.4.1.sz.mell'!B2:D2)</f>
        <v>Besenyszögi Eszterlánc Óvoda</v>
      </c>
      <c r="C2" s="854"/>
      <c r="D2" s="855"/>
      <c r="E2" s="325" t="s">
        <v>332</v>
      </c>
    </row>
    <row r="3" spans="1:5" s="214" customFormat="1" ht="24.75" thickBot="1">
      <c r="A3" s="324" t="s">
        <v>135</v>
      </c>
      <c r="B3" s="853" t="s">
        <v>851</v>
      </c>
      <c r="C3" s="854"/>
      <c r="D3" s="855"/>
      <c r="E3" s="325" t="s">
        <v>43</v>
      </c>
    </row>
    <row r="4" spans="1:5" s="215" customFormat="1" ht="15.75" customHeight="1" thickBot="1">
      <c r="A4" s="326"/>
      <c r="B4" s="326"/>
      <c r="C4" s="327"/>
      <c r="D4" s="328"/>
      <c r="E4" s="327" t="str">
        <f>'Z_6.4.1.sz.mell'!E4</f>
        <v> Forintban!</v>
      </c>
    </row>
    <row r="5" spans="1:5" ht="24.75" thickBot="1">
      <c r="A5" s="329" t="s">
        <v>136</v>
      </c>
      <c r="B5" s="330" t="s">
        <v>484</v>
      </c>
      <c r="C5" s="330" t="s">
        <v>449</v>
      </c>
      <c r="D5" s="331" t="s">
        <v>450</v>
      </c>
      <c r="E5" s="314" t="str">
        <f>CONCATENATE('Z_6.4.1.sz.mell'!E5)</f>
        <v>Teljesítés
2019. XII. 31.</v>
      </c>
    </row>
    <row r="6" spans="1:5" s="216" customFormat="1" ht="12.75" customHeight="1" thickBot="1">
      <c r="A6" s="362" t="s">
        <v>385</v>
      </c>
      <c r="B6" s="363" t="s">
        <v>386</v>
      </c>
      <c r="C6" s="363" t="s">
        <v>387</v>
      </c>
      <c r="D6" s="364" t="s">
        <v>389</v>
      </c>
      <c r="E6" s="365" t="s">
        <v>388</v>
      </c>
    </row>
    <row r="7" spans="1:5" s="216" customFormat="1" ht="15.75" customHeight="1" thickBot="1">
      <c r="A7" s="847" t="s">
        <v>39</v>
      </c>
      <c r="B7" s="848"/>
      <c r="C7" s="848"/>
      <c r="D7" s="848"/>
      <c r="E7" s="849"/>
    </row>
    <row r="8" spans="1:5" s="152" customFormat="1" ht="12" customHeight="1" thickBot="1">
      <c r="A8" s="74" t="s">
        <v>6</v>
      </c>
      <c r="B8" s="83" t="s">
        <v>406</v>
      </c>
      <c r="C8" s="119">
        <f>SUM(C9:C19)</f>
        <v>176880</v>
      </c>
      <c r="D8" s="119">
        <f>SUM(D9:D19)</f>
        <v>176880</v>
      </c>
      <c r="E8" s="121">
        <f>SUM(E9:E19)</f>
        <v>178800</v>
      </c>
    </row>
    <row r="9" spans="1:5" s="152" customFormat="1" ht="12" customHeight="1">
      <c r="A9" s="209" t="s">
        <v>63</v>
      </c>
      <c r="B9" s="8" t="s">
        <v>184</v>
      </c>
      <c r="C9" s="274"/>
      <c r="D9" s="274"/>
      <c r="E9" s="294"/>
    </row>
    <row r="10" spans="1:5" s="152" customFormat="1" ht="12" customHeight="1">
      <c r="A10" s="210" t="s">
        <v>64</v>
      </c>
      <c r="B10" s="6" t="s">
        <v>185</v>
      </c>
      <c r="C10" s="116"/>
      <c r="D10" s="261"/>
      <c r="E10" s="266"/>
    </row>
    <row r="11" spans="1:5" s="152" customFormat="1" ht="12" customHeight="1">
      <c r="A11" s="210" t="s">
        <v>65</v>
      </c>
      <c r="B11" s="6" t="s">
        <v>186</v>
      </c>
      <c r="C11" s="116"/>
      <c r="D11" s="261"/>
      <c r="E11" s="266"/>
    </row>
    <row r="12" spans="1:5" s="152" customFormat="1" ht="12" customHeight="1">
      <c r="A12" s="210" t="s">
        <v>66</v>
      </c>
      <c r="B12" s="6" t="s">
        <v>187</v>
      </c>
      <c r="C12" s="116"/>
      <c r="D12" s="261"/>
      <c r="E12" s="266"/>
    </row>
    <row r="13" spans="1:5" s="152" customFormat="1" ht="12" customHeight="1">
      <c r="A13" s="210" t="s">
        <v>97</v>
      </c>
      <c r="B13" s="6" t="s">
        <v>188</v>
      </c>
      <c r="C13" s="116">
        <v>139276</v>
      </c>
      <c r="D13" s="261">
        <v>139276</v>
      </c>
      <c r="E13" s="266">
        <v>140789</v>
      </c>
    </row>
    <row r="14" spans="1:5" s="152" customFormat="1" ht="12" customHeight="1">
      <c r="A14" s="210" t="s">
        <v>67</v>
      </c>
      <c r="B14" s="6" t="s">
        <v>304</v>
      </c>
      <c r="C14" s="116">
        <v>37604</v>
      </c>
      <c r="D14" s="261">
        <v>37604</v>
      </c>
      <c r="E14" s="266">
        <v>38011</v>
      </c>
    </row>
    <row r="15" spans="1:5" s="152" customFormat="1" ht="12" customHeight="1">
      <c r="A15" s="210" t="s">
        <v>68</v>
      </c>
      <c r="B15" s="5" t="s">
        <v>305</v>
      </c>
      <c r="C15" s="116"/>
      <c r="D15" s="261"/>
      <c r="E15" s="266"/>
    </row>
    <row r="16" spans="1:5" s="152" customFormat="1" ht="12" customHeight="1">
      <c r="A16" s="210" t="s">
        <v>76</v>
      </c>
      <c r="B16" s="6" t="s">
        <v>191</v>
      </c>
      <c r="C16" s="272"/>
      <c r="D16" s="299"/>
      <c r="E16" s="270"/>
    </row>
    <row r="17" spans="1:5" s="217" customFormat="1" ht="12" customHeight="1">
      <c r="A17" s="210" t="s">
        <v>77</v>
      </c>
      <c r="B17" s="6" t="s">
        <v>192</v>
      </c>
      <c r="C17" s="116"/>
      <c r="D17" s="261"/>
      <c r="E17" s="266"/>
    </row>
    <row r="18" spans="1:5" s="217" customFormat="1" ht="12" customHeight="1">
      <c r="A18" s="210" t="s">
        <v>78</v>
      </c>
      <c r="B18" s="6" t="s">
        <v>337</v>
      </c>
      <c r="C18" s="118"/>
      <c r="D18" s="262"/>
      <c r="E18" s="267"/>
    </row>
    <row r="19" spans="1:5" s="217" customFormat="1" ht="12" customHeight="1" thickBot="1">
      <c r="A19" s="210" t="s">
        <v>79</v>
      </c>
      <c r="B19" s="5" t="s">
        <v>193</v>
      </c>
      <c r="C19" s="118"/>
      <c r="D19" s="262"/>
      <c r="E19" s="267"/>
    </row>
    <row r="20" spans="1:5" s="152" customFormat="1" ht="12" customHeight="1" thickBot="1">
      <c r="A20" s="74" t="s">
        <v>7</v>
      </c>
      <c r="B20" s="83" t="s">
        <v>306</v>
      </c>
      <c r="C20" s="119">
        <f>SUM(C21:C23)</f>
        <v>9863510</v>
      </c>
      <c r="D20" s="263">
        <f>SUM(D21:D23)</f>
        <v>9863510</v>
      </c>
      <c r="E20" s="147">
        <f>SUM(E21:E23)</f>
        <v>7902208</v>
      </c>
    </row>
    <row r="21" spans="1:5" s="217" customFormat="1" ht="12" customHeight="1">
      <c r="A21" s="210" t="s">
        <v>69</v>
      </c>
      <c r="B21" s="7" t="s">
        <v>168</v>
      </c>
      <c r="C21" s="116"/>
      <c r="D21" s="261"/>
      <c r="E21" s="266"/>
    </row>
    <row r="22" spans="1:5" s="217" customFormat="1" ht="12" customHeight="1">
      <c r="A22" s="210" t="s">
        <v>70</v>
      </c>
      <c r="B22" s="6" t="s">
        <v>307</v>
      </c>
      <c r="C22" s="116"/>
      <c r="D22" s="261"/>
      <c r="E22" s="266"/>
    </row>
    <row r="23" spans="1:5" s="217" customFormat="1" ht="12" customHeight="1">
      <c r="A23" s="210" t="s">
        <v>71</v>
      </c>
      <c r="B23" s="6" t="s">
        <v>308</v>
      </c>
      <c r="C23" s="116">
        <v>9863510</v>
      </c>
      <c r="D23" s="261">
        <v>9863510</v>
      </c>
      <c r="E23" s="266">
        <v>7902208</v>
      </c>
    </row>
    <row r="24" spans="1:5" s="217" customFormat="1" ht="12" customHeight="1" thickBot="1">
      <c r="A24" s="210" t="s">
        <v>72</v>
      </c>
      <c r="B24" s="6" t="s">
        <v>411</v>
      </c>
      <c r="C24" s="116"/>
      <c r="D24" s="261"/>
      <c r="E24" s="266"/>
    </row>
    <row r="25" spans="1:5" s="217" customFormat="1" ht="12" customHeight="1" thickBot="1">
      <c r="A25" s="78" t="s">
        <v>8</v>
      </c>
      <c r="B25" s="56" t="s">
        <v>113</v>
      </c>
      <c r="C25" s="296"/>
      <c r="D25" s="298"/>
      <c r="E25" s="146"/>
    </row>
    <row r="26" spans="1:5" s="217" customFormat="1" ht="12" customHeight="1" thickBot="1">
      <c r="A26" s="78" t="s">
        <v>9</v>
      </c>
      <c r="B26" s="56" t="s">
        <v>309</v>
      </c>
      <c r="C26" s="119">
        <f>+C27+C28</f>
        <v>0</v>
      </c>
      <c r="D26" s="263">
        <f>+D27+D28</f>
        <v>391690</v>
      </c>
      <c r="E26" s="147">
        <f>+E27+E28</f>
        <v>391690</v>
      </c>
    </row>
    <row r="27" spans="1:5" s="217" customFormat="1" ht="12" customHeight="1">
      <c r="A27" s="211" t="s">
        <v>177</v>
      </c>
      <c r="B27" s="212" t="s">
        <v>307</v>
      </c>
      <c r="C27" s="273"/>
      <c r="D27" s="58"/>
      <c r="E27" s="271"/>
    </row>
    <row r="28" spans="1:5" s="217" customFormat="1" ht="12" customHeight="1">
      <c r="A28" s="211" t="s">
        <v>178</v>
      </c>
      <c r="B28" s="213" t="s">
        <v>976</v>
      </c>
      <c r="C28" s="120"/>
      <c r="D28" s="264">
        <v>391690</v>
      </c>
      <c r="E28" s="268">
        <v>391690</v>
      </c>
    </row>
    <row r="29" spans="1:5" s="217" customFormat="1" ht="12" customHeight="1" thickBot="1">
      <c r="A29" s="210" t="s">
        <v>179</v>
      </c>
      <c r="B29" s="61" t="s">
        <v>412</v>
      </c>
      <c r="C29" s="48"/>
      <c r="D29" s="300"/>
      <c r="E29" s="295"/>
    </row>
    <row r="30" spans="1:5" s="217" customFormat="1" ht="12" customHeight="1" thickBot="1">
      <c r="A30" s="78" t="s">
        <v>10</v>
      </c>
      <c r="B30" s="56" t="s">
        <v>311</v>
      </c>
      <c r="C30" s="119">
        <f>+C31+C32+C33</f>
        <v>0</v>
      </c>
      <c r="D30" s="263">
        <f>+D31+D32+D33</f>
        <v>0</v>
      </c>
      <c r="E30" s="147">
        <f>+E31+E32+E33</f>
        <v>0</v>
      </c>
    </row>
    <row r="31" spans="1:5" s="217" customFormat="1" ht="12" customHeight="1">
      <c r="A31" s="211" t="s">
        <v>56</v>
      </c>
      <c r="B31" s="212" t="s">
        <v>198</v>
      </c>
      <c r="C31" s="273"/>
      <c r="D31" s="58"/>
      <c r="E31" s="271"/>
    </row>
    <row r="32" spans="1:5" s="217" customFormat="1" ht="12" customHeight="1">
      <c r="A32" s="211" t="s">
        <v>57</v>
      </c>
      <c r="B32" s="213" t="s">
        <v>199</v>
      </c>
      <c r="C32" s="120"/>
      <c r="D32" s="264"/>
      <c r="E32" s="268"/>
    </row>
    <row r="33" spans="1:5" s="217" customFormat="1" ht="12" customHeight="1" thickBot="1">
      <c r="A33" s="210" t="s">
        <v>58</v>
      </c>
      <c r="B33" s="61" t="s">
        <v>200</v>
      </c>
      <c r="C33" s="48"/>
      <c r="D33" s="300"/>
      <c r="E33" s="295"/>
    </row>
    <row r="34" spans="1:5" s="152" customFormat="1" ht="12" customHeight="1" thickBot="1">
      <c r="A34" s="78" t="s">
        <v>11</v>
      </c>
      <c r="B34" s="56" t="s">
        <v>283</v>
      </c>
      <c r="C34" s="296"/>
      <c r="D34" s="298"/>
      <c r="E34" s="146"/>
    </row>
    <row r="35" spans="1:5" s="152" customFormat="1" ht="12" customHeight="1" thickBot="1">
      <c r="A35" s="78" t="s">
        <v>12</v>
      </c>
      <c r="B35" s="56" t="s">
        <v>312</v>
      </c>
      <c r="C35" s="296"/>
      <c r="D35" s="298"/>
      <c r="E35" s="146"/>
    </row>
    <row r="36" spans="1:5" s="152" customFormat="1" ht="12" customHeight="1" thickBot="1">
      <c r="A36" s="74" t="s">
        <v>13</v>
      </c>
      <c r="B36" s="56" t="s">
        <v>413</v>
      </c>
      <c r="C36" s="119">
        <f>+C8+C20+C25+C26+C30+C34+C35</f>
        <v>10040390</v>
      </c>
      <c r="D36" s="263">
        <f>+D8+D20+D25+D26+D30+D34+D35</f>
        <v>10432080</v>
      </c>
      <c r="E36" s="147">
        <f>+E8+E20+E25+E26+E30+E34+E35</f>
        <v>8472698</v>
      </c>
    </row>
    <row r="37" spans="1:5" s="152" customFormat="1" ht="12" customHeight="1" thickBot="1">
      <c r="A37" s="84" t="s">
        <v>14</v>
      </c>
      <c r="B37" s="56" t="s">
        <v>314</v>
      </c>
      <c r="C37" s="119">
        <f>+C38+C39+C40</f>
        <v>20023050</v>
      </c>
      <c r="D37" s="263">
        <f>+D38+D39+D40</f>
        <v>20592415</v>
      </c>
      <c r="E37" s="147">
        <f>+E38+E39+E40</f>
        <v>20592415</v>
      </c>
    </row>
    <row r="38" spans="1:5" s="152" customFormat="1" ht="12" customHeight="1">
      <c r="A38" s="211" t="s">
        <v>315</v>
      </c>
      <c r="B38" s="212" t="s">
        <v>150</v>
      </c>
      <c r="C38" s="273"/>
      <c r="D38" s="58"/>
      <c r="E38" s="271"/>
    </row>
    <row r="39" spans="1:5" s="152" customFormat="1" ht="12" customHeight="1">
      <c r="A39" s="211" t="s">
        <v>316</v>
      </c>
      <c r="B39" s="213" t="s">
        <v>0</v>
      </c>
      <c r="C39" s="120"/>
      <c r="D39" s="264"/>
      <c r="E39" s="268"/>
    </row>
    <row r="40" spans="1:5" s="217" customFormat="1" ht="12" customHeight="1" thickBot="1">
      <c r="A40" s="210" t="s">
        <v>317</v>
      </c>
      <c r="B40" s="61" t="s">
        <v>318</v>
      </c>
      <c r="C40" s="48">
        <v>20023050</v>
      </c>
      <c r="D40" s="300">
        <v>20592415</v>
      </c>
      <c r="E40" s="295">
        <v>20592415</v>
      </c>
    </row>
    <row r="41" spans="1:5" s="217" customFormat="1" ht="15" customHeight="1" thickBot="1">
      <c r="A41" s="84" t="s">
        <v>15</v>
      </c>
      <c r="B41" s="85" t="s">
        <v>319</v>
      </c>
      <c r="C41" s="297">
        <f>+C36+C37</f>
        <v>30063440</v>
      </c>
      <c r="D41" s="293">
        <f>+D36+D37</f>
        <v>31024495</v>
      </c>
      <c r="E41" s="150">
        <f>+E36+E37</f>
        <v>29065113</v>
      </c>
    </row>
    <row r="42" spans="1:3" s="217" customFormat="1" ht="15" customHeight="1">
      <c r="A42" s="86"/>
      <c r="B42" s="87"/>
      <c r="C42" s="148"/>
    </row>
    <row r="43" spans="1:3" ht="13.5" thickBot="1">
      <c r="A43" s="88"/>
      <c r="B43" s="89"/>
      <c r="C43" s="149"/>
    </row>
    <row r="44" spans="1:5" s="216" customFormat="1" ht="16.5" customHeight="1" thickBot="1">
      <c r="A44" s="847" t="s">
        <v>40</v>
      </c>
      <c r="B44" s="848"/>
      <c r="C44" s="848"/>
      <c r="D44" s="848"/>
      <c r="E44" s="849"/>
    </row>
    <row r="45" spans="1:5" s="218" customFormat="1" ht="12" customHeight="1" thickBot="1">
      <c r="A45" s="78" t="s">
        <v>6</v>
      </c>
      <c r="B45" s="56" t="s">
        <v>320</v>
      </c>
      <c r="C45" s="119">
        <f>SUM(C46:C50)</f>
        <v>30063440</v>
      </c>
      <c r="D45" s="263">
        <f>SUM(D46:D50)</f>
        <v>30632805</v>
      </c>
      <c r="E45" s="147">
        <f>SUM(E46:E50)</f>
        <v>26379827</v>
      </c>
    </row>
    <row r="46" spans="1:5" ht="12" customHeight="1">
      <c r="A46" s="210" t="s">
        <v>63</v>
      </c>
      <c r="B46" s="7" t="s">
        <v>35</v>
      </c>
      <c r="C46" s="273">
        <v>21301410</v>
      </c>
      <c r="D46" s="58">
        <v>21301410</v>
      </c>
      <c r="E46" s="271">
        <v>17938793</v>
      </c>
    </row>
    <row r="47" spans="1:5" ht="12" customHeight="1">
      <c r="A47" s="210" t="s">
        <v>64</v>
      </c>
      <c r="B47" s="6" t="s">
        <v>122</v>
      </c>
      <c r="C47" s="47">
        <v>4253750</v>
      </c>
      <c r="D47" s="59">
        <v>4253750</v>
      </c>
      <c r="E47" s="269">
        <v>3386247</v>
      </c>
    </row>
    <row r="48" spans="1:5" ht="12" customHeight="1">
      <c r="A48" s="210" t="s">
        <v>65</v>
      </c>
      <c r="B48" s="6" t="s">
        <v>90</v>
      </c>
      <c r="C48" s="47">
        <v>4508280</v>
      </c>
      <c r="D48" s="59">
        <v>5077645</v>
      </c>
      <c r="E48" s="269">
        <v>5054787</v>
      </c>
    </row>
    <row r="49" spans="1:5" ht="12" customHeight="1">
      <c r="A49" s="210" t="s">
        <v>66</v>
      </c>
      <c r="B49" s="6" t="s">
        <v>123</v>
      </c>
      <c r="C49" s="47"/>
      <c r="D49" s="59"/>
      <c r="E49" s="269"/>
    </row>
    <row r="50" spans="1:5" ht="12" customHeight="1" thickBot="1">
      <c r="A50" s="210" t="s">
        <v>97</v>
      </c>
      <c r="B50" s="6" t="s">
        <v>124</v>
      </c>
      <c r="C50" s="47"/>
      <c r="D50" s="59"/>
      <c r="E50" s="269"/>
    </row>
    <row r="51" spans="1:5" ht="12" customHeight="1" thickBot="1">
      <c r="A51" s="78" t="s">
        <v>7</v>
      </c>
      <c r="B51" s="56" t="s">
        <v>321</v>
      </c>
      <c r="C51" s="119">
        <f>SUM(C52:C54)</f>
        <v>0</v>
      </c>
      <c r="D51" s="263">
        <f>SUM(D52:D54)</f>
        <v>391690</v>
      </c>
      <c r="E51" s="147">
        <f>SUM(E52:E54)</f>
        <v>368029</v>
      </c>
    </row>
    <row r="52" spans="1:5" s="218" customFormat="1" ht="12" customHeight="1">
      <c r="A52" s="210" t="s">
        <v>69</v>
      </c>
      <c r="B52" s="7" t="s">
        <v>143</v>
      </c>
      <c r="C52" s="273"/>
      <c r="D52" s="58">
        <v>391690</v>
      </c>
      <c r="E52" s="271">
        <v>368029</v>
      </c>
    </row>
    <row r="53" spans="1:5" ht="12" customHeight="1">
      <c r="A53" s="210" t="s">
        <v>70</v>
      </c>
      <c r="B53" s="6" t="s">
        <v>126</v>
      </c>
      <c r="C53" s="47"/>
      <c r="D53" s="59"/>
      <c r="E53" s="269"/>
    </row>
    <row r="54" spans="1:5" ht="12" customHeight="1">
      <c r="A54" s="210" t="s">
        <v>71</v>
      </c>
      <c r="B54" s="6" t="s">
        <v>41</v>
      </c>
      <c r="C54" s="47"/>
      <c r="D54" s="59"/>
      <c r="E54" s="269"/>
    </row>
    <row r="55" spans="1:5" ht="12" customHeight="1" thickBot="1">
      <c r="A55" s="210" t="s">
        <v>72</v>
      </c>
      <c r="B55" s="6" t="s">
        <v>410</v>
      </c>
      <c r="C55" s="47"/>
      <c r="D55" s="59"/>
      <c r="E55" s="269"/>
    </row>
    <row r="56" spans="1:5" ht="15" customHeight="1" thickBot="1">
      <c r="A56" s="78" t="s">
        <v>8</v>
      </c>
      <c r="B56" s="56" t="s">
        <v>2</v>
      </c>
      <c r="C56" s="296"/>
      <c r="D56" s="298"/>
      <c r="E56" s="146"/>
    </row>
    <row r="57" spans="1:5" ht="13.5" thickBot="1">
      <c r="A57" s="78" t="s">
        <v>9</v>
      </c>
      <c r="B57" s="90" t="s">
        <v>414</v>
      </c>
      <c r="C57" s="297">
        <f>+C45+C51+C56</f>
        <v>30063440</v>
      </c>
      <c r="D57" s="293">
        <f>+D45+D51+D56</f>
        <v>31024495</v>
      </c>
      <c r="E57" s="150">
        <f>+E45+E51+E56</f>
        <v>26747856</v>
      </c>
    </row>
    <row r="58" spans="3:4" ht="15" customHeight="1" thickBot="1">
      <c r="C58" s="587">
        <f>C41-C57</f>
        <v>0</v>
      </c>
      <c r="D58" s="587">
        <f>D41-D57</f>
        <v>0</v>
      </c>
    </row>
    <row r="59" spans="1:5" ht="14.25" customHeight="1" thickBot="1">
      <c r="A59" s="301" t="s">
        <v>485</v>
      </c>
      <c r="B59" s="302"/>
      <c r="C59" s="291"/>
      <c r="D59" s="291"/>
      <c r="E59" s="290"/>
    </row>
    <row r="60" spans="1:5" ht="13.5" thickBot="1">
      <c r="A60" s="303" t="s">
        <v>486</v>
      </c>
      <c r="B60" s="304"/>
      <c r="C60" s="291"/>
      <c r="D60" s="291"/>
      <c r="E60" s="290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view="pageLayout" zoomScaleNormal="120" workbookViewId="0" topLeftCell="A1">
      <selection activeCell="F40" sqref="F40"/>
    </sheetView>
  </sheetViews>
  <sheetFormatPr defaultColWidth="9.00390625" defaultRowHeight="12.75"/>
  <cols>
    <col min="1" max="1" width="7.00390625" style="607" customWidth="1"/>
    <col min="2" max="2" width="32.00390625" style="92" customWidth="1"/>
    <col min="3" max="3" width="12.50390625" style="92" customWidth="1"/>
    <col min="4" max="6" width="11.875" style="92" customWidth="1"/>
    <col min="7" max="7" width="12.875" style="92" customWidth="1"/>
    <col min="8" max="16384" width="9.375" style="92" customWidth="1"/>
  </cols>
  <sheetData>
    <row r="1" spans="1:7" ht="18.75" customHeight="1">
      <c r="A1" s="862" t="str">
        <f>CONCATENATE("7. melléklet ",Z_ALAPADATOK!A7," ",Z_ALAPADATOK!B7," ",Z_ALAPADATOK!C7," ",Z_ALAPADATOK!D7," ",Z_ALAPADATOK!E7," ",Z_ALAPADATOK!F7," ",Z_ALAPADATOK!G7," ",Z_ALAPADATOK!H7)</f>
        <v>7. melléklet a 9 / 2020. ( VII.10. ) önkormányzati rendelethez</v>
      </c>
      <c r="B1" s="863"/>
      <c r="C1" s="863"/>
      <c r="D1" s="863"/>
      <c r="E1" s="863"/>
      <c r="F1" s="863"/>
      <c r="G1" s="863"/>
    </row>
    <row r="3" spans="1:7" ht="15.75">
      <c r="A3" s="860" t="s">
        <v>806</v>
      </c>
      <c r="B3" s="861"/>
      <c r="C3" s="861"/>
      <c r="D3" s="861"/>
      <c r="E3" s="861"/>
      <c r="F3" s="861"/>
      <c r="G3" s="861"/>
    </row>
    <row r="5" ht="14.25" thickBot="1">
      <c r="G5" s="608" t="s">
        <v>810</v>
      </c>
    </row>
    <row r="6" spans="1:7" ht="17.25" customHeight="1" thickBot="1">
      <c r="A6" s="864" t="s">
        <v>4</v>
      </c>
      <c r="B6" s="866" t="s">
        <v>798</v>
      </c>
      <c r="C6" s="866" t="s">
        <v>799</v>
      </c>
      <c r="D6" s="866" t="s">
        <v>800</v>
      </c>
      <c r="E6" s="868" t="s">
        <v>801</v>
      </c>
      <c r="F6" s="868"/>
      <c r="G6" s="869"/>
    </row>
    <row r="7" spans="1:7" s="611" customFormat="1" ht="57.75" customHeight="1" thickBot="1">
      <c r="A7" s="865"/>
      <c r="B7" s="867"/>
      <c r="C7" s="867"/>
      <c r="D7" s="867"/>
      <c r="E7" s="609" t="s">
        <v>802</v>
      </c>
      <c r="F7" s="609" t="s">
        <v>803</v>
      </c>
      <c r="G7" s="610" t="s">
        <v>804</v>
      </c>
    </row>
    <row r="8" spans="1:7" s="218" customFormat="1" ht="15" customHeight="1" thickBot="1">
      <c r="A8" s="74" t="s">
        <v>385</v>
      </c>
      <c r="B8" s="75" t="s">
        <v>386</v>
      </c>
      <c r="C8" s="75" t="s">
        <v>387</v>
      </c>
      <c r="D8" s="75" t="s">
        <v>389</v>
      </c>
      <c r="E8" s="75" t="s">
        <v>805</v>
      </c>
      <c r="F8" s="75" t="s">
        <v>390</v>
      </c>
      <c r="G8" s="76" t="s">
        <v>391</v>
      </c>
    </row>
    <row r="9" spans="1:7" ht="15" customHeight="1">
      <c r="A9" s="612" t="s">
        <v>6</v>
      </c>
      <c r="B9" s="613" t="s">
        <v>841</v>
      </c>
      <c r="C9" s="614">
        <v>950748809</v>
      </c>
      <c r="D9" s="614"/>
      <c r="E9" s="615">
        <f>C9-D9</f>
        <v>950748809</v>
      </c>
      <c r="F9" s="614"/>
      <c r="G9" s="616">
        <v>950748809</v>
      </c>
    </row>
    <row r="10" spans="1:7" ht="15" customHeight="1">
      <c r="A10" s="617" t="s">
        <v>7</v>
      </c>
      <c r="B10" s="618" t="s">
        <v>852</v>
      </c>
      <c r="C10" s="21">
        <v>5255849</v>
      </c>
      <c r="D10" s="21"/>
      <c r="E10" s="615">
        <f aca="true" t="shared" si="0" ref="E10:E39">C10-D10</f>
        <v>5255849</v>
      </c>
      <c r="F10" s="614">
        <v>5255849</v>
      </c>
      <c r="G10" s="412"/>
    </row>
    <row r="11" spans="1:7" ht="15" customHeight="1">
      <c r="A11" s="617" t="s">
        <v>8</v>
      </c>
      <c r="B11" s="618" t="s">
        <v>853</v>
      </c>
      <c r="C11" s="21">
        <v>164541</v>
      </c>
      <c r="D11" s="21"/>
      <c r="E11" s="615">
        <f t="shared" si="0"/>
        <v>164541</v>
      </c>
      <c r="F11" s="614">
        <v>164541</v>
      </c>
      <c r="G11" s="412"/>
    </row>
    <row r="12" spans="1:7" ht="15" customHeight="1">
      <c r="A12" s="617" t="s">
        <v>9</v>
      </c>
      <c r="B12" s="618"/>
      <c r="C12" s="21"/>
      <c r="D12" s="21"/>
      <c r="E12" s="615">
        <f t="shared" si="0"/>
        <v>0</v>
      </c>
      <c r="F12" s="21"/>
      <c r="G12" s="412"/>
    </row>
    <row r="13" spans="1:7" ht="15" customHeight="1">
      <c r="A13" s="617" t="s">
        <v>10</v>
      </c>
      <c r="B13" s="618"/>
      <c r="C13" s="21"/>
      <c r="D13" s="21"/>
      <c r="E13" s="615">
        <f t="shared" si="0"/>
        <v>0</v>
      </c>
      <c r="F13" s="21"/>
      <c r="G13" s="412"/>
    </row>
    <row r="14" spans="1:7" ht="15" customHeight="1">
      <c r="A14" s="617" t="s">
        <v>11</v>
      </c>
      <c r="B14" s="618"/>
      <c r="C14" s="21"/>
      <c r="D14" s="21"/>
      <c r="E14" s="615">
        <f t="shared" si="0"/>
        <v>0</v>
      </c>
      <c r="F14" s="21"/>
      <c r="G14" s="412"/>
    </row>
    <row r="15" spans="1:7" ht="15" customHeight="1">
      <c r="A15" s="617" t="s">
        <v>12</v>
      </c>
      <c r="B15" s="618"/>
      <c r="C15" s="21"/>
      <c r="D15" s="21"/>
      <c r="E15" s="615">
        <f t="shared" si="0"/>
        <v>0</v>
      </c>
      <c r="F15" s="21"/>
      <c r="G15" s="412"/>
    </row>
    <row r="16" spans="1:7" ht="15" customHeight="1">
      <c r="A16" s="617" t="s">
        <v>13</v>
      </c>
      <c r="B16" s="618"/>
      <c r="C16" s="21"/>
      <c r="D16" s="21"/>
      <c r="E16" s="615">
        <f t="shared" si="0"/>
        <v>0</v>
      </c>
      <c r="F16" s="21"/>
      <c r="G16" s="412"/>
    </row>
    <row r="17" spans="1:7" ht="15" customHeight="1">
      <c r="A17" s="617" t="s">
        <v>14</v>
      </c>
      <c r="B17" s="618"/>
      <c r="C17" s="21"/>
      <c r="D17" s="21"/>
      <c r="E17" s="615">
        <f t="shared" si="0"/>
        <v>0</v>
      </c>
      <c r="F17" s="21"/>
      <c r="G17" s="412"/>
    </row>
    <row r="18" spans="1:7" ht="15" customHeight="1">
      <c r="A18" s="617" t="s">
        <v>15</v>
      </c>
      <c r="B18" s="618"/>
      <c r="C18" s="21"/>
      <c r="D18" s="21"/>
      <c r="E18" s="615">
        <f t="shared" si="0"/>
        <v>0</v>
      </c>
      <c r="F18" s="21"/>
      <c r="G18" s="412"/>
    </row>
    <row r="19" spans="1:7" ht="15" customHeight="1">
      <c r="A19" s="617" t="s">
        <v>16</v>
      </c>
      <c r="B19" s="618"/>
      <c r="C19" s="21"/>
      <c r="D19" s="21"/>
      <c r="E19" s="615">
        <f t="shared" si="0"/>
        <v>0</v>
      </c>
      <c r="F19" s="21"/>
      <c r="G19" s="412"/>
    </row>
    <row r="20" spans="1:7" ht="15" customHeight="1">
      <c r="A20" s="617" t="s">
        <v>17</v>
      </c>
      <c r="B20" s="618"/>
      <c r="C20" s="21"/>
      <c r="D20" s="21"/>
      <c r="E20" s="615">
        <f t="shared" si="0"/>
        <v>0</v>
      </c>
      <c r="F20" s="21"/>
      <c r="G20" s="412"/>
    </row>
    <row r="21" spans="1:7" ht="15" customHeight="1">
      <c r="A21" s="617" t="s">
        <v>18</v>
      </c>
      <c r="B21" s="618"/>
      <c r="C21" s="21"/>
      <c r="D21" s="21"/>
      <c r="E21" s="615">
        <f t="shared" si="0"/>
        <v>0</v>
      </c>
      <c r="F21" s="21"/>
      <c r="G21" s="412"/>
    </row>
    <row r="22" spans="1:7" ht="15" customHeight="1">
      <c r="A22" s="617" t="s">
        <v>19</v>
      </c>
      <c r="B22" s="618"/>
      <c r="C22" s="21"/>
      <c r="D22" s="21"/>
      <c r="E22" s="615">
        <f t="shared" si="0"/>
        <v>0</v>
      </c>
      <c r="F22" s="21"/>
      <c r="G22" s="412"/>
    </row>
    <row r="23" spans="1:7" ht="15" customHeight="1">
      <c r="A23" s="617" t="s">
        <v>20</v>
      </c>
      <c r="B23" s="618"/>
      <c r="C23" s="21"/>
      <c r="D23" s="21"/>
      <c r="E23" s="615">
        <f t="shared" si="0"/>
        <v>0</v>
      </c>
      <c r="F23" s="21"/>
      <c r="G23" s="412"/>
    </row>
    <row r="24" spans="1:7" ht="15" customHeight="1">
      <c r="A24" s="617" t="s">
        <v>21</v>
      </c>
      <c r="B24" s="618"/>
      <c r="C24" s="21"/>
      <c r="D24" s="21"/>
      <c r="E24" s="615">
        <f t="shared" si="0"/>
        <v>0</v>
      </c>
      <c r="F24" s="21"/>
      <c r="G24" s="412"/>
    </row>
    <row r="25" spans="1:7" ht="15" customHeight="1">
      <c r="A25" s="617" t="s">
        <v>22</v>
      </c>
      <c r="B25" s="618"/>
      <c r="C25" s="21"/>
      <c r="D25" s="21"/>
      <c r="E25" s="615">
        <f t="shared" si="0"/>
        <v>0</v>
      </c>
      <c r="F25" s="21"/>
      <c r="G25" s="412"/>
    </row>
    <row r="26" spans="1:7" ht="15" customHeight="1">
      <c r="A26" s="617" t="s">
        <v>23</v>
      </c>
      <c r="B26" s="618"/>
      <c r="C26" s="21"/>
      <c r="D26" s="21"/>
      <c r="E26" s="615">
        <f t="shared" si="0"/>
        <v>0</v>
      </c>
      <c r="F26" s="21"/>
      <c r="G26" s="412"/>
    </row>
    <row r="27" spans="1:7" ht="15" customHeight="1">
      <c r="A27" s="617" t="s">
        <v>24</v>
      </c>
      <c r="B27" s="618"/>
      <c r="C27" s="21"/>
      <c r="D27" s="21"/>
      <c r="E27" s="615">
        <f t="shared" si="0"/>
        <v>0</v>
      </c>
      <c r="F27" s="21"/>
      <c r="G27" s="412"/>
    </row>
    <row r="28" spans="1:7" ht="15" customHeight="1">
      <c r="A28" s="617" t="s">
        <v>25</v>
      </c>
      <c r="B28" s="618"/>
      <c r="C28" s="21"/>
      <c r="D28" s="21"/>
      <c r="E28" s="615">
        <f t="shared" si="0"/>
        <v>0</v>
      </c>
      <c r="F28" s="21"/>
      <c r="G28" s="412"/>
    </row>
    <row r="29" spans="1:7" ht="15" customHeight="1">
      <c r="A29" s="617" t="s">
        <v>26</v>
      </c>
      <c r="B29" s="618"/>
      <c r="C29" s="21"/>
      <c r="D29" s="21"/>
      <c r="E29" s="615">
        <f t="shared" si="0"/>
        <v>0</v>
      </c>
      <c r="F29" s="21"/>
      <c r="G29" s="412"/>
    </row>
    <row r="30" spans="1:7" ht="15" customHeight="1">
      <c r="A30" s="617" t="s">
        <v>27</v>
      </c>
      <c r="B30" s="618"/>
      <c r="C30" s="21"/>
      <c r="D30" s="21"/>
      <c r="E30" s="615">
        <f t="shared" si="0"/>
        <v>0</v>
      </c>
      <c r="F30" s="21"/>
      <c r="G30" s="412"/>
    </row>
    <row r="31" spans="1:7" ht="15" customHeight="1">
      <c r="A31" s="617" t="s">
        <v>28</v>
      </c>
      <c r="B31" s="618"/>
      <c r="C31" s="21"/>
      <c r="D31" s="21"/>
      <c r="E31" s="615">
        <f t="shared" si="0"/>
        <v>0</v>
      </c>
      <c r="F31" s="21"/>
      <c r="G31" s="412"/>
    </row>
    <row r="32" spans="1:7" ht="15" customHeight="1">
      <c r="A32" s="617" t="s">
        <v>29</v>
      </c>
      <c r="B32" s="618"/>
      <c r="C32" s="21"/>
      <c r="D32" s="21"/>
      <c r="E32" s="615">
        <f t="shared" si="0"/>
        <v>0</v>
      </c>
      <c r="F32" s="21"/>
      <c r="G32" s="412"/>
    </row>
    <row r="33" spans="1:7" ht="15" customHeight="1">
      <c r="A33" s="617" t="s">
        <v>30</v>
      </c>
      <c r="B33" s="618"/>
      <c r="C33" s="21"/>
      <c r="D33" s="21"/>
      <c r="E33" s="615">
        <f t="shared" si="0"/>
        <v>0</v>
      </c>
      <c r="F33" s="21"/>
      <c r="G33" s="412"/>
    </row>
    <row r="34" spans="1:7" ht="15" customHeight="1">
      <c r="A34" s="617" t="s">
        <v>31</v>
      </c>
      <c r="B34" s="618"/>
      <c r="C34" s="21"/>
      <c r="D34" s="21"/>
      <c r="E34" s="615">
        <f t="shared" si="0"/>
        <v>0</v>
      </c>
      <c r="F34" s="21"/>
      <c r="G34" s="412"/>
    </row>
    <row r="35" spans="1:7" ht="15" customHeight="1">
      <c r="A35" s="617" t="s">
        <v>32</v>
      </c>
      <c r="B35" s="618"/>
      <c r="C35" s="21"/>
      <c r="D35" s="21"/>
      <c r="E35" s="615">
        <f t="shared" si="0"/>
        <v>0</v>
      </c>
      <c r="F35" s="21"/>
      <c r="G35" s="412"/>
    </row>
    <row r="36" spans="1:7" ht="15" customHeight="1">
      <c r="A36" s="617" t="s">
        <v>33</v>
      </c>
      <c r="B36" s="618"/>
      <c r="C36" s="21"/>
      <c r="D36" s="21"/>
      <c r="E36" s="615">
        <f t="shared" si="0"/>
        <v>0</v>
      </c>
      <c r="F36" s="21"/>
      <c r="G36" s="412"/>
    </row>
    <row r="37" spans="1:7" ht="15" customHeight="1">
      <c r="A37" s="617" t="s">
        <v>592</v>
      </c>
      <c r="B37" s="618"/>
      <c r="C37" s="21"/>
      <c r="D37" s="21"/>
      <c r="E37" s="615">
        <f t="shared" si="0"/>
        <v>0</v>
      </c>
      <c r="F37" s="21"/>
      <c r="G37" s="412"/>
    </row>
    <row r="38" spans="1:7" ht="15" customHeight="1">
      <c r="A38" s="617" t="s">
        <v>593</v>
      </c>
      <c r="B38" s="618"/>
      <c r="C38" s="21"/>
      <c r="D38" s="21"/>
      <c r="E38" s="615">
        <f t="shared" si="0"/>
        <v>0</v>
      </c>
      <c r="F38" s="21"/>
      <c r="G38" s="412"/>
    </row>
    <row r="39" spans="1:7" ht="15" customHeight="1" thickBot="1">
      <c r="A39" s="617" t="s">
        <v>594</v>
      </c>
      <c r="B39" s="619"/>
      <c r="C39" s="22"/>
      <c r="D39" s="22"/>
      <c r="E39" s="615">
        <f t="shared" si="0"/>
        <v>0</v>
      </c>
      <c r="F39" s="22"/>
      <c r="G39" s="620"/>
    </row>
    <row r="40" spans="1:7" ht="15" customHeight="1" thickBot="1">
      <c r="A40" s="858" t="s">
        <v>37</v>
      </c>
      <c r="B40" s="859"/>
      <c r="C40" s="35">
        <f>SUM(C9:C39)</f>
        <v>956169199</v>
      </c>
      <c r="D40" s="35">
        <f>SUM(D9:D39)</f>
        <v>0</v>
      </c>
      <c r="E40" s="35">
        <f>SUM(E9:E39)</f>
        <v>956169199</v>
      </c>
      <c r="F40" s="35">
        <f>SUM(F9:F39)</f>
        <v>5420390</v>
      </c>
      <c r="G40" s="36">
        <f>SUM(G9:G39)</f>
        <v>950748809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0"/>
  <sheetViews>
    <sheetView zoomScale="120" zoomScaleNormal="120" zoomScalePageLayoutView="120" workbookViewId="0" topLeftCell="A7">
      <selection activeCell="C27" sqref="C27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06" customWidth="1"/>
    <col min="7" max="16384" width="9.375" style="31" customWidth="1"/>
  </cols>
  <sheetData>
    <row r="1" spans="2:6" ht="47.25" customHeight="1">
      <c r="B1" s="870" t="str">
        <f>CONCATENATE(Z_ALAPADATOK!B1,". évi általános működés és ágazati feladatok támogatásának alakulása jogcímenként")</f>
        <v>2019. évi általános működés és ágazati feladatok támogatásának alakulása jogcímenként</v>
      </c>
      <c r="C1" s="870"/>
      <c r="D1" s="870"/>
      <c r="E1" s="870"/>
      <c r="F1" s="871" t="str">
        <f>CONCATENATE("8. melléklet ",Z_ALAPADATOK!A7," ",Z_ALAPADATOK!B7," ",Z_ALAPADATOK!C7," ",Z_ALAPADATOK!D7," ",Z_ALAPADATOK!E7," ",Z_ALAPADATOK!F7," ",Z_ALAPADATOK!G7," ",Z_ALAPADATOK!H7)</f>
        <v>8. melléklet a 9 / 2020. ( VII.10. ) önkormányzati rendelethez</v>
      </c>
    </row>
    <row r="2" spans="2:6" ht="22.5" customHeight="1" thickBot="1">
      <c r="B2" s="872"/>
      <c r="C2" s="872"/>
      <c r="D2" s="872"/>
      <c r="E2" s="591" t="s">
        <v>795</v>
      </c>
      <c r="F2" s="871"/>
    </row>
    <row r="3" spans="1:6" s="32" customFormat="1" ht="54" customHeight="1" thickBot="1">
      <c r="A3" s="592" t="s">
        <v>822</v>
      </c>
      <c r="B3" s="593" t="s">
        <v>796</v>
      </c>
      <c r="C3" s="594" t="str">
        <f>+CONCATENATE(Z_ALAPADATOK!B1,". évi tervezett támogatás összesen")</f>
        <v>2019. évi tervezett támogatás összesen</v>
      </c>
      <c r="D3" s="594" t="s">
        <v>856</v>
      </c>
      <c r="E3" s="595" t="s">
        <v>797</v>
      </c>
      <c r="F3" s="871"/>
    </row>
    <row r="4" spans="1:6" s="600" customFormat="1" ht="13.5" thickBot="1">
      <c r="A4" s="596" t="s">
        <v>385</v>
      </c>
      <c r="B4" s="597" t="s">
        <v>386</v>
      </c>
      <c r="C4" s="598" t="s">
        <v>387</v>
      </c>
      <c r="D4" s="598" t="s">
        <v>389</v>
      </c>
      <c r="E4" s="599" t="s">
        <v>388</v>
      </c>
      <c r="F4" s="871"/>
    </row>
    <row r="5" spans="1:6" ht="12.75">
      <c r="A5" s="601" t="s">
        <v>854</v>
      </c>
      <c r="B5" s="602" t="s">
        <v>855</v>
      </c>
      <c r="C5" s="690">
        <v>80058400</v>
      </c>
      <c r="D5" s="690">
        <v>80058400</v>
      </c>
      <c r="E5" s="689">
        <v>80058400</v>
      </c>
      <c r="F5" s="871"/>
    </row>
    <row r="6" spans="1:6" ht="12.75" customHeight="1">
      <c r="A6" s="603" t="s">
        <v>857</v>
      </c>
      <c r="B6" s="604" t="s">
        <v>858</v>
      </c>
      <c r="C6" s="690">
        <v>6841640</v>
      </c>
      <c r="D6" s="690">
        <v>6841640</v>
      </c>
      <c r="E6" s="690">
        <v>6841640</v>
      </c>
      <c r="F6" s="871"/>
    </row>
    <row r="7" spans="1:6" ht="12.75">
      <c r="A7" s="603" t="s">
        <v>859</v>
      </c>
      <c r="B7" s="604" t="s">
        <v>860</v>
      </c>
      <c r="C7" s="690">
        <v>10400000</v>
      </c>
      <c r="D7" s="690">
        <v>10400000</v>
      </c>
      <c r="E7" s="690">
        <v>10400000</v>
      </c>
      <c r="F7" s="871"/>
    </row>
    <row r="8" spans="1:6" ht="12.75">
      <c r="A8" s="603" t="s">
        <v>861</v>
      </c>
      <c r="B8" s="604" t="s">
        <v>862</v>
      </c>
      <c r="C8" s="690">
        <v>6934850</v>
      </c>
      <c r="D8" s="690">
        <v>6934850</v>
      </c>
      <c r="E8" s="690">
        <v>6934850</v>
      </c>
      <c r="F8" s="871"/>
    </row>
    <row r="9" spans="1:6" ht="12.75">
      <c r="A9" s="603" t="s">
        <v>864</v>
      </c>
      <c r="B9" s="604" t="s">
        <v>863</v>
      </c>
      <c r="C9" s="690">
        <v>5271718</v>
      </c>
      <c r="D9" s="690">
        <v>5271718</v>
      </c>
      <c r="E9" s="690">
        <v>5271718</v>
      </c>
      <c r="F9" s="871"/>
    </row>
    <row r="10" spans="1:6" ht="12.75">
      <c r="A10" s="603" t="s">
        <v>865</v>
      </c>
      <c r="B10" s="604" t="s">
        <v>866</v>
      </c>
      <c r="C10" s="690">
        <v>221850</v>
      </c>
      <c r="D10" s="690">
        <v>221850</v>
      </c>
      <c r="E10" s="690">
        <v>221850</v>
      </c>
      <c r="F10" s="871"/>
    </row>
    <row r="11" spans="1:6" ht="12.75">
      <c r="A11" s="692" t="s">
        <v>867</v>
      </c>
      <c r="B11" s="693" t="s">
        <v>868</v>
      </c>
      <c r="C11" s="694">
        <v>972400</v>
      </c>
      <c r="D11" s="694">
        <v>972400</v>
      </c>
      <c r="E11" s="694">
        <v>972400</v>
      </c>
      <c r="F11" s="871"/>
    </row>
    <row r="12" spans="1:6" s="699" customFormat="1" ht="12.75">
      <c r="A12" s="695" t="s">
        <v>869</v>
      </c>
      <c r="B12" s="696" t="s">
        <v>870</v>
      </c>
      <c r="C12" s="697">
        <f>SUM(C5:C11)</f>
        <v>110700858</v>
      </c>
      <c r="D12" s="697">
        <f>SUM(D5:D11)</f>
        <v>110700858</v>
      </c>
      <c r="E12" s="697">
        <f>SUM(E5:E11)</f>
        <v>110700858</v>
      </c>
      <c r="F12" s="871"/>
    </row>
    <row r="13" spans="1:6" ht="12.75" customHeight="1">
      <c r="A13" s="691" t="s">
        <v>871</v>
      </c>
      <c r="B13" s="602" t="s">
        <v>872</v>
      </c>
      <c r="C13" s="690">
        <v>63521500</v>
      </c>
      <c r="D13" s="690">
        <v>65124384</v>
      </c>
      <c r="E13" s="690">
        <v>65124384</v>
      </c>
      <c r="F13" s="871"/>
    </row>
    <row r="14" spans="1:6" ht="12.75">
      <c r="A14" s="691" t="s">
        <v>873</v>
      </c>
      <c r="B14" s="604" t="s">
        <v>874</v>
      </c>
      <c r="C14" s="690">
        <v>11493200</v>
      </c>
      <c r="D14" s="690">
        <v>12045133</v>
      </c>
      <c r="E14" s="690">
        <v>12045133</v>
      </c>
      <c r="F14" s="871"/>
    </row>
    <row r="15" spans="1:6" ht="12.75">
      <c r="A15" s="692" t="s">
        <v>875</v>
      </c>
      <c r="B15" s="693" t="s">
        <v>876</v>
      </c>
      <c r="C15" s="694">
        <v>396700</v>
      </c>
      <c r="D15" s="694">
        <v>396700</v>
      </c>
      <c r="E15" s="694">
        <v>396700</v>
      </c>
      <c r="F15" s="871"/>
    </row>
    <row r="16" spans="1:6" s="699" customFormat="1" ht="12.75">
      <c r="A16" s="695" t="s">
        <v>877</v>
      </c>
      <c r="B16" s="696" t="s">
        <v>878</v>
      </c>
      <c r="C16" s="697">
        <f>SUM(C13:C15)</f>
        <v>75411400</v>
      </c>
      <c r="D16" s="697">
        <f>SUM(D13:D15)</f>
        <v>77566217</v>
      </c>
      <c r="E16" s="697">
        <f>SUM(E13:E15)</f>
        <v>77566217</v>
      </c>
      <c r="F16" s="871"/>
    </row>
    <row r="17" spans="1:6" ht="12.75">
      <c r="A17" s="691" t="s">
        <v>879</v>
      </c>
      <c r="B17" s="602" t="s">
        <v>880</v>
      </c>
      <c r="C17" s="690">
        <v>25584000</v>
      </c>
      <c r="D17" s="690">
        <v>25584000</v>
      </c>
      <c r="E17" s="690">
        <v>25584000</v>
      </c>
      <c r="F17" s="871"/>
    </row>
    <row r="18" spans="1:6" ht="12.75">
      <c r="A18" s="603" t="s">
        <v>882</v>
      </c>
      <c r="B18" s="604" t="s">
        <v>881</v>
      </c>
      <c r="C18" s="690">
        <v>14326000</v>
      </c>
      <c r="D18" s="690">
        <v>13243000</v>
      </c>
      <c r="E18" s="690">
        <v>13243000</v>
      </c>
      <c r="F18" s="871"/>
    </row>
    <row r="19" spans="1:6" ht="12.75">
      <c r="A19" s="603" t="s">
        <v>883</v>
      </c>
      <c r="B19" s="604" t="s">
        <v>885</v>
      </c>
      <c r="C19" s="690">
        <v>8489065</v>
      </c>
      <c r="D19" s="690">
        <v>7573975</v>
      </c>
      <c r="E19" s="690">
        <v>7573975</v>
      </c>
      <c r="F19" s="871"/>
    </row>
    <row r="20" spans="1:6" ht="12.75">
      <c r="A20" s="692" t="s">
        <v>884</v>
      </c>
      <c r="B20" s="693" t="s">
        <v>886</v>
      </c>
      <c r="C20" s="694">
        <v>1430700</v>
      </c>
      <c r="D20" s="694">
        <v>1097820</v>
      </c>
      <c r="E20" s="694">
        <v>1097820</v>
      </c>
      <c r="F20" s="871"/>
    </row>
    <row r="21" spans="1:6" s="699" customFormat="1" ht="12.75">
      <c r="A21" s="695" t="s">
        <v>887</v>
      </c>
      <c r="B21" s="696" t="s">
        <v>888</v>
      </c>
      <c r="C21" s="697">
        <f>SUM(C17:C20)</f>
        <v>49829765</v>
      </c>
      <c r="D21" s="697">
        <f>SUM(D17:D20)</f>
        <v>47498795</v>
      </c>
      <c r="E21" s="697">
        <f>SUM(E17:E20)</f>
        <v>47498795</v>
      </c>
      <c r="F21" s="871"/>
    </row>
    <row r="22" spans="1:6" ht="12.75">
      <c r="A22" s="695" t="s">
        <v>893</v>
      </c>
      <c r="B22" s="730" t="s">
        <v>889</v>
      </c>
      <c r="C22" s="697">
        <v>4035350</v>
      </c>
      <c r="D22" s="697">
        <v>4974161</v>
      </c>
      <c r="E22" s="697">
        <v>4974161</v>
      </c>
      <c r="F22" s="871"/>
    </row>
    <row r="23" spans="1:6" ht="12.75">
      <c r="A23" s="700"/>
      <c r="B23" s="704" t="s">
        <v>890</v>
      </c>
      <c r="C23" s="731">
        <v>10488000</v>
      </c>
      <c r="D23" s="731">
        <v>10488000</v>
      </c>
      <c r="E23" s="731">
        <v>10488000</v>
      </c>
      <c r="F23" s="871"/>
    </row>
    <row r="24" spans="1:6" ht="12.75">
      <c r="A24" s="700"/>
      <c r="B24" s="696" t="s">
        <v>891</v>
      </c>
      <c r="C24" s="697"/>
      <c r="D24" s="698">
        <v>5282000</v>
      </c>
      <c r="E24" s="698">
        <v>5282000</v>
      </c>
      <c r="F24" s="871"/>
    </row>
    <row r="25" spans="1:6" ht="12.75">
      <c r="A25" s="700"/>
      <c r="B25" s="696" t="s">
        <v>895</v>
      </c>
      <c r="C25" s="697"/>
      <c r="D25" s="698">
        <v>594612</v>
      </c>
      <c r="E25" s="698">
        <v>594612</v>
      </c>
      <c r="F25" s="871"/>
    </row>
    <row r="26" spans="1:6" ht="12.75">
      <c r="A26" s="603"/>
      <c r="B26" s="696" t="s">
        <v>973</v>
      </c>
      <c r="C26" s="697"/>
      <c r="D26" s="698">
        <v>2492375</v>
      </c>
      <c r="E26" s="698">
        <v>2492375</v>
      </c>
      <c r="F26" s="871"/>
    </row>
    <row r="27" spans="1:6" ht="12.75">
      <c r="A27" s="706"/>
      <c r="B27" s="704" t="s">
        <v>892</v>
      </c>
      <c r="C27" s="705">
        <v>21351675</v>
      </c>
      <c r="D27" s="705">
        <v>3880872</v>
      </c>
      <c r="E27" s="705">
        <v>3880872</v>
      </c>
      <c r="F27" s="871"/>
    </row>
    <row r="28" spans="1:6" ht="12.75">
      <c r="A28" s="692"/>
      <c r="B28" s="704" t="s">
        <v>894</v>
      </c>
      <c r="C28" s="705"/>
      <c r="D28" s="705">
        <v>788691</v>
      </c>
      <c r="E28" s="705">
        <v>788691</v>
      </c>
      <c r="F28" s="871"/>
    </row>
    <row r="29" spans="1:6" s="605" customFormat="1" ht="19.5" customHeight="1" thickBot="1">
      <c r="A29" s="701"/>
      <c r="B29" s="702" t="s">
        <v>37</v>
      </c>
      <c r="C29" s="703">
        <f>C12+C16+C21+C22+C23+C24+C26+C28</f>
        <v>250465373</v>
      </c>
      <c r="D29" s="703">
        <f>D12+D16+D21+D22+D23+D24+D26+D28+D27+D25</f>
        <v>264266581</v>
      </c>
      <c r="E29" s="703">
        <f>E12+E16+E21+E22+E23+E24+E26+E28+E27+E25</f>
        <v>264266581</v>
      </c>
      <c r="F29" s="871"/>
    </row>
    <row r="30" spans="1:2" ht="12.75">
      <c r="A30" s="873" t="s">
        <v>823</v>
      </c>
      <c r="B30" s="873"/>
    </row>
  </sheetData>
  <sheetProtection/>
  <mergeCells count="4">
    <mergeCell ref="B1:E1"/>
    <mergeCell ref="F1:F29"/>
    <mergeCell ref="B2:D2"/>
    <mergeCell ref="A30:B30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5"/>
  <sheetViews>
    <sheetView zoomScale="120" zoomScaleNormal="120" zoomScaleSheetLayoutView="100" workbookViewId="0" topLeftCell="A1">
      <selection activeCell="A87" sqref="A87:IV87"/>
    </sheetView>
  </sheetViews>
  <sheetFormatPr defaultColWidth="9.00390625" defaultRowHeight="12.75"/>
  <cols>
    <col min="1" max="1" width="9.00390625" style="154" customWidth="1"/>
    <col min="2" max="2" width="68.875" style="154" customWidth="1"/>
    <col min="3" max="3" width="18.875" style="154" customWidth="1"/>
    <col min="4" max="5" width="18.875" style="155" customWidth="1"/>
    <col min="6" max="16384" width="9.375" style="176" customWidth="1"/>
  </cols>
  <sheetData>
    <row r="1" spans="1:5" ht="15.75">
      <c r="A1" s="787" t="str">
        <f>CONCATENATE("1. tájékoztató tábla ",Z_ALAPADATOK!A7," ",Z_ALAPADATOK!B7," ",Z_ALAPADATOK!C7," ",Z_ALAPADATOK!D7," ",Z_ALAPADATOK!E7," ",Z_ALAPADATOK!F7," ",Z_ALAPADATOK!G7," ",Z_ALAPADATOK!H7)</f>
        <v>1. tájékoztató tábla a 9 / 2020. ( VII.10. ) önkormányzati rendelethez</v>
      </c>
      <c r="B1" s="788"/>
      <c r="C1" s="788"/>
      <c r="D1" s="788"/>
      <c r="E1" s="788"/>
    </row>
    <row r="2" spans="1:5" ht="15.75">
      <c r="A2" s="789" t="str">
        <f>CONCATENATE(Z_ALAPADATOK!A3)</f>
        <v>Besenyszög Város Önkormányzata</v>
      </c>
      <c r="B2" s="790"/>
      <c r="C2" s="790"/>
      <c r="D2" s="790"/>
      <c r="E2" s="790"/>
    </row>
    <row r="3" spans="1:5" ht="15.75">
      <c r="A3" s="789" t="str">
        <f>CONCATENATE(Z_ALAPADATOK!B1,". ÉVI ZÁRSZÁMADÁSÁNAK PÉNZÜGYI MÉRLEGE")</f>
        <v>2019. ÉVI ZÁRSZÁMADÁSÁNAK PÉNZÜGYI MÉRLEGE</v>
      </c>
      <c r="B3" s="790"/>
      <c r="C3" s="790"/>
      <c r="D3" s="790"/>
      <c r="E3" s="790"/>
    </row>
    <row r="4" spans="1:5" ht="15.75" customHeight="1">
      <c r="A4" s="783" t="s">
        <v>3</v>
      </c>
      <c r="B4" s="783"/>
      <c r="C4" s="783"/>
      <c r="D4" s="783"/>
      <c r="E4" s="783"/>
    </row>
    <row r="5" spans="1:5" ht="15.75" customHeight="1" thickBot="1">
      <c r="A5" s="533" t="s">
        <v>100</v>
      </c>
      <c r="B5" s="533"/>
      <c r="C5" s="533"/>
      <c r="D5" s="534"/>
      <c r="E5" s="534" t="str">
        <f>'Z_8.sz.mell'!E2</f>
        <v>Forintban</v>
      </c>
    </row>
    <row r="6" spans="1:5" ht="15.75" customHeight="1">
      <c r="A6" s="879" t="s">
        <v>51</v>
      </c>
      <c r="B6" s="881" t="s">
        <v>5</v>
      </c>
      <c r="C6" s="883" t="str">
        <f>CONCATENATE(Z_ALAPADATOK!B1-1," évi tény")</f>
        <v>2018 évi tény</v>
      </c>
      <c r="D6" s="885" t="str">
        <f>CONCATENATE(Z_ALAPADATOK!B1,". évi")</f>
        <v>2019. évi</v>
      </c>
      <c r="E6" s="886"/>
    </row>
    <row r="7" spans="1:5" ht="37.5" customHeight="1" thickBot="1">
      <c r="A7" s="880"/>
      <c r="B7" s="882"/>
      <c r="C7" s="884"/>
      <c r="D7" s="535" t="s">
        <v>450</v>
      </c>
      <c r="E7" s="309" t="s">
        <v>445</v>
      </c>
    </row>
    <row r="8" spans="1:5" s="177" customFormat="1" ht="12" customHeight="1" thickBot="1">
      <c r="A8" s="536" t="s">
        <v>385</v>
      </c>
      <c r="B8" s="537" t="s">
        <v>386</v>
      </c>
      <c r="C8" s="537" t="s">
        <v>387</v>
      </c>
      <c r="D8" s="537" t="s">
        <v>388</v>
      </c>
      <c r="E8" s="538" t="s">
        <v>390</v>
      </c>
    </row>
    <row r="9" spans="1:5" s="178" customFormat="1" ht="12" customHeight="1" thickBot="1">
      <c r="A9" s="18" t="s">
        <v>6</v>
      </c>
      <c r="B9" s="367" t="s">
        <v>162</v>
      </c>
      <c r="C9" s="166">
        <f>+C10+C11+C12+C13+C14+C15</f>
        <v>256157810</v>
      </c>
      <c r="D9" s="166">
        <f>+D10+D11+D12+D13+D14+D15</f>
        <v>264266581</v>
      </c>
      <c r="E9" s="102">
        <f>+E10+E11+E12+E13+E14+E15</f>
        <v>264266581</v>
      </c>
    </row>
    <row r="10" spans="1:5" s="178" customFormat="1" ht="12" customHeight="1">
      <c r="A10" s="13" t="s">
        <v>63</v>
      </c>
      <c r="B10" s="368" t="s">
        <v>163</v>
      </c>
      <c r="C10" s="168">
        <v>115073392</v>
      </c>
      <c r="D10" s="168">
        <v>113567470</v>
      </c>
      <c r="E10" s="168">
        <v>113567470</v>
      </c>
    </row>
    <row r="11" spans="1:5" s="178" customFormat="1" ht="12" customHeight="1">
      <c r="A11" s="12" t="s">
        <v>64</v>
      </c>
      <c r="B11" s="369" t="s">
        <v>164</v>
      </c>
      <c r="C11" s="167">
        <v>73095866</v>
      </c>
      <c r="D11" s="167">
        <v>78931217</v>
      </c>
      <c r="E11" s="167">
        <v>78931217</v>
      </c>
    </row>
    <row r="12" spans="1:5" s="178" customFormat="1" ht="12" customHeight="1">
      <c r="A12" s="12" t="s">
        <v>65</v>
      </c>
      <c r="B12" s="369" t="s">
        <v>165</v>
      </c>
      <c r="C12" s="167">
        <v>46820830</v>
      </c>
      <c r="D12" s="167">
        <v>49006795</v>
      </c>
      <c r="E12" s="167">
        <v>49006795</v>
      </c>
    </row>
    <row r="13" spans="1:5" s="178" customFormat="1" ht="12" customHeight="1">
      <c r="A13" s="12" t="s">
        <v>66</v>
      </c>
      <c r="B13" s="369" t="s">
        <v>166</v>
      </c>
      <c r="C13" s="167">
        <v>5163320</v>
      </c>
      <c r="D13" s="167">
        <v>5111161</v>
      </c>
      <c r="E13" s="167">
        <v>5111161</v>
      </c>
    </row>
    <row r="14" spans="1:5" s="178" customFormat="1" ht="12" customHeight="1">
      <c r="A14" s="12" t="s">
        <v>97</v>
      </c>
      <c r="B14" s="369" t="s">
        <v>333</v>
      </c>
      <c r="C14" s="370">
        <v>14137299</v>
      </c>
      <c r="D14" s="167">
        <v>16861247</v>
      </c>
      <c r="E14" s="167">
        <v>16861247</v>
      </c>
    </row>
    <row r="15" spans="1:5" s="178" customFormat="1" ht="12" customHeight="1" thickBot="1">
      <c r="A15" s="14" t="s">
        <v>67</v>
      </c>
      <c r="B15" s="371" t="s">
        <v>334</v>
      </c>
      <c r="C15" s="372">
        <v>1867103</v>
      </c>
      <c r="D15" s="169">
        <v>788691</v>
      </c>
      <c r="E15" s="169">
        <v>788691</v>
      </c>
    </row>
    <row r="16" spans="1:5" s="178" customFormat="1" ht="12" customHeight="1" thickBot="1">
      <c r="A16" s="18" t="s">
        <v>7</v>
      </c>
      <c r="B16" s="373" t="s">
        <v>167</v>
      </c>
      <c r="C16" s="166">
        <f>+C17+C18+C19+C20+C21</f>
        <v>179276185</v>
      </c>
      <c r="D16" s="166">
        <f>+D17+D18+D19+D20+D21</f>
        <v>184566100</v>
      </c>
      <c r="E16" s="102">
        <f>+E17+E18+E19+E20+E21</f>
        <v>198757284</v>
      </c>
    </row>
    <row r="17" spans="1:5" s="178" customFormat="1" ht="12" customHeight="1">
      <c r="A17" s="13" t="s">
        <v>69</v>
      </c>
      <c r="B17" s="368" t="s">
        <v>168</v>
      </c>
      <c r="C17" s="168"/>
      <c r="D17" s="168"/>
      <c r="E17" s="104"/>
    </row>
    <row r="18" spans="1:5" s="178" customFormat="1" ht="12" customHeight="1">
      <c r="A18" s="12" t="s">
        <v>70</v>
      </c>
      <c r="B18" s="369" t="s">
        <v>169</v>
      </c>
      <c r="C18" s="167"/>
      <c r="D18" s="167"/>
      <c r="E18" s="103"/>
    </row>
    <row r="19" spans="1:5" s="178" customFormat="1" ht="12" customHeight="1">
      <c r="A19" s="12" t="s">
        <v>71</v>
      </c>
      <c r="B19" s="369" t="s">
        <v>325</v>
      </c>
      <c r="C19" s="167"/>
      <c r="D19" s="167"/>
      <c r="E19" s="103"/>
    </row>
    <row r="20" spans="1:5" s="178" customFormat="1" ht="12" customHeight="1">
      <c r="A20" s="12" t="s">
        <v>72</v>
      </c>
      <c r="B20" s="369" t="s">
        <v>326</v>
      </c>
      <c r="C20" s="167"/>
      <c r="D20" s="167"/>
      <c r="E20" s="103"/>
    </row>
    <row r="21" spans="1:5" s="178" customFormat="1" ht="12" customHeight="1">
      <c r="A21" s="12" t="s">
        <v>73</v>
      </c>
      <c r="B21" s="369" t="s">
        <v>170</v>
      </c>
      <c r="C21" s="167">
        <v>179276185</v>
      </c>
      <c r="D21" s="167">
        <v>184566100</v>
      </c>
      <c r="E21" s="103">
        <v>198757284</v>
      </c>
    </row>
    <row r="22" spans="1:5" s="178" customFormat="1" ht="12" customHeight="1" thickBot="1">
      <c r="A22" s="14" t="s">
        <v>80</v>
      </c>
      <c r="B22" s="371" t="s">
        <v>171</v>
      </c>
      <c r="C22" s="169">
        <v>104659394</v>
      </c>
      <c r="D22" s="169"/>
      <c r="E22" s="105">
        <v>99457064</v>
      </c>
    </row>
    <row r="23" spans="1:5" s="178" customFormat="1" ht="12" customHeight="1" thickBot="1">
      <c r="A23" s="18" t="s">
        <v>8</v>
      </c>
      <c r="B23" s="367" t="s">
        <v>172</v>
      </c>
      <c r="C23" s="166">
        <f>+C24+C25+C26+C27+C28</f>
        <v>153251067</v>
      </c>
      <c r="D23" s="166">
        <f>+D24+D25+D26+D27+D28</f>
        <v>297668709</v>
      </c>
      <c r="E23" s="102">
        <f>+E24+E25+E26+E27+E28</f>
        <v>297668709</v>
      </c>
    </row>
    <row r="24" spans="1:5" s="178" customFormat="1" ht="12" customHeight="1">
      <c r="A24" s="13" t="s">
        <v>52</v>
      </c>
      <c r="B24" s="368" t="s">
        <v>173</v>
      </c>
      <c r="C24" s="168">
        <v>47000000</v>
      </c>
      <c r="D24" s="168">
        <v>2000000</v>
      </c>
      <c r="E24" s="168">
        <v>2000000</v>
      </c>
    </row>
    <row r="25" spans="1:5" s="178" customFormat="1" ht="12" customHeight="1">
      <c r="A25" s="12" t="s">
        <v>53</v>
      </c>
      <c r="B25" s="369" t="s">
        <v>174</v>
      </c>
      <c r="C25" s="167"/>
      <c r="D25" s="167"/>
      <c r="E25" s="103"/>
    </row>
    <row r="26" spans="1:5" s="178" customFormat="1" ht="12" customHeight="1">
      <c r="A26" s="12" t="s">
        <v>54</v>
      </c>
      <c r="B26" s="369" t="s">
        <v>327</v>
      </c>
      <c r="C26" s="167"/>
      <c r="D26" s="167"/>
      <c r="E26" s="103"/>
    </row>
    <row r="27" spans="1:5" s="178" customFormat="1" ht="12" customHeight="1">
      <c r="A27" s="12" t="s">
        <v>55</v>
      </c>
      <c r="B27" s="369" t="s">
        <v>328</v>
      </c>
      <c r="C27" s="167"/>
      <c r="D27" s="167"/>
      <c r="E27" s="103"/>
    </row>
    <row r="28" spans="1:5" s="178" customFormat="1" ht="12" customHeight="1">
      <c r="A28" s="12" t="s">
        <v>110</v>
      </c>
      <c r="B28" s="369" t="s">
        <v>175</v>
      </c>
      <c r="C28" s="167">
        <v>106251067</v>
      </c>
      <c r="D28" s="167">
        <v>295668709</v>
      </c>
      <c r="E28" s="103">
        <v>295668709</v>
      </c>
    </row>
    <row r="29" spans="1:5" s="178" customFormat="1" ht="12" customHeight="1" thickBot="1">
      <c r="A29" s="14" t="s">
        <v>111</v>
      </c>
      <c r="B29" s="371" t="s">
        <v>176</v>
      </c>
      <c r="C29" s="169">
        <v>100387544</v>
      </c>
      <c r="D29" s="169"/>
      <c r="E29" s="105"/>
    </row>
    <row r="30" spans="1:5" s="178" customFormat="1" ht="12" customHeight="1" thickBot="1">
      <c r="A30" s="25" t="s">
        <v>112</v>
      </c>
      <c r="B30" s="19" t="s">
        <v>520</v>
      </c>
      <c r="C30" s="172">
        <f>SUM(C31:C37)</f>
        <v>86582279</v>
      </c>
      <c r="D30" s="172">
        <f>SUM(D31:D37)</f>
        <v>75500000</v>
      </c>
      <c r="E30" s="208">
        <f>SUM(E31:E37)</f>
        <v>104503497</v>
      </c>
    </row>
    <row r="31" spans="1:5" s="178" customFormat="1" ht="12" customHeight="1">
      <c r="A31" s="196" t="s">
        <v>177</v>
      </c>
      <c r="B31" s="179" t="s">
        <v>477</v>
      </c>
      <c r="C31" s="168"/>
      <c r="D31" s="168"/>
      <c r="E31" s="104"/>
    </row>
    <row r="32" spans="1:5" s="178" customFormat="1" ht="12" customHeight="1">
      <c r="A32" s="197" t="s">
        <v>178</v>
      </c>
      <c r="B32" s="179" t="s">
        <v>834</v>
      </c>
      <c r="C32" s="167"/>
      <c r="D32" s="167"/>
      <c r="E32" s="103"/>
    </row>
    <row r="33" spans="1:5" s="178" customFormat="1" ht="12" customHeight="1">
      <c r="A33" s="197" t="s">
        <v>179</v>
      </c>
      <c r="B33" s="179" t="s">
        <v>478</v>
      </c>
      <c r="C33" s="167">
        <v>77649972</v>
      </c>
      <c r="D33" s="167">
        <v>67000000</v>
      </c>
      <c r="E33" s="103">
        <v>96057437</v>
      </c>
    </row>
    <row r="34" spans="1:5" s="178" customFormat="1" ht="12" customHeight="1">
      <c r="A34" s="197" t="s">
        <v>180</v>
      </c>
      <c r="B34" s="179" t="s">
        <v>835</v>
      </c>
      <c r="C34" s="167"/>
      <c r="D34" s="167"/>
      <c r="E34" s="103"/>
    </row>
    <row r="35" spans="1:5" s="178" customFormat="1" ht="12" customHeight="1">
      <c r="A35" s="197" t="s">
        <v>480</v>
      </c>
      <c r="B35" s="179" t="s">
        <v>181</v>
      </c>
      <c r="C35" s="167">
        <v>8042326</v>
      </c>
      <c r="D35" s="167">
        <v>8000000</v>
      </c>
      <c r="E35" s="103">
        <v>8061961</v>
      </c>
    </row>
    <row r="36" spans="1:5" s="178" customFormat="1" ht="12" customHeight="1">
      <c r="A36" s="197" t="s">
        <v>481</v>
      </c>
      <c r="B36" s="179" t="s">
        <v>818</v>
      </c>
      <c r="C36" s="167"/>
      <c r="D36" s="167"/>
      <c r="E36" s="103"/>
    </row>
    <row r="37" spans="1:5" s="178" customFormat="1" ht="12" customHeight="1" thickBot="1">
      <c r="A37" s="198" t="s">
        <v>482</v>
      </c>
      <c r="B37" s="179" t="s">
        <v>896</v>
      </c>
      <c r="C37" s="169">
        <v>889981</v>
      </c>
      <c r="D37" s="169">
        <v>500000</v>
      </c>
      <c r="E37" s="105">
        <v>384099</v>
      </c>
    </row>
    <row r="38" spans="1:5" s="178" customFormat="1" ht="12" customHeight="1" thickBot="1">
      <c r="A38" s="18" t="s">
        <v>10</v>
      </c>
      <c r="B38" s="367" t="s">
        <v>521</v>
      </c>
      <c r="C38" s="166">
        <f>SUM(C39:C49)</f>
        <v>34469421</v>
      </c>
      <c r="D38" s="166">
        <f>SUM(D39:D49)</f>
        <v>49434975</v>
      </c>
      <c r="E38" s="102">
        <f>SUM(E39:E49)</f>
        <v>62412277</v>
      </c>
    </row>
    <row r="39" spans="1:5" s="178" customFormat="1" ht="12" customHeight="1">
      <c r="A39" s="13" t="s">
        <v>56</v>
      </c>
      <c r="B39" s="368" t="s">
        <v>184</v>
      </c>
      <c r="C39" s="168">
        <v>152783</v>
      </c>
      <c r="D39" s="168"/>
      <c r="E39" s="104">
        <v>21259061</v>
      </c>
    </row>
    <row r="40" spans="1:5" s="178" customFormat="1" ht="12" customHeight="1">
      <c r="A40" s="12" t="s">
        <v>57</v>
      </c>
      <c r="B40" s="369" t="s">
        <v>185</v>
      </c>
      <c r="C40" s="167">
        <v>13110787</v>
      </c>
      <c r="D40" s="167">
        <v>28274384</v>
      </c>
      <c r="E40" s="103">
        <v>13980322</v>
      </c>
    </row>
    <row r="41" spans="1:5" s="178" customFormat="1" ht="12" customHeight="1">
      <c r="A41" s="12" t="s">
        <v>58</v>
      </c>
      <c r="B41" s="369" t="s">
        <v>186</v>
      </c>
      <c r="C41" s="167">
        <v>1292984</v>
      </c>
      <c r="D41" s="167">
        <v>850397</v>
      </c>
      <c r="E41" s="103">
        <v>1610754</v>
      </c>
    </row>
    <row r="42" spans="1:5" s="178" customFormat="1" ht="12" customHeight="1">
      <c r="A42" s="12" t="s">
        <v>114</v>
      </c>
      <c r="B42" s="369" t="s">
        <v>187</v>
      </c>
      <c r="C42" s="167">
        <v>9411190</v>
      </c>
      <c r="D42" s="167">
        <v>8000000</v>
      </c>
      <c r="E42" s="103">
        <v>8603425</v>
      </c>
    </row>
    <row r="43" spans="1:5" s="178" customFormat="1" ht="12" customHeight="1">
      <c r="A43" s="12" t="s">
        <v>115</v>
      </c>
      <c r="B43" s="369" t="s">
        <v>188</v>
      </c>
      <c r="C43" s="167">
        <v>5367037</v>
      </c>
      <c r="D43" s="167">
        <v>6467785</v>
      </c>
      <c r="E43" s="103">
        <v>5256201</v>
      </c>
    </row>
    <row r="44" spans="1:5" s="178" customFormat="1" ht="12" customHeight="1">
      <c r="A44" s="12" t="s">
        <v>116</v>
      </c>
      <c r="B44" s="369" t="s">
        <v>189</v>
      </c>
      <c r="C44" s="167">
        <v>4786092</v>
      </c>
      <c r="D44" s="167">
        <v>5842409</v>
      </c>
      <c r="E44" s="103">
        <v>9673272</v>
      </c>
    </row>
    <row r="45" spans="1:5" s="178" customFormat="1" ht="12" customHeight="1">
      <c r="A45" s="12" t="s">
        <v>117</v>
      </c>
      <c r="B45" s="369" t="s">
        <v>190</v>
      </c>
      <c r="C45" s="167"/>
      <c r="D45" s="167"/>
      <c r="E45" s="103"/>
    </row>
    <row r="46" spans="1:5" s="178" customFormat="1" ht="12" customHeight="1">
      <c r="A46" s="12" t="s">
        <v>118</v>
      </c>
      <c r="B46" s="369" t="s">
        <v>191</v>
      </c>
      <c r="C46" s="167">
        <v>24037</v>
      </c>
      <c r="D46" s="167"/>
      <c r="E46" s="103"/>
    </row>
    <row r="47" spans="1:5" s="178" customFormat="1" ht="12" customHeight="1">
      <c r="A47" s="12" t="s">
        <v>182</v>
      </c>
      <c r="B47" s="369" t="s">
        <v>192</v>
      </c>
      <c r="C47" s="167">
        <v>2801</v>
      </c>
      <c r="D47" s="167"/>
      <c r="E47" s="103">
        <v>2202</v>
      </c>
    </row>
    <row r="48" spans="1:5" s="178" customFormat="1" ht="12" customHeight="1">
      <c r="A48" s="12" t="s">
        <v>183</v>
      </c>
      <c r="B48" s="369" t="s">
        <v>337</v>
      </c>
      <c r="C48" s="170"/>
      <c r="D48" s="170"/>
      <c r="E48" s="106">
        <v>274605</v>
      </c>
    </row>
    <row r="49" spans="1:5" s="178" customFormat="1" ht="12" customHeight="1" thickBot="1">
      <c r="A49" s="14" t="s">
        <v>336</v>
      </c>
      <c r="B49" s="371" t="s">
        <v>193</v>
      </c>
      <c r="C49" s="171">
        <v>321710</v>
      </c>
      <c r="D49" s="171"/>
      <c r="E49" s="107">
        <v>1752435</v>
      </c>
    </row>
    <row r="50" spans="1:5" s="178" customFormat="1" ht="12" customHeight="1" thickBot="1">
      <c r="A50" s="18" t="s">
        <v>11</v>
      </c>
      <c r="B50" s="367" t="s">
        <v>194</v>
      </c>
      <c r="C50" s="166">
        <f>SUM(C51:C55)</f>
        <v>39429800</v>
      </c>
      <c r="D50" s="166">
        <f>SUM(D51:D55)</f>
        <v>4900000</v>
      </c>
      <c r="E50" s="102">
        <f>SUM(E51:E55)</f>
        <v>13889915</v>
      </c>
    </row>
    <row r="51" spans="1:5" s="178" customFormat="1" ht="12" customHeight="1">
      <c r="A51" s="13" t="s">
        <v>59</v>
      </c>
      <c r="B51" s="368" t="s">
        <v>198</v>
      </c>
      <c r="C51" s="219"/>
      <c r="D51" s="219"/>
      <c r="E51" s="108"/>
    </row>
    <row r="52" spans="1:5" s="178" customFormat="1" ht="12" customHeight="1">
      <c r="A52" s="12" t="s">
        <v>60</v>
      </c>
      <c r="B52" s="369" t="s">
        <v>199</v>
      </c>
      <c r="C52" s="170">
        <v>39429800</v>
      </c>
      <c r="D52" s="170">
        <v>4900000</v>
      </c>
      <c r="E52" s="106">
        <v>13882041</v>
      </c>
    </row>
    <row r="53" spans="1:5" s="178" customFormat="1" ht="12" customHeight="1">
      <c r="A53" s="12" t="s">
        <v>195</v>
      </c>
      <c r="B53" s="369" t="s">
        <v>200</v>
      </c>
      <c r="C53" s="170"/>
      <c r="D53" s="170"/>
      <c r="E53" s="106">
        <v>7874</v>
      </c>
    </row>
    <row r="54" spans="1:5" s="178" customFormat="1" ht="12" customHeight="1">
      <c r="A54" s="12" t="s">
        <v>196</v>
      </c>
      <c r="B54" s="369" t="s">
        <v>201</v>
      </c>
      <c r="C54" s="170"/>
      <c r="D54" s="170"/>
      <c r="E54" s="106"/>
    </row>
    <row r="55" spans="1:5" s="178" customFormat="1" ht="12" customHeight="1" thickBot="1">
      <c r="A55" s="14" t="s">
        <v>197</v>
      </c>
      <c r="B55" s="371" t="s">
        <v>202</v>
      </c>
      <c r="C55" s="171"/>
      <c r="D55" s="171"/>
      <c r="E55" s="107"/>
    </row>
    <row r="56" spans="1:5" s="178" customFormat="1" ht="13.5" thickBot="1">
      <c r="A56" s="18" t="s">
        <v>119</v>
      </c>
      <c r="B56" s="367" t="s">
        <v>203</v>
      </c>
      <c r="C56" s="166">
        <f>SUM(C57:C59)</f>
        <v>1840000</v>
      </c>
      <c r="D56" s="166">
        <f>SUM(D57:D59)</f>
        <v>1464615</v>
      </c>
      <c r="E56" s="102">
        <f>SUM(E57:E59)</f>
        <v>3082418</v>
      </c>
    </row>
    <row r="57" spans="1:5" s="178" customFormat="1" ht="12.75">
      <c r="A57" s="13" t="s">
        <v>61</v>
      </c>
      <c r="B57" s="368" t="s">
        <v>204</v>
      </c>
      <c r="C57" s="168"/>
      <c r="D57" s="168"/>
      <c r="E57" s="104"/>
    </row>
    <row r="58" spans="1:5" s="178" customFormat="1" ht="14.25" customHeight="1">
      <c r="A58" s="12" t="s">
        <v>62</v>
      </c>
      <c r="B58" s="369" t="s">
        <v>522</v>
      </c>
      <c r="C58" s="167">
        <v>1810000</v>
      </c>
      <c r="D58" s="167">
        <v>1000000</v>
      </c>
      <c r="E58" s="103">
        <v>1117803</v>
      </c>
    </row>
    <row r="59" spans="1:5" s="178" customFormat="1" ht="12.75">
      <c r="A59" s="12" t="s">
        <v>207</v>
      </c>
      <c r="B59" s="369" t="s">
        <v>205</v>
      </c>
      <c r="C59" s="167">
        <v>30000</v>
      </c>
      <c r="D59" s="167">
        <v>464615</v>
      </c>
      <c r="E59" s="103">
        <v>1964615</v>
      </c>
    </row>
    <row r="60" spans="1:5" s="178" customFormat="1" ht="13.5" thickBot="1">
      <c r="A60" s="14" t="s">
        <v>208</v>
      </c>
      <c r="B60" s="371" t="s">
        <v>206</v>
      </c>
      <c r="C60" s="169"/>
      <c r="D60" s="169"/>
      <c r="E60" s="105"/>
    </row>
    <row r="61" spans="1:5" s="178" customFormat="1" ht="13.5" thickBot="1">
      <c r="A61" s="18" t="s">
        <v>13</v>
      </c>
      <c r="B61" s="373" t="s">
        <v>209</v>
      </c>
      <c r="C61" s="166">
        <f>SUM(C62:C64)</f>
        <v>11720000</v>
      </c>
      <c r="D61" s="166">
        <f>SUM(D62:D64)</f>
        <v>30212440</v>
      </c>
      <c r="E61" s="102">
        <f>SUM(E62:E64)</f>
        <v>34270135</v>
      </c>
    </row>
    <row r="62" spans="1:5" s="178" customFormat="1" ht="12.75">
      <c r="A62" s="12" t="s">
        <v>120</v>
      </c>
      <c r="B62" s="368" t="s">
        <v>211</v>
      </c>
      <c r="C62" s="170"/>
      <c r="D62" s="170"/>
      <c r="E62" s="106"/>
    </row>
    <row r="63" spans="1:5" s="178" customFormat="1" ht="12.75" customHeight="1">
      <c r="A63" s="12" t="s">
        <v>121</v>
      </c>
      <c r="B63" s="369" t="s">
        <v>523</v>
      </c>
      <c r="C63" s="170">
        <v>120000</v>
      </c>
      <c r="D63" s="170"/>
      <c r="E63" s="106">
        <v>1384184</v>
      </c>
    </row>
    <row r="64" spans="1:5" s="178" customFormat="1" ht="12.75">
      <c r="A64" s="12" t="s">
        <v>144</v>
      </c>
      <c r="B64" s="369" t="s">
        <v>212</v>
      </c>
      <c r="C64" s="170">
        <v>11600000</v>
      </c>
      <c r="D64" s="170">
        <v>30212440</v>
      </c>
      <c r="E64" s="106">
        <v>32885951</v>
      </c>
    </row>
    <row r="65" spans="1:5" s="178" customFormat="1" ht="13.5" thickBot="1">
      <c r="A65" s="12" t="s">
        <v>210</v>
      </c>
      <c r="B65" s="371" t="s">
        <v>213</v>
      </c>
      <c r="C65" s="170"/>
      <c r="D65" s="170"/>
      <c r="E65" s="106"/>
    </row>
    <row r="66" spans="1:5" s="178" customFormat="1" ht="13.5" thickBot="1">
      <c r="A66" s="18" t="s">
        <v>14</v>
      </c>
      <c r="B66" s="367" t="s">
        <v>214</v>
      </c>
      <c r="C66" s="172">
        <f>+C9+C16+C23+C30+C38+C50+C56+C61</f>
        <v>762726562</v>
      </c>
      <c r="D66" s="172">
        <f>+D9+D16+D23+D30+D38+D50+D56+D61</f>
        <v>908013420</v>
      </c>
      <c r="E66" s="208">
        <f>+E9+E16+E23+E30+E38+E50+E56+E61</f>
        <v>978850816</v>
      </c>
    </row>
    <row r="67" spans="1:5" s="178" customFormat="1" ht="13.5" thickBot="1">
      <c r="A67" s="220" t="s">
        <v>215</v>
      </c>
      <c r="B67" s="373" t="s">
        <v>524</v>
      </c>
      <c r="C67" s="166">
        <f>SUM(C68:C70)</f>
        <v>37577030</v>
      </c>
      <c r="D67" s="166">
        <f>SUM(D68:D70)</f>
        <v>37952321</v>
      </c>
      <c r="E67" s="102">
        <f>SUM(E68:E70)</f>
        <v>37952321</v>
      </c>
    </row>
    <row r="68" spans="1:5" s="178" customFormat="1" ht="12.75">
      <c r="A68" s="12" t="s">
        <v>244</v>
      </c>
      <c r="B68" s="368" t="s">
        <v>217</v>
      </c>
      <c r="C68" s="170"/>
      <c r="D68" s="170">
        <v>16443546</v>
      </c>
      <c r="E68" s="170">
        <v>16443546</v>
      </c>
    </row>
    <row r="69" spans="1:5" s="178" customFormat="1" ht="12.75">
      <c r="A69" s="12" t="s">
        <v>253</v>
      </c>
      <c r="B69" s="369" t="s">
        <v>218</v>
      </c>
      <c r="C69" s="170">
        <v>37577030</v>
      </c>
      <c r="D69" s="170">
        <v>21508775</v>
      </c>
      <c r="E69" s="170">
        <v>21508775</v>
      </c>
    </row>
    <row r="70" spans="1:5" s="178" customFormat="1" ht="13.5" thickBot="1">
      <c r="A70" s="12" t="s">
        <v>254</v>
      </c>
      <c r="B70" s="228" t="s">
        <v>836</v>
      </c>
      <c r="C70" s="170"/>
      <c r="D70" s="170"/>
      <c r="E70" s="106"/>
    </row>
    <row r="71" spans="1:5" s="178" customFormat="1" ht="13.5" thickBot="1">
      <c r="A71" s="220" t="s">
        <v>220</v>
      </c>
      <c r="B71" s="373" t="s">
        <v>221</v>
      </c>
      <c r="C71" s="166">
        <f>SUM(C72:C75)</f>
        <v>0</v>
      </c>
      <c r="D71" s="166">
        <f>SUM(D72:D75)</f>
        <v>0</v>
      </c>
      <c r="E71" s="102">
        <f>SUM(E72:E75)</f>
        <v>0</v>
      </c>
    </row>
    <row r="72" spans="1:5" s="178" customFormat="1" ht="12.75">
      <c r="A72" s="12" t="s">
        <v>98</v>
      </c>
      <c r="B72" s="374" t="s">
        <v>222</v>
      </c>
      <c r="C72" s="170"/>
      <c r="D72" s="170"/>
      <c r="E72" s="106"/>
    </row>
    <row r="73" spans="1:5" s="178" customFormat="1" ht="12.75">
      <c r="A73" s="12" t="s">
        <v>99</v>
      </c>
      <c r="B73" s="374" t="s">
        <v>490</v>
      </c>
      <c r="C73" s="170"/>
      <c r="D73" s="170"/>
      <c r="E73" s="106"/>
    </row>
    <row r="74" spans="1:5" s="178" customFormat="1" ht="12" customHeight="1">
      <c r="A74" s="12" t="s">
        <v>245</v>
      </c>
      <c r="B74" s="374" t="s">
        <v>223</v>
      </c>
      <c r="C74" s="170"/>
      <c r="D74" s="170"/>
      <c r="E74" s="106"/>
    </row>
    <row r="75" spans="1:5" s="178" customFormat="1" ht="12" customHeight="1" thickBot="1">
      <c r="A75" s="12" t="s">
        <v>246</v>
      </c>
      <c r="B75" s="375" t="s">
        <v>491</v>
      </c>
      <c r="C75" s="170"/>
      <c r="D75" s="170"/>
      <c r="E75" s="106"/>
    </row>
    <row r="76" spans="1:5" s="178" customFormat="1" ht="12" customHeight="1" thickBot="1">
      <c r="A76" s="220" t="s">
        <v>224</v>
      </c>
      <c r="B76" s="373" t="s">
        <v>225</v>
      </c>
      <c r="C76" s="166">
        <f>SUM(C77:C78)</f>
        <v>1007075914</v>
      </c>
      <c r="D76" s="166">
        <f>SUM(D77:D78)</f>
        <v>1135708296</v>
      </c>
      <c r="E76" s="102">
        <f>SUM(E77:E78)</f>
        <v>1135708296</v>
      </c>
    </row>
    <row r="77" spans="1:5" s="178" customFormat="1" ht="12" customHeight="1">
      <c r="A77" s="12" t="s">
        <v>247</v>
      </c>
      <c r="B77" s="368" t="s">
        <v>226</v>
      </c>
      <c r="C77" s="170">
        <v>1007075914</v>
      </c>
      <c r="D77" s="170">
        <v>1135708296</v>
      </c>
      <c r="E77" s="170">
        <v>1135708296</v>
      </c>
    </row>
    <row r="78" spans="1:5" s="178" customFormat="1" ht="12" customHeight="1" thickBot="1">
      <c r="A78" s="12" t="s">
        <v>248</v>
      </c>
      <c r="B78" s="371" t="s">
        <v>227</v>
      </c>
      <c r="C78" s="170"/>
      <c r="D78" s="170"/>
      <c r="E78" s="106"/>
    </row>
    <row r="79" spans="1:5" s="178" customFormat="1" ht="12" customHeight="1" thickBot="1">
      <c r="A79" s="220" t="s">
        <v>228</v>
      </c>
      <c r="B79" s="373" t="s">
        <v>229</v>
      </c>
      <c r="C79" s="166">
        <f>SUM(C80:C82)</f>
        <v>8583031</v>
      </c>
      <c r="D79" s="166">
        <f>SUM(D80:D82)</f>
        <v>0</v>
      </c>
      <c r="E79" s="102">
        <f>SUM(E80:E82)</f>
        <v>9483636</v>
      </c>
    </row>
    <row r="80" spans="1:5" s="178" customFormat="1" ht="12" customHeight="1">
      <c r="A80" s="12" t="s">
        <v>249</v>
      </c>
      <c r="B80" s="368" t="s">
        <v>230</v>
      </c>
      <c r="C80" s="170">
        <v>8583031</v>
      </c>
      <c r="D80" s="170"/>
      <c r="E80" s="106">
        <v>9483636</v>
      </c>
    </row>
    <row r="81" spans="1:5" s="178" customFormat="1" ht="12" customHeight="1">
      <c r="A81" s="12" t="s">
        <v>250</v>
      </c>
      <c r="B81" s="369" t="s">
        <v>231</v>
      </c>
      <c r="C81" s="170"/>
      <c r="D81" s="170"/>
      <c r="E81" s="106"/>
    </row>
    <row r="82" spans="1:5" s="178" customFormat="1" ht="12" customHeight="1" thickBot="1">
      <c r="A82" s="12" t="s">
        <v>251</v>
      </c>
      <c r="B82" s="376" t="s">
        <v>525</v>
      </c>
      <c r="C82" s="170"/>
      <c r="D82" s="170"/>
      <c r="E82" s="106"/>
    </row>
    <row r="83" spans="1:5" s="178" customFormat="1" ht="12" customHeight="1" thickBot="1">
      <c r="A83" s="220" t="s">
        <v>232</v>
      </c>
      <c r="B83" s="373" t="s">
        <v>252</v>
      </c>
      <c r="C83" s="166">
        <f>SUM(C84:C86)</f>
        <v>0</v>
      </c>
      <c r="D83" s="166">
        <f>SUM(D84:D86)</f>
        <v>0</v>
      </c>
      <c r="E83" s="102">
        <f>SUM(E84:E86)</f>
        <v>0</v>
      </c>
    </row>
    <row r="84" spans="1:5" s="178" customFormat="1" ht="12" customHeight="1">
      <c r="A84" s="377" t="s">
        <v>233</v>
      </c>
      <c r="B84" s="368" t="s">
        <v>234</v>
      </c>
      <c r="C84" s="170"/>
      <c r="D84" s="170"/>
      <c r="E84" s="106"/>
    </row>
    <row r="85" spans="1:5" s="178" customFormat="1" ht="12" customHeight="1">
      <c r="A85" s="378" t="s">
        <v>235</v>
      </c>
      <c r="B85" s="369" t="s">
        <v>236</v>
      </c>
      <c r="C85" s="170"/>
      <c r="D85" s="170"/>
      <c r="E85" s="106"/>
    </row>
    <row r="86" spans="1:5" s="178" customFormat="1" ht="12" customHeight="1" thickBot="1">
      <c r="A86" s="378" t="s">
        <v>237</v>
      </c>
      <c r="B86" s="369" t="s">
        <v>238</v>
      </c>
      <c r="C86" s="170"/>
      <c r="D86" s="170"/>
      <c r="E86" s="106"/>
    </row>
    <row r="87" spans="1:5" s="178" customFormat="1" ht="12" customHeight="1" thickBot="1">
      <c r="A87" s="220" t="s">
        <v>241</v>
      </c>
      <c r="B87" s="373" t="s">
        <v>242</v>
      </c>
      <c r="C87" s="222"/>
      <c r="D87" s="222"/>
      <c r="E87" s="223"/>
    </row>
    <row r="88" spans="1:5" s="178" customFormat="1" ht="13.5" customHeight="1" thickBot="1">
      <c r="A88" s="220" t="s">
        <v>243</v>
      </c>
      <c r="B88" s="379" t="s">
        <v>526</v>
      </c>
      <c r="C88" s="172">
        <f>+C67+C71+C76+C79+C83+C87</f>
        <v>1053235975</v>
      </c>
      <c r="D88" s="172">
        <f>+D67+D71+D76+D79+D83+D87</f>
        <v>1173660617</v>
      </c>
      <c r="E88" s="208">
        <f>+E67+E71+E76+E79+E83+E87</f>
        <v>1183144253</v>
      </c>
    </row>
    <row r="89" spans="1:5" s="178" customFormat="1" ht="12" customHeight="1" thickBot="1">
      <c r="A89" s="221" t="s">
        <v>255</v>
      </c>
      <c r="B89" s="380" t="s">
        <v>527</v>
      </c>
      <c r="C89" s="172">
        <f>+C66+C88</f>
        <v>1815962537</v>
      </c>
      <c r="D89" s="172">
        <f>+D66+D88</f>
        <v>2081674037</v>
      </c>
      <c r="E89" s="208">
        <f>+E66+E88</f>
        <v>2161995069</v>
      </c>
    </row>
    <row r="90" spans="1:5" ht="16.5" customHeight="1">
      <c r="A90" s="784" t="s">
        <v>34</v>
      </c>
      <c r="B90" s="784"/>
      <c r="C90" s="784"/>
      <c r="D90" s="784"/>
      <c r="E90" s="784"/>
    </row>
    <row r="91" spans="1:5" s="188" customFormat="1" ht="16.5" customHeight="1" thickBot="1">
      <c r="A91" s="381" t="s">
        <v>101</v>
      </c>
      <c r="B91" s="381"/>
      <c r="C91" s="381"/>
      <c r="D91" s="60"/>
      <c r="E91" s="60" t="str">
        <f>E5</f>
        <v>Forintban</v>
      </c>
    </row>
    <row r="92" spans="1:5" s="188" customFormat="1" ht="16.5" customHeight="1">
      <c r="A92" s="874" t="s">
        <v>51</v>
      </c>
      <c r="B92" s="780" t="s">
        <v>420</v>
      </c>
      <c r="C92" s="795" t="str">
        <f>+C6</f>
        <v>2018 évi tény</v>
      </c>
      <c r="D92" s="877" t="str">
        <f>+D6</f>
        <v>2019. évi</v>
      </c>
      <c r="E92" s="878"/>
    </row>
    <row r="93" spans="1:5" ht="37.5" customHeight="1" thickBot="1">
      <c r="A93" s="875"/>
      <c r="B93" s="876"/>
      <c r="C93" s="796"/>
      <c r="D93" s="248" t="s">
        <v>450</v>
      </c>
      <c r="E93" s="366" t="s">
        <v>445</v>
      </c>
    </row>
    <row r="94" spans="1:5" s="177" customFormat="1" ht="12" customHeight="1" thickBot="1">
      <c r="A94" s="25" t="s">
        <v>385</v>
      </c>
      <c r="B94" s="26" t="s">
        <v>386</v>
      </c>
      <c r="C94" s="26" t="s">
        <v>387</v>
      </c>
      <c r="D94" s="26" t="s">
        <v>388</v>
      </c>
      <c r="E94" s="382" t="s">
        <v>390</v>
      </c>
    </row>
    <row r="95" spans="1:5" ht="12" customHeight="1" thickBot="1">
      <c r="A95" s="20" t="s">
        <v>6</v>
      </c>
      <c r="B95" s="24" t="s">
        <v>320</v>
      </c>
      <c r="C95" s="165">
        <f>SUM(C96:C100)</f>
        <v>492167956</v>
      </c>
      <c r="D95" s="165">
        <f>+D96+D97+D98+D99+D100+D113</f>
        <v>765616541</v>
      </c>
      <c r="E95" s="235">
        <f>+E96+E97+E98+E99+E100</f>
        <v>634730006</v>
      </c>
    </row>
    <row r="96" spans="1:5" ht="12" customHeight="1">
      <c r="A96" s="15" t="s">
        <v>63</v>
      </c>
      <c r="B96" s="383" t="s">
        <v>35</v>
      </c>
      <c r="C96" s="242">
        <v>192259671</v>
      </c>
      <c r="D96" s="242">
        <v>242765014</v>
      </c>
      <c r="E96" s="236">
        <v>240676124</v>
      </c>
    </row>
    <row r="97" spans="1:5" ht="12" customHeight="1">
      <c r="A97" s="12" t="s">
        <v>64</v>
      </c>
      <c r="B97" s="384" t="s">
        <v>122</v>
      </c>
      <c r="C97" s="167">
        <v>34819709</v>
      </c>
      <c r="D97" s="167">
        <v>43083403</v>
      </c>
      <c r="E97" s="103">
        <v>42111384</v>
      </c>
    </row>
    <row r="98" spans="1:5" ht="12" customHeight="1">
      <c r="A98" s="12" t="s">
        <v>65</v>
      </c>
      <c r="B98" s="384" t="s">
        <v>90</v>
      </c>
      <c r="C98" s="169">
        <v>140065793</v>
      </c>
      <c r="D98" s="169">
        <v>291118819</v>
      </c>
      <c r="E98" s="105">
        <v>234235266</v>
      </c>
    </row>
    <row r="99" spans="1:5" ht="12" customHeight="1">
      <c r="A99" s="12" t="s">
        <v>66</v>
      </c>
      <c r="B99" s="385" t="s">
        <v>123</v>
      </c>
      <c r="C99" s="169">
        <v>12300732</v>
      </c>
      <c r="D99" s="169">
        <v>16937241</v>
      </c>
      <c r="E99" s="105">
        <v>14472091</v>
      </c>
    </row>
    <row r="100" spans="1:5" ht="12" customHeight="1">
      <c r="A100" s="12" t="s">
        <v>75</v>
      </c>
      <c r="B100" s="386" t="s">
        <v>124</v>
      </c>
      <c r="C100" s="169">
        <v>112722051</v>
      </c>
      <c r="D100" s="169">
        <v>106530145</v>
      </c>
      <c r="E100" s="105">
        <v>103235141</v>
      </c>
    </row>
    <row r="101" spans="1:5" ht="12" customHeight="1">
      <c r="A101" s="12" t="s">
        <v>67</v>
      </c>
      <c r="B101" s="384" t="s">
        <v>343</v>
      </c>
      <c r="C101" s="169"/>
      <c r="D101" s="169">
        <v>321833</v>
      </c>
      <c r="E101" s="169">
        <v>321833</v>
      </c>
    </row>
    <row r="102" spans="1:5" ht="12" customHeight="1">
      <c r="A102" s="12" t="s">
        <v>68</v>
      </c>
      <c r="B102" s="387" t="s">
        <v>342</v>
      </c>
      <c r="C102" s="169"/>
      <c r="D102" s="169"/>
      <c r="E102" s="105"/>
    </row>
    <row r="103" spans="1:5" ht="12" customHeight="1">
      <c r="A103" s="12" t="s">
        <v>76</v>
      </c>
      <c r="B103" s="384" t="s">
        <v>341</v>
      </c>
      <c r="C103" s="169">
        <v>27233</v>
      </c>
      <c r="D103" s="169"/>
      <c r="E103" s="105"/>
    </row>
    <row r="104" spans="1:5" ht="12" customHeight="1">
      <c r="A104" s="12" t="s">
        <v>77</v>
      </c>
      <c r="B104" s="384" t="s">
        <v>258</v>
      </c>
      <c r="C104" s="169"/>
      <c r="D104" s="169"/>
      <c r="E104" s="105"/>
    </row>
    <row r="105" spans="1:5" ht="12" customHeight="1">
      <c r="A105" s="12" t="s">
        <v>78</v>
      </c>
      <c r="B105" s="387" t="s">
        <v>259</v>
      </c>
      <c r="C105" s="169"/>
      <c r="D105" s="169"/>
      <c r="E105" s="105"/>
    </row>
    <row r="106" spans="1:5" ht="12" customHeight="1">
      <c r="A106" s="12" t="s">
        <v>79</v>
      </c>
      <c r="B106" s="387" t="s">
        <v>260</v>
      </c>
      <c r="C106" s="169"/>
      <c r="D106" s="169"/>
      <c r="E106" s="105"/>
    </row>
    <row r="107" spans="1:5" ht="12" customHeight="1">
      <c r="A107" s="12" t="s">
        <v>81</v>
      </c>
      <c r="B107" s="387" t="s">
        <v>261</v>
      </c>
      <c r="C107" s="169">
        <v>99187181</v>
      </c>
      <c r="D107" s="169">
        <v>99708312</v>
      </c>
      <c r="E107" s="105">
        <v>96746689</v>
      </c>
    </row>
    <row r="108" spans="1:5" ht="12" customHeight="1">
      <c r="A108" s="12" t="s">
        <v>125</v>
      </c>
      <c r="B108" s="387" t="s">
        <v>262</v>
      </c>
      <c r="C108" s="169"/>
      <c r="D108" s="169"/>
      <c r="E108" s="105"/>
    </row>
    <row r="109" spans="1:5" ht="12" customHeight="1">
      <c r="A109" s="12" t="s">
        <v>256</v>
      </c>
      <c r="B109" s="387" t="s">
        <v>263</v>
      </c>
      <c r="C109" s="169">
        <v>6540000</v>
      </c>
      <c r="D109" s="169">
        <v>1000000</v>
      </c>
      <c r="E109" s="169">
        <v>1000000</v>
      </c>
    </row>
    <row r="110" spans="1:5" ht="12" customHeight="1">
      <c r="A110" s="12" t="s">
        <v>257</v>
      </c>
      <c r="B110" s="387" t="s">
        <v>264</v>
      </c>
      <c r="C110" s="169"/>
      <c r="D110" s="169"/>
      <c r="E110" s="105"/>
    </row>
    <row r="111" spans="1:5" ht="12" customHeight="1">
      <c r="A111" s="12" t="s">
        <v>339</v>
      </c>
      <c r="B111" s="387" t="s">
        <v>265</v>
      </c>
      <c r="C111" s="169"/>
      <c r="D111" s="169"/>
      <c r="E111" s="105"/>
    </row>
    <row r="112" spans="1:5" ht="12" customHeight="1">
      <c r="A112" s="12" t="s">
        <v>340</v>
      </c>
      <c r="B112" s="384" t="s">
        <v>266</v>
      </c>
      <c r="C112" s="169">
        <v>6967637</v>
      </c>
      <c r="D112" s="169">
        <v>5500000</v>
      </c>
      <c r="E112" s="169">
        <v>5166619</v>
      </c>
    </row>
    <row r="113" spans="1:5" ht="12" customHeight="1">
      <c r="A113" s="11" t="s">
        <v>344</v>
      </c>
      <c r="B113" s="388" t="s">
        <v>36</v>
      </c>
      <c r="C113" s="169"/>
      <c r="D113" s="169">
        <v>65181919</v>
      </c>
      <c r="E113" s="105"/>
    </row>
    <row r="114" spans="1:5" ht="12" customHeight="1">
      <c r="A114" s="12" t="s">
        <v>345</v>
      </c>
      <c r="B114" s="388" t="s">
        <v>347</v>
      </c>
      <c r="C114" s="169"/>
      <c r="D114" s="169">
        <v>65181919</v>
      </c>
      <c r="E114" s="105"/>
    </row>
    <row r="115" spans="1:5" ht="12" customHeight="1" thickBot="1">
      <c r="A115" s="16" t="s">
        <v>346</v>
      </c>
      <c r="B115" s="389" t="s">
        <v>348</v>
      </c>
      <c r="C115" s="243"/>
      <c r="D115" s="243"/>
      <c r="E115" s="237"/>
    </row>
    <row r="116" spans="1:5" ht="12" customHeight="1" thickBot="1">
      <c r="A116" s="18" t="s">
        <v>7</v>
      </c>
      <c r="B116" s="23" t="s">
        <v>837</v>
      </c>
      <c r="C116" s="166">
        <f>+C117+C119+C121</f>
        <v>141907624</v>
      </c>
      <c r="D116" s="166">
        <f>+D117+D119+D121</f>
        <v>1005265692</v>
      </c>
      <c r="E116" s="102">
        <f>+E117+E119+E121</f>
        <v>260304060</v>
      </c>
    </row>
    <row r="117" spans="1:5" ht="12" customHeight="1">
      <c r="A117" s="13" t="s">
        <v>69</v>
      </c>
      <c r="B117" s="384" t="s">
        <v>143</v>
      </c>
      <c r="C117" s="168">
        <v>132575138</v>
      </c>
      <c r="D117" s="168">
        <v>849064923</v>
      </c>
      <c r="E117" s="104">
        <v>131096425</v>
      </c>
    </row>
    <row r="118" spans="1:5" ht="12" customHeight="1">
      <c r="A118" s="13" t="s">
        <v>70</v>
      </c>
      <c r="B118" s="388" t="s">
        <v>271</v>
      </c>
      <c r="C118" s="168">
        <v>64530983</v>
      </c>
      <c r="D118" s="168"/>
      <c r="E118" s="104"/>
    </row>
    <row r="119" spans="1:5" ht="15.75">
      <c r="A119" s="13" t="s">
        <v>71</v>
      </c>
      <c r="B119" s="388" t="s">
        <v>126</v>
      </c>
      <c r="C119" s="167">
        <v>8882486</v>
      </c>
      <c r="D119" s="167">
        <v>121525579</v>
      </c>
      <c r="E119" s="103">
        <v>94559285</v>
      </c>
    </row>
    <row r="120" spans="1:5" ht="12" customHeight="1">
      <c r="A120" s="13" t="s">
        <v>72</v>
      </c>
      <c r="B120" s="388" t="s">
        <v>272</v>
      </c>
      <c r="C120" s="167">
        <v>6921500</v>
      </c>
      <c r="D120" s="167"/>
      <c r="E120" s="103"/>
    </row>
    <row r="121" spans="1:5" ht="12" customHeight="1">
      <c r="A121" s="13" t="s">
        <v>73</v>
      </c>
      <c r="B121" s="371" t="s">
        <v>145</v>
      </c>
      <c r="C121" s="167">
        <v>450000</v>
      </c>
      <c r="D121" s="167">
        <v>34675190</v>
      </c>
      <c r="E121" s="103">
        <v>34648350</v>
      </c>
    </row>
    <row r="122" spans="1:5" ht="15.75">
      <c r="A122" s="13" t="s">
        <v>80</v>
      </c>
      <c r="B122" s="369" t="s">
        <v>331</v>
      </c>
      <c r="C122" s="167"/>
      <c r="D122" s="167"/>
      <c r="E122" s="103"/>
    </row>
    <row r="123" spans="1:5" ht="15.75">
      <c r="A123" s="13" t="s">
        <v>82</v>
      </c>
      <c r="B123" s="390" t="s">
        <v>277</v>
      </c>
      <c r="C123" s="167"/>
      <c r="D123" s="167"/>
      <c r="E123" s="103"/>
    </row>
    <row r="124" spans="1:5" ht="12" customHeight="1">
      <c r="A124" s="13" t="s">
        <v>127</v>
      </c>
      <c r="B124" s="384" t="s">
        <v>260</v>
      </c>
      <c r="C124" s="167"/>
      <c r="D124" s="167"/>
      <c r="E124" s="103"/>
    </row>
    <row r="125" spans="1:5" ht="12" customHeight="1">
      <c r="A125" s="13" t="s">
        <v>128</v>
      </c>
      <c r="B125" s="384" t="s">
        <v>276</v>
      </c>
      <c r="C125" s="167"/>
      <c r="D125" s="167"/>
      <c r="E125" s="103"/>
    </row>
    <row r="126" spans="1:5" ht="12" customHeight="1">
      <c r="A126" s="13" t="s">
        <v>129</v>
      </c>
      <c r="B126" s="384" t="s">
        <v>275</v>
      </c>
      <c r="C126" s="167"/>
      <c r="D126" s="167"/>
      <c r="E126" s="103"/>
    </row>
    <row r="127" spans="1:5" s="391" customFormat="1" ht="12" customHeight="1">
      <c r="A127" s="13" t="s">
        <v>268</v>
      </c>
      <c r="B127" s="384" t="s">
        <v>263</v>
      </c>
      <c r="C127" s="167">
        <v>450000</v>
      </c>
      <c r="D127" s="167">
        <v>34558350</v>
      </c>
      <c r="E127" s="167">
        <v>34558350</v>
      </c>
    </row>
    <row r="128" spans="1:5" ht="12" customHeight="1">
      <c r="A128" s="13" t="s">
        <v>269</v>
      </c>
      <c r="B128" s="384" t="s">
        <v>274</v>
      </c>
      <c r="C128" s="167"/>
      <c r="D128" s="167"/>
      <c r="E128" s="103"/>
    </row>
    <row r="129" spans="1:5" ht="12" customHeight="1" thickBot="1">
      <c r="A129" s="11" t="s">
        <v>270</v>
      </c>
      <c r="B129" s="384" t="s">
        <v>273</v>
      </c>
      <c r="C129" s="169"/>
      <c r="D129" s="169">
        <v>116840</v>
      </c>
      <c r="E129" s="105">
        <v>90000</v>
      </c>
    </row>
    <row r="130" spans="1:5" ht="12" customHeight="1" thickBot="1">
      <c r="A130" s="18" t="s">
        <v>8</v>
      </c>
      <c r="B130" s="392" t="s">
        <v>349</v>
      </c>
      <c r="C130" s="166">
        <f>+C95+C116</f>
        <v>634075580</v>
      </c>
      <c r="D130" s="166">
        <f>+D95+D116</f>
        <v>1770882233</v>
      </c>
      <c r="E130" s="102">
        <f>+E95+E116</f>
        <v>895034066</v>
      </c>
    </row>
    <row r="131" spans="1:5" ht="12" customHeight="1" thickBot="1">
      <c r="A131" s="18" t="s">
        <v>9</v>
      </c>
      <c r="B131" s="392" t="s">
        <v>350</v>
      </c>
      <c r="C131" s="166">
        <f>+C132+C133+C134</f>
        <v>37577030</v>
      </c>
      <c r="D131" s="166">
        <f>+D132+D133+D134</f>
        <v>21508775</v>
      </c>
      <c r="E131" s="102">
        <f>+E132+E133+E134</f>
        <v>21508775</v>
      </c>
    </row>
    <row r="132" spans="1:5" ht="12" customHeight="1">
      <c r="A132" s="13" t="s">
        <v>177</v>
      </c>
      <c r="B132" s="390" t="s">
        <v>404</v>
      </c>
      <c r="C132" s="167"/>
      <c r="D132" s="167"/>
      <c r="E132" s="103"/>
    </row>
    <row r="133" spans="1:5" ht="12" customHeight="1">
      <c r="A133" s="13" t="s">
        <v>178</v>
      </c>
      <c r="B133" s="390" t="s">
        <v>358</v>
      </c>
      <c r="C133" s="167">
        <v>37577030</v>
      </c>
      <c r="D133" s="167">
        <v>21508775</v>
      </c>
      <c r="E133" s="167">
        <v>21508775</v>
      </c>
    </row>
    <row r="134" spans="1:5" ht="12" customHeight="1" thickBot="1">
      <c r="A134" s="11" t="s">
        <v>179</v>
      </c>
      <c r="B134" s="393" t="s">
        <v>403</v>
      </c>
      <c r="C134" s="167"/>
      <c r="D134" s="167"/>
      <c r="E134" s="103"/>
    </row>
    <row r="135" spans="1:5" ht="12" customHeight="1" thickBot="1">
      <c r="A135" s="18" t="s">
        <v>10</v>
      </c>
      <c r="B135" s="392" t="s">
        <v>838</v>
      </c>
      <c r="C135" s="166">
        <f>+C136+C137+C138+C139</f>
        <v>0</v>
      </c>
      <c r="D135" s="166">
        <f>+D136+D137+D138+D139</f>
        <v>280699998</v>
      </c>
      <c r="E135" s="102">
        <f>+E136+E137+E138+E139</f>
        <v>280699998</v>
      </c>
    </row>
    <row r="136" spans="1:5" ht="12" customHeight="1">
      <c r="A136" s="13" t="s">
        <v>56</v>
      </c>
      <c r="B136" s="390" t="s">
        <v>360</v>
      </c>
      <c r="C136" s="167"/>
      <c r="D136" s="167">
        <v>280699998</v>
      </c>
      <c r="E136" s="167">
        <v>280699998</v>
      </c>
    </row>
    <row r="137" spans="1:5" ht="12" customHeight="1">
      <c r="A137" s="13" t="s">
        <v>57</v>
      </c>
      <c r="B137" s="390" t="s">
        <v>528</v>
      </c>
      <c r="C137" s="167"/>
      <c r="D137" s="167"/>
      <c r="E137" s="103"/>
    </row>
    <row r="138" spans="1:5" ht="12" customHeight="1">
      <c r="A138" s="13" t="s">
        <v>58</v>
      </c>
      <c r="B138" s="390" t="s">
        <v>352</v>
      </c>
      <c r="C138" s="167"/>
      <c r="D138" s="167"/>
      <c r="E138" s="103"/>
    </row>
    <row r="139" spans="1:5" ht="12" customHeight="1" thickBot="1">
      <c r="A139" s="11" t="s">
        <v>114</v>
      </c>
      <c r="B139" s="393" t="s">
        <v>529</v>
      </c>
      <c r="C139" s="167"/>
      <c r="D139" s="167"/>
      <c r="E139" s="103"/>
    </row>
    <row r="140" spans="1:5" ht="12" customHeight="1" thickBot="1">
      <c r="A140" s="18" t="s">
        <v>11</v>
      </c>
      <c r="B140" s="392" t="s">
        <v>364</v>
      </c>
      <c r="C140" s="172">
        <f>+C141+C142+C143+C144</f>
        <v>8601631</v>
      </c>
      <c r="D140" s="172">
        <f>+D141+D142+D143+D144</f>
        <v>8583031</v>
      </c>
      <c r="E140" s="208">
        <f>+E141+E142+E143+E144</f>
        <v>8583031</v>
      </c>
    </row>
    <row r="141" spans="1:5" ht="12" customHeight="1">
      <c r="A141" s="13" t="s">
        <v>59</v>
      </c>
      <c r="B141" s="390" t="s">
        <v>278</v>
      </c>
      <c r="C141" s="167"/>
      <c r="D141" s="167"/>
      <c r="E141" s="103"/>
    </row>
    <row r="142" spans="1:5" ht="12" customHeight="1">
      <c r="A142" s="13" t="s">
        <v>60</v>
      </c>
      <c r="B142" s="390" t="s">
        <v>279</v>
      </c>
      <c r="C142" s="167">
        <v>8601631</v>
      </c>
      <c r="D142" s="167">
        <v>8583031</v>
      </c>
      <c r="E142" s="167">
        <v>8583031</v>
      </c>
    </row>
    <row r="143" spans="1:5" ht="12" customHeight="1">
      <c r="A143" s="13" t="s">
        <v>195</v>
      </c>
      <c r="B143" s="390" t="s">
        <v>530</v>
      </c>
      <c r="C143" s="167"/>
      <c r="D143" s="167"/>
      <c r="E143" s="103"/>
    </row>
    <row r="144" spans="1:5" ht="12" customHeight="1" thickBot="1">
      <c r="A144" s="11" t="s">
        <v>196</v>
      </c>
      <c r="B144" s="393" t="s">
        <v>295</v>
      </c>
      <c r="C144" s="167"/>
      <c r="D144" s="167"/>
      <c r="E144" s="103"/>
    </row>
    <row r="145" spans="1:9" ht="15" customHeight="1" thickBot="1">
      <c r="A145" s="18" t="s">
        <v>12</v>
      </c>
      <c r="B145" s="392" t="s">
        <v>839</v>
      </c>
      <c r="C145" s="245">
        <f>+C146+C147+C148+C149</f>
        <v>0</v>
      </c>
      <c r="D145" s="245">
        <f>+D146+D147+D148+D149</f>
        <v>0</v>
      </c>
      <c r="E145" s="239">
        <f>+E146+E147+E148+E149</f>
        <v>0</v>
      </c>
      <c r="F145" s="189"/>
      <c r="G145" s="190"/>
      <c r="H145" s="190"/>
      <c r="I145" s="190"/>
    </row>
    <row r="146" spans="1:5" s="178" customFormat="1" ht="12.75" customHeight="1">
      <c r="A146" s="13" t="s">
        <v>61</v>
      </c>
      <c r="B146" s="390" t="s">
        <v>531</v>
      </c>
      <c r="C146" s="167"/>
      <c r="D146" s="167"/>
      <c r="E146" s="103"/>
    </row>
    <row r="147" spans="1:5" ht="13.5" customHeight="1">
      <c r="A147" s="13" t="s">
        <v>62</v>
      </c>
      <c r="B147" s="390" t="s">
        <v>532</v>
      </c>
      <c r="C147" s="167"/>
      <c r="D147" s="167"/>
      <c r="E147" s="103"/>
    </row>
    <row r="148" spans="1:5" ht="13.5" customHeight="1">
      <c r="A148" s="13" t="s">
        <v>207</v>
      </c>
      <c r="B148" s="390" t="s">
        <v>533</v>
      </c>
      <c r="C148" s="167"/>
      <c r="D148" s="167"/>
      <c r="E148" s="103"/>
    </row>
    <row r="149" spans="1:5" ht="13.5" customHeight="1">
      <c r="A149" s="13" t="s">
        <v>208</v>
      </c>
      <c r="B149" s="390" t="s">
        <v>369</v>
      </c>
      <c r="C149" s="167"/>
      <c r="D149" s="167"/>
      <c r="E149" s="103"/>
    </row>
    <row r="150" spans="1:5" ht="13.5" customHeight="1" thickBot="1">
      <c r="A150" s="11" t="s">
        <v>840</v>
      </c>
      <c r="B150" s="393" t="s">
        <v>370</v>
      </c>
      <c r="C150" s="683"/>
      <c r="D150" s="683"/>
      <c r="E150" s="684"/>
    </row>
    <row r="151" spans="1:5" ht="13.5" customHeight="1" thickBot="1">
      <c r="A151" s="685" t="s">
        <v>13</v>
      </c>
      <c r="B151" s="686" t="s">
        <v>371</v>
      </c>
      <c r="C151" s="687"/>
      <c r="D151" s="687"/>
      <c r="E151" s="688"/>
    </row>
    <row r="152" spans="1:5" ht="13.5" customHeight="1" thickBot="1">
      <c r="A152" s="685" t="s">
        <v>14</v>
      </c>
      <c r="B152" s="686" t="s">
        <v>372</v>
      </c>
      <c r="C152" s="687"/>
      <c r="D152" s="687"/>
      <c r="E152" s="688"/>
    </row>
    <row r="153" spans="1:5" ht="12.75" customHeight="1" thickBot="1">
      <c r="A153" s="18" t="s">
        <v>15</v>
      </c>
      <c r="B153" s="392" t="s">
        <v>374</v>
      </c>
      <c r="C153" s="247">
        <f>+C131+C135+C140+C145+C151+C152</f>
        <v>46178661</v>
      </c>
      <c r="D153" s="247">
        <f>+D131+D135+D140+D145+D151+D152</f>
        <v>310791804</v>
      </c>
      <c r="E153" s="241">
        <f>+E131+E135+E140+E145+E151+E152</f>
        <v>310791804</v>
      </c>
    </row>
    <row r="154" spans="1:5" ht="13.5" customHeight="1" thickBot="1">
      <c r="A154" s="112" t="s">
        <v>16</v>
      </c>
      <c r="B154" s="394" t="s">
        <v>373</v>
      </c>
      <c r="C154" s="247">
        <f>+C130+C153</f>
        <v>680254241</v>
      </c>
      <c r="D154" s="247">
        <f>+D130+D153</f>
        <v>2081674037</v>
      </c>
      <c r="E154" s="241">
        <f>+E130+E153</f>
        <v>1205825870</v>
      </c>
    </row>
    <row r="155" spans="3:4" ht="13.5" customHeight="1">
      <c r="C155" s="588"/>
      <c r="D155" s="588">
        <f>D89-D154</f>
        <v>0</v>
      </c>
    </row>
    <row r="156" ht="13.5" customHeight="1"/>
    <row r="157" ht="7.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/>
  <mergeCells count="13">
    <mergeCell ref="B6:B7"/>
    <mergeCell ref="C6:C7"/>
    <mergeCell ref="D6:E6"/>
    <mergeCell ref="A90:E90"/>
    <mergeCell ref="A92:A93"/>
    <mergeCell ref="B92:B93"/>
    <mergeCell ref="C92:C93"/>
    <mergeCell ref="D92:E92"/>
    <mergeCell ref="A1:E1"/>
    <mergeCell ref="A2:E2"/>
    <mergeCell ref="A3:E3"/>
    <mergeCell ref="A4:E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5" t="s">
        <v>515</v>
      </c>
      <c r="B1" s="79"/>
    </row>
    <row r="2" spans="1:2" ht="12.75">
      <c r="A2" s="79"/>
      <c r="B2" s="79"/>
    </row>
    <row r="3" spans="1:2" ht="12.75">
      <c r="A3" s="277"/>
      <c r="B3" s="277"/>
    </row>
    <row r="4" spans="1:2" ht="15.75">
      <c r="A4" s="81"/>
      <c r="B4" s="281"/>
    </row>
    <row r="5" spans="1:2" ht="15.75">
      <c r="A5" s="81"/>
      <c r="B5" s="281"/>
    </row>
    <row r="6" spans="1:2" s="66" customFormat="1" ht="15.75">
      <c r="A6" s="81" t="str">
        <f>CONCATENATE(Z_ALAPADATOK!B1,". évi eredeti előirányzat BEVÉTELEK")</f>
        <v>2019. évi eredeti előirányzat BEVÉTELEK</v>
      </c>
      <c r="B6" s="277"/>
    </row>
    <row r="7" spans="1:2" s="66" customFormat="1" ht="12.75">
      <c r="A7" s="277"/>
      <c r="B7" s="277"/>
    </row>
    <row r="8" spans="1:2" s="66" customFormat="1" ht="12.75">
      <c r="A8" s="277"/>
      <c r="B8" s="277"/>
    </row>
    <row r="9" spans="1:2" ht="12.75">
      <c r="A9" s="277" t="s">
        <v>456</v>
      </c>
      <c r="B9" s="277" t="s">
        <v>425</v>
      </c>
    </row>
    <row r="10" spans="1:2" ht="12.75">
      <c r="A10" s="277" t="s">
        <v>454</v>
      </c>
      <c r="B10" s="277" t="s">
        <v>431</v>
      </c>
    </row>
    <row r="11" spans="1:2" ht="12.75">
      <c r="A11" s="277" t="s">
        <v>455</v>
      </c>
      <c r="B11" s="277" t="s">
        <v>432</v>
      </c>
    </row>
    <row r="12" spans="1:2" ht="12.75">
      <c r="A12" s="277"/>
      <c r="B12" s="277"/>
    </row>
    <row r="13" spans="1:2" ht="15.75">
      <c r="A13" s="81" t="str">
        <f>+CONCATENATE(LEFT(A6,4),". évi módosított előirányzat BEVÉTELEK")</f>
        <v>2019. évi módosított előirányzat BEVÉTELEK</v>
      </c>
      <c r="B13" s="281"/>
    </row>
    <row r="14" spans="1:2" ht="12.75">
      <c r="A14" s="277"/>
      <c r="B14" s="277"/>
    </row>
    <row r="15" spans="1:2" s="66" customFormat="1" ht="12.75">
      <c r="A15" s="277" t="s">
        <v>457</v>
      </c>
      <c r="B15" s="277" t="s">
        <v>426</v>
      </c>
    </row>
    <row r="16" spans="1:2" ht="12.75">
      <c r="A16" s="277" t="s">
        <v>458</v>
      </c>
      <c r="B16" s="277" t="s">
        <v>433</v>
      </c>
    </row>
    <row r="17" spans="1:2" ht="12.75">
      <c r="A17" s="277" t="s">
        <v>459</v>
      </c>
      <c r="B17" s="277" t="s">
        <v>434</v>
      </c>
    </row>
    <row r="18" spans="1:2" ht="12.75">
      <c r="A18" s="277"/>
      <c r="B18" s="277"/>
    </row>
    <row r="19" spans="1:2" ht="14.25">
      <c r="A19" s="284" t="str">
        <f>+CONCATENATE(LEFT(A6,4),".évi teljesített BEVÉTELEK")</f>
        <v>2019.évi teljesített BEVÉTELEK</v>
      </c>
      <c r="B19" s="281"/>
    </row>
    <row r="20" spans="1:2" ht="12.75">
      <c r="A20" s="277"/>
      <c r="B20" s="277"/>
    </row>
    <row r="21" spans="1:2" ht="12.75">
      <c r="A21" s="277" t="s">
        <v>460</v>
      </c>
      <c r="B21" s="277" t="s">
        <v>427</v>
      </c>
    </row>
    <row r="22" spans="1:2" ht="12.75">
      <c r="A22" s="277" t="s">
        <v>461</v>
      </c>
      <c r="B22" s="277" t="s">
        <v>435</v>
      </c>
    </row>
    <row r="23" spans="1:2" ht="12.75">
      <c r="A23" s="277" t="s">
        <v>462</v>
      </c>
      <c r="B23" s="277" t="s">
        <v>436</v>
      </c>
    </row>
    <row r="24" spans="1:2" ht="12.75">
      <c r="A24" s="277"/>
      <c r="B24" s="277"/>
    </row>
    <row r="25" spans="1:2" ht="15.75">
      <c r="A25" s="81" t="str">
        <f>+CONCATENATE(LEFT(A6,4),". évi eredeti előirányzat KIADÁSOK")</f>
        <v>2019. évi eredeti előirányzat KIADÁSOK</v>
      </c>
      <c r="B25" s="281"/>
    </row>
    <row r="26" spans="1:2" ht="12.75">
      <c r="A26" s="277"/>
      <c r="B26" s="277"/>
    </row>
    <row r="27" spans="1:2" ht="12.75">
      <c r="A27" s="277" t="s">
        <v>463</v>
      </c>
      <c r="B27" s="277" t="s">
        <v>428</v>
      </c>
    </row>
    <row r="28" spans="1:2" ht="12.75">
      <c r="A28" s="277" t="s">
        <v>464</v>
      </c>
      <c r="B28" s="277" t="s">
        <v>437</v>
      </c>
    </row>
    <row r="29" spans="1:2" ht="12.75">
      <c r="A29" s="277" t="s">
        <v>465</v>
      </c>
      <c r="B29" s="277" t="s">
        <v>438</v>
      </c>
    </row>
    <row r="30" spans="1:2" ht="12.75">
      <c r="A30" s="277"/>
      <c r="B30" s="277"/>
    </row>
    <row r="31" spans="1:2" ht="15.75">
      <c r="A31" s="81" t="str">
        <f>+CONCATENATE(LEFT(A6,4),". évi módosított előirányzat KIADÁSOK")</f>
        <v>2019. évi módosított előirányzat KIADÁSOK</v>
      </c>
      <c r="B31" s="281"/>
    </row>
    <row r="32" spans="1:2" ht="12.75">
      <c r="A32" s="277"/>
      <c r="B32" s="277"/>
    </row>
    <row r="33" spans="1:2" ht="12.75">
      <c r="A33" s="277" t="s">
        <v>466</v>
      </c>
      <c r="B33" s="277" t="s">
        <v>429</v>
      </c>
    </row>
    <row r="34" spans="1:2" ht="12.75">
      <c r="A34" s="277" t="s">
        <v>467</v>
      </c>
      <c r="B34" s="277" t="s">
        <v>439</v>
      </c>
    </row>
    <row r="35" spans="1:2" ht="12.75">
      <c r="A35" s="277" t="s">
        <v>468</v>
      </c>
      <c r="B35" s="277" t="s">
        <v>440</v>
      </c>
    </row>
    <row r="36" spans="1:2" ht="12.75">
      <c r="A36" s="277"/>
      <c r="B36" s="277"/>
    </row>
    <row r="37" spans="1:2" ht="15.75">
      <c r="A37" s="283" t="str">
        <f>+CONCATENATE(LEFT(A6,4),".évi teljesített KIADÁSOK")</f>
        <v>2019.évi teljesített KIADÁSOK</v>
      </c>
      <c r="B37" s="281"/>
    </row>
    <row r="38" spans="1:2" ht="12.75">
      <c r="A38" s="277"/>
      <c r="B38" s="277"/>
    </row>
    <row r="39" spans="1:2" ht="12.75">
      <c r="A39" s="277" t="s">
        <v>469</v>
      </c>
      <c r="B39" s="277" t="s">
        <v>430</v>
      </c>
    </row>
    <row r="40" spans="1:2" ht="12.75">
      <c r="A40" s="277" t="s">
        <v>470</v>
      </c>
      <c r="B40" s="277" t="s">
        <v>441</v>
      </c>
    </row>
    <row r="41" spans="1:2" ht="12.75">
      <c r="A41" s="277" t="s">
        <v>471</v>
      </c>
      <c r="B41" s="277" t="s">
        <v>442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zoomScale="120" zoomScaleNormal="120" workbookViewId="0" topLeftCell="A4">
      <selection activeCell="J9" sqref="J9:J19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01" t="s">
        <v>732</v>
      </c>
      <c r="B1" s="887"/>
      <c r="C1" s="887"/>
      <c r="D1" s="887"/>
      <c r="E1" s="887"/>
      <c r="F1" s="887"/>
      <c r="G1" s="887"/>
      <c r="H1" s="887"/>
      <c r="I1" s="887"/>
      <c r="J1" s="887"/>
    </row>
    <row r="2" spans="1:11" ht="14.25" thickBot="1">
      <c r="A2" s="339"/>
      <c r="B2" s="340"/>
      <c r="C2" s="340"/>
      <c r="D2" s="340"/>
      <c r="E2" s="340"/>
      <c r="F2" s="340"/>
      <c r="G2" s="340"/>
      <c r="H2" s="340"/>
      <c r="I2" s="340"/>
      <c r="J2" s="348" t="str">
        <f>'Z_1.tájékoztató_t.'!E5</f>
        <v>Forintban</v>
      </c>
      <c r="K2" s="800" t="str">
        <f>CONCATENATE("2. tájékoztató tábla ",Z_ALAPADATOK!A7," ",Z_ALAPADATOK!B7," ",Z_ALAPADATOK!C7," ",Z_ALAPADATOK!D7," ",Z_ALAPADATOK!E7," ",Z_ALAPADATOK!F7," ",Z_ALAPADATOK!G7," ",Z_ALAPADATOK!H7)</f>
        <v>2. tájékoztató tábla a 9 / 2020. ( VII.10. ) önkormányzati rendelethez</v>
      </c>
    </row>
    <row r="3" spans="1:11" s="395" customFormat="1" ht="26.25" customHeight="1">
      <c r="A3" s="888" t="s">
        <v>51</v>
      </c>
      <c r="B3" s="890" t="s">
        <v>534</v>
      </c>
      <c r="C3" s="890" t="s">
        <v>535</v>
      </c>
      <c r="D3" s="890" t="s">
        <v>536</v>
      </c>
      <c r="E3" s="890" t="s">
        <v>994</v>
      </c>
      <c r="F3" s="748" t="s">
        <v>537</v>
      </c>
      <c r="G3" s="749"/>
      <c r="H3" s="749"/>
      <c r="I3" s="750"/>
      <c r="J3" s="893" t="s">
        <v>538</v>
      </c>
      <c r="K3" s="800"/>
    </row>
    <row r="4" spans="1:11" s="396" customFormat="1" ht="32.25" customHeight="1" thickBot="1">
      <c r="A4" s="889"/>
      <c r="B4" s="891"/>
      <c r="C4" s="891"/>
      <c r="D4" s="892"/>
      <c r="E4" s="892"/>
      <c r="F4" s="751" t="s">
        <v>992</v>
      </c>
      <c r="G4" s="752" t="s">
        <v>993</v>
      </c>
      <c r="H4" s="752" t="s">
        <v>995</v>
      </c>
      <c r="I4" s="753" t="s">
        <v>996</v>
      </c>
      <c r="J4" s="894"/>
      <c r="K4" s="800"/>
    </row>
    <row r="5" spans="1:11" s="397" customFormat="1" ht="13.5" customHeight="1" thickBot="1">
      <c r="A5" s="754" t="s">
        <v>385</v>
      </c>
      <c r="B5" s="755" t="s">
        <v>539</v>
      </c>
      <c r="C5" s="756" t="s">
        <v>387</v>
      </c>
      <c r="D5" s="756" t="s">
        <v>389</v>
      </c>
      <c r="E5" s="756" t="s">
        <v>388</v>
      </c>
      <c r="F5" s="756" t="s">
        <v>390</v>
      </c>
      <c r="G5" s="756" t="s">
        <v>391</v>
      </c>
      <c r="H5" s="756" t="s">
        <v>392</v>
      </c>
      <c r="I5" s="756" t="s">
        <v>423</v>
      </c>
      <c r="J5" s="757" t="s">
        <v>540</v>
      </c>
      <c r="K5" s="800"/>
    </row>
    <row r="6" spans="1:11" ht="33.75" customHeight="1">
      <c r="A6" s="732" t="s">
        <v>6</v>
      </c>
      <c r="B6" s="763" t="s">
        <v>997</v>
      </c>
      <c r="C6" s="738" t="s">
        <v>939</v>
      </c>
      <c r="D6" s="766">
        <v>221558412</v>
      </c>
      <c r="E6" s="768">
        <v>1210012</v>
      </c>
      <c r="F6" s="768">
        <v>13803440</v>
      </c>
      <c r="G6" s="768">
        <v>28390009</v>
      </c>
      <c r="H6" s="768">
        <v>27757017</v>
      </c>
      <c r="I6" s="768">
        <v>150397934</v>
      </c>
      <c r="J6" s="767">
        <f aca="true" t="shared" si="0" ref="J6:J19">SUM(F6:I6)</f>
        <v>220348400</v>
      </c>
      <c r="K6" s="800"/>
    </row>
    <row r="7" spans="1:11" ht="21" customHeight="1">
      <c r="A7" s="733" t="s">
        <v>7</v>
      </c>
      <c r="B7" s="764" t="s">
        <v>978</v>
      </c>
      <c r="C7" s="734"/>
      <c r="D7" s="735">
        <f aca="true" t="shared" si="1" ref="D7:I7">SUM(D8:D18)</f>
        <v>1537142264</v>
      </c>
      <c r="E7" s="735">
        <f t="shared" si="1"/>
        <v>292960857</v>
      </c>
      <c r="F7" s="735">
        <f t="shared" si="1"/>
        <v>814909908</v>
      </c>
      <c r="G7" s="735">
        <f t="shared" si="1"/>
        <v>288586472</v>
      </c>
      <c r="H7" s="735">
        <f t="shared" si="1"/>
        <v>3801588</v>
      </c>
      <c r="I7" s="736">
        <f t="shared" si="1"/>
        <v>0</v>
      </c>
      <c r="J7" s="737">
        <f t="shared" si="0"/>
        <v>1107297968</v>
      </c>
      <c r="K7" s="800"/>
    </row>
    <row r="8" spans="1:11" ht="21" customHeight="1">
      <c r="A8" s="733" t="s">
        <v>8</v>
      </c>
      <c r="B8" s="765" t="s">
        <v>979</v>
      </c>
      <c r="C8" s="738" t="s">
        <v>980</v>
      </c>
      <c r="D8" s="739">
        <v>111603764</v>
      </c>
      <c r="E8" s="739">
        <v>53876397</v>
      </c>
      <c r="F8" s="739"/>
      <c r="G8" s="739"/>
      <c r="H8" s="739"/>
      <c r="I8" s="740"/>
      <c r="J8" s="741">
        <f t="shared" si="0"/>
        <v>0</v>
      </c>
      <c r="K8" s="800"/>
    </row>
    <row r="9" spans="1:11" ht="33" customHeight="1">
      <c r="A9" s="733" t="s">
        <v>9</v>
      </c>
      <c r="B9" s="765" t="s">
        <v>981</v>
      </c>
      <c r="C9" s="738" t="s">
        <v>982</v>
      </c>
      <c r="D9" s="739">
        <v>100498024</v>
      </c>
      <c r="E9" s="739">
        <v>27674678</v>
      </c>
      <c r="F9" s="739">
        <v>72823346</v>
      </c>
      <c r="G9" s="739"/>
      <c r="H9" s="739"/>
      <c r="I9" s="740"/>
      <c r="J9" s="741">
        <f t="shared" si="0"/>
        <v>72823346</v>
      </c>
      <c r="K9" s="800"/>
    </row>
    <row r="10" spans="1:11" ht="21" customHeight="1">
      <c r="A10" s="733" t="s">
        <v>10</v>
      </c>
      <c r="B10" s="765" t="s">
        <v>983</v>
      </c>
      <c r="C10" s="738" t="s">
        <v>980</v>
      </c>
      <c r="D10" s="742">
        <v>126607578</v>
      </c>
      <c r="E10" s="742"/>
      <c r="F10" s="742">
        <v>120456828</v>
      </c>
      <c r="G10" s="742"/>
      <c r="H10" s="742"/>
      <c r="I10" s="743"/>
      <c r="J10" s="741">
        <f t="shared" si="0"/>
        <v>120456828</v>
      </c>
      <c r="K10" s="800"/>
    </row>
    <row r="11" spans="1:11" ht="18" customHeight="1">
      <c r="A11" s="733" t="s">
        <v>11</v>
      </c>
      <c r="B11" s="765" t="s">
        <v>984</v>
      </c>
      <c r="C11" s="738" t="s">
        <v>980</v>
      </c>
      <c r="D11" s="739">
        <v>143695127</v>
      </c>
      <c r="E11" s="739">
        <v>97818168</v>
      </c>
      <c r="F11" s="739">
        <v>37913759</v>
      </c>
      <c r="G11" s="739"/>
      <c r="H11" s="739"/>
      <c r="I11" s="740"/>
      <c r="J11" s="741">
        <f t="shared" si="0"/>
        <v>37913759</v>
      </c>
      <c r="K11" s="800"/>
    </row>
    <row r="12" spans="1:11" ht="21" customHeight="1">
      <c r="A12" s="733" t="s">
        <v>12</v>
      </c>
      <c r="B12" s="765" t="s">
        <v>985</v>
      </c>
      <c r="C12" s="738" t="s">
        <v>980</v>
      </c>
      <c r="D12" s="742">
        <v>270290072</v>
      </c>
      <c r="E12" s="742">
        <v>1576375</v>
      </c>
      <c r="F12" s="742">
        <v>258903397</v>
      </c>
      <c r="G12" s="742"/>
      <c r="H12" s="742"/>
      <c r="I12" s="743"/>
      <c r="J12" s="741">
        <f t="shared" si="0"/>
        <v>258903397</v>
      </c>
      <c r="K12" s="800"/>
    </row>
    <row r="13" spans="1:11" ht="21" customHeight="1">
      <c r="A13" s="733" t="s">
        <v>13</v>
      </c>
      <c r="B13" s="765" t="s">
        <v>986</v>
      </c>
      <c r="C13" s="738" t="s">
        <v>980</v>
      </c>
      <c r="D13" s="742">
        <v>89911335</v>
      </c>
      <c r="E13" s="742">
        <v>1106000</v>
      </c>
      <c r="F13" s="742">
        <v>41589060</v>
      </c>
      <c r="G13" s="742">
        <v>41559060</v>
      </c>
      <c r="H13" s="742"/>
      <c r="I13" s="743"/>
      <c r="J13" s="741">
        <f t="shared" si="0"/>
        <v>83148120</v>
      </c>
      <c r="K13" s="800"/>
    </row>
    <row r="14" spans="1:11" ht="21" customHeight="1">
      <c r="A14" s="733" t="s">
        <v>14</v>
      </c>
      <c r="B14" s="765" t="s">
        <v>987</v>
      </c>
      <c r="C14" s="738" t="s">
        <v>980</v>
      </c>
      <c r="D14" s="742">
        <v>265073945</v>
      </c>
      <c r="E14" s="742">
        <v>2194474</v>
      </c>
      <c r="F14" s="742">
        <v>126484975</v>
      </c>
      <c r="G14" s="742">
        <v>126484976</v>
      </c>
      <c r="H14" s="742"/>
      <c r="I14" s="743"/>
      <c r="J14" s="741">
        <f t="shared" si="0"/>
        <v>252969951</v>
      </c>
      <c r="K14" s="800"/>
    </row>
    <row r="15" spans="1:11" ht="21" customHeight="1">
      <c r="A15" s="733" t="s">
        <v>15</v>
      </c>
      <c r="B15" s="765" t="s">
        <v>903</v>
      </c>
      <c r="C15" s="738" t="s">
        <v>980</v>
      </c>
      <c r="D15" s="742">
        <v>222529693</v>
      </c>
      <c r="E15" s="742">
        <v>551901</v>
      </c>
      <c r="F15" s="742">
        <v>108761656</v>
      </c>
      <c r="G15" s="742">
        <v>108761656</v>
      </c>
      <c r="H15" s="742"/>
      <c r="I15" s="743"/>
      <c r="J15" s="741">
        <f t="shared" si="0"/>
        <v>217523312</v>
      </c>
      <c r="K15" s="800"/>
    </row>
    <row r="16" spans="1:11" ht="21" customHeight="1">
      <c r="A16" s="733" t="s">
        <v>16</v>
      </c>
      <c r="B16" s="765" t="s">
        <v>988</v>
      </c>
      <c r="C16" s="738" t="s">
        <v>989</v>
      </c>
      <c r="D16" s="742">
        <v>150000000</v>
      </c>
      <c r="E16" s="742">
        <v>90142663</v>
      </c>
      <c r="F16" s="742">
        <v>31806672</v>
      </c>
      <c r="G16" s="742"/>
      <c r="H16" s="742"/>
      <c r="I16" s="743"/>
      <c r="J16" s="741">
        <f t="shared" si="0"/>
        <v>31806672</v>
      </c>
      <c r="K16" s="800"/>
    </row>
    <row r="17" spans="1:11" ht="21" customHeight="1">
      <c r="A17" s="733" t="s">
        <v>17</v>
      </c>
      <c r="B17" s="765" t="s">
        <v>990</v>
      </c>
      <c r="C17" s="738" t="s">
        <v>989</v>
      </c>
      <c r="D17" s="742">
        <v>15128926</v>
      </c>
      <c r="E17" s="742">
        <v>7573824</v>
      </c>
      <c r="F17" s="742">
        <v>4389435</v>
      </c>
      <c r="G17" s="742"/>
      <c r="H17" s="742"/>
      <c r="I17" s="743"/>
      <c r="J17" s="741">
        <f t="shared" si="0"/>
        <v>4389435</v>
      </c>
      <c r="K17" s="800"/>
    </row>
    <row r="18" spans="1:11" ht="21" customHeight="1">
      <c r="A18" s="733" t="s">
        <v>18</v>
      </c>
      <c r="B18" s="765" t="s">
        <v>991</v>
      </c>
      <c r="C18" s="738" t="s">
        <v>989</v>
      </c>
      <c r="D18" s="739">
        <v>41803800</v>
      </c>
      <c r="E18" s="739">
        <v>10446377</v>
      </c>
      <c r="F18" s="739">
        <v>11780780</v>
      </c>
      <c r="G18" s="739">
        <v>11780780</v>
      </c>
      <c r="H18" s="739">
        <v>3801588</v>
      </c>
      <c r="I18" s="740"/>
      <c r="J18" s="741">
        <f t="shared" si="0"/>
        <v>27363148</v>
      </c>
      <c r="K18" s="800"/>
    </row>
    <row r="19" spans="1:11" ht="21" customHeight="1" thickBot="1">
      <c r="A19" s="744" t="s">
        <v>19</v>
      </c>
      <c r="B19" s="769" t="s">
        <v>999</v>
      </c>
      <c r="C19" s="745"/>
      <c r="D19" s="746">
        <v>273168712</v>
      </c>
      <c r="E19" s="746">
        <v>2000000</v>
      </c>
      <c r="F19" s="746">
        <v>135584356</v>
      </c>
      <c r="G19" s="746">
        <v>135584356</v>
      </c>
      <c r="H19" s="746">
        <v>0</v>
      </c>
      <c r="I19" s="746">
        <v>0</v>
      </c>
      <c r="J19" s="747">
        <f t="shared" si="0"/>
        <v>271168712</v>
      </c>
      <c r="K19" s="800"/>
    </row>
    <row r="20" spans="1:10" ht="13.5" thickBot="1">
      <c r="A20" s="758" t="s">
        <v>20</v>
      </c>
      <c r="B20" s="759" t="s">
        <v>542</v>
      </c>
      <c r="C20" s="760"/>
      <c r="D20" s="761">
        <f aca="true" t="shared" si="2" ref="D20:J20">D6+D7+D19</f>
        <v>2031869388</v>
      </c>
      <c r="E20" s="761">
        <f t="shared" si="2"/>
        <v>296170869</v>
      </c>
      <c r="F20" s="761">
        <f t="shared" si="2"/>
        <v>964297704</v>
      </c>
      <c r="G20" s="761">
        <f t="shared" si="2"/>
        <v>452560837</v>
      </c>
      <c r="H20" s="761">
        <f t="shared" si="2"/>
        <v>31558605</v>
      </c>
      <c r="I20" s="761">
        <f t="shared" si="2"/>
        <v>150397934</v>
      </c>
      <c r="J20" s="762">
        <f t="shared" si="2"/>
        <v>1598815080</v>
      </c>
    </row>
  </sheetData>
  <sheetProtection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B16" sqref="B16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01" t="s">
        <v>794</v>
      </c>
      <c r="B1" s="887"/>
      <c r="C1" s="887"/>
      <c r="D1" s="887"/>
      <c r="E1" s="887"/>
      <c r="F1" s="887"/>
      <c r="G1" s="887"/>
      <c r="H1" s="887"/>
    </row>
    <row r="2" spans="1:8" ht="12.75">
      <c r="A2" s="339"/>
      <c r="B2" s="340"/>
      <c r="C2" s="340"/>
      <c r="D2" s="340"/>
      <c r="E2" s="340"/>
      <c r="F2" s="340"/>
      <c r="G2" s="340"/>
      <c r="H2" s="340"/>
    </row>
    <row r="3" spans="1:9" s="398" customFormat="1" ht="15.75" thickBot="1">
      <c r="A3" s="539"/>
      <c r="B3" s="338"/>
      <c r="C3" s="338"/>
      <c r="D3" s="338"/>
      <c r="E3" s="338"/>
      <c r="F3" s="338"/>
      <c r="G3" s="338"/>
      <c r="H3" s="348" t="str">
        <f>'Z_2.tájékoztató_t.'!J2</f>
        <v>Forintban</v>
      </c>
      <c r="I3" s="895" t="str">
        <f>CONCATENATE("3. tájékoztató tábla ",Z_ALAPADATOK!A7," ",Z_ALAPADATOK!B7," ",Z_ALAPADATOK!C7," ",Z_ALAPADATOK!D7," ",Z_ALAPADATOK!E7," ",Z_ALAPADATOK!F7," ",Z_ALAPADATOK!G7," ",Z_ALAPADATOK!H7)</f>
        <v>3. tájékoztató tábla a 9 / 2020. ( VII.10. ) önkormányzati rendelethez</v>
      </c>
    </row>
    <row r="4" spans="1:9" s="395" customFormat="1" ht="26.25" customHeight="1">
      <c r="A4" s="896" t="s">
        <v>51</v>
      </c>
      <c r="B4" s="898" t="s">
        <v>543</v>
      </c>
      <c r="C4" s="896" t="s">
        <v>544</v>
      </c>
      <c r="D4" s="896" t="s">
        <v>545</v>
      </c>
      <c r="E4" s="900" t="str">
        <f>CONCATENATE("Hitel, kölcsön állomány ",Z_ALAPADATOK!B1,". dec. 31-én")</f>
        <v>Hitel, kölcsön állomány 2019. dec. 31-én</v>
      </c>
      <c r="F4" s="902" t="s">
        <v>546</v>
      </c>
      <c r="G4" s="903"/>
      <c r="H4" s="904" t="str">
        <f>CONCATENATE(G5," után")</f>
        <v>2021. után</v>
      </c>
      <c r="I4" s="895"/>
    </row>
    <row r="5" spans="1:9" s="396" customFormat="1" ht="40.5" customHeight="1" thickBot="1">
      <c r="A5" s="897"/>
      <c r="B5" s="899"/>
      <c r="C5" s="899"/>
      <c r="D5" s="897"/>
      <c r="E5" s="901"/>
      <c r="F5" s="540" t="str">
        <f>'Z_2.tájékoztató_t.'!F4</f>
        <v>2020.</v>
      </c>
      <c r="G5" s="541" t="str">
        <f>'Z_2.tájékoztató_t.'!G4</f>
        <v>2021.</v>
      </c>
      <c r="H5" s="905"/>
      <c r="I5" s="895"/>
    </row>
    <row r="6" spans="1:9" s="399" customFormat="1" ht="12.75" customHeight="1" thickBot="1">
      <c r="A6" s="542" t="s">
        <v>385</v>
      </c>
      <c r="B6" s="543" t="s">
        <v>386</v>
      </c>
      <c r="C6" s="543" t="s">
        <v>387</v>
      </c>
      <c r="D6" s="544" t="s">
        <v>389</v>
      </c>
      <c r="E6" s="542" t="s">
        <v>388</v>
      </c>
      <c r="F6" s="544" t="s">
        <v>390</v>
      </c>
      <c r="G6" s="544" t="s">
        <v>391</v>
      </c>
      <c r="H6" s="313" t="s">
        <v>392</v>
      </c>
      <c r="I6" s="895"/>
    </row>
    <row r="7" spans="1:9" ht="22.5" customHeight="1" thickBot="1">
      <c r="A7" s="400" t="s">
        <v>6</v>
      </c>
      <c r="B7" s="401" t="s">
        <v>547</v>
      </c>
      <c r="C7" s="402"/>
      <c r="D7" s="403"/>
      <c r="E7" s="404">
        <f>SUM(E8:E13)</f>
        <v>0</v>
      </c>
      <c r="F7" s="405">
        <f>SUM(F8:F13)</f>
        <v>0</v>
      </c>
      <c r="G7" s="405">
        <f>SUM(G8:G13)</f>
        <v>0</v>
      </c>
      <c r="H7" s="406">
        <f>SUM(H8:H13)</f>
        <v>0</v>
      </c>
      <c r="I7" s="895"/>
    </row>
    <row r="8" spans="1:9" ht="22.5" customHeight="1">
      <c r="A8" s="407" t="s">
        <v>7</v>
      </c>
      <c r="B8" s="408" t="s">
        <v>541</v>
      </c>
      <c r="C8" s="409"/>
      <c r="D8" s="410"/>
      <c r="E8" s="411"/>
      <c r="F8" s="21"/>
      <c r="G8" s="21"/>
      <c r="H8" s="412"/>
      <c r="I8" s="895"/>
    </row>
    <row r="9" spans="1:9" ht="22.5" customHeight="1">
      <c r="A9" s="407" t="s">
        <v>8</v>
      </c>
      <c r="B9" s="408" t="s">
        <v>541</v>
      </c>
      <c r="C9" s="409"/>
      <c r="D9" s="410"/>
      <c r="E9" s="411"/>
      <c r="F9" s="21"/>
      <c r="G9" s="21"/>
      <c r="H9" s="412"/>
      <c r="I9" s="895"/>
    </row>
    <row r="10" spans="1:9" ht="22.5" customHeight="1">
      <c r="A10" s="407" t="s">
        <v>9</v>
      </c>
      <c r="B10" s="408" t="s">
        <v>541</v>
      </c>
      <c r="C10" s="409"/>
      <c r="D10" s="410"/>
      <c r="E10" s="411"/>
      <c r="F10" s="21"/>
      <c r="G10" s="21"/>
      <c r="H10" s="412"/>
      <c r="I10" s="895"/>
    </row>
    <row r="11" spans="1:9" ht="22.5" customHeight="1">
      <c r="A11" s="407" t="s">
        <v>10</v>
      </c>
      <c r="B11" s="408" t="s">
        <v>541</v>
      </c>
      <c r="C11" s="409"/>
      <c r="D11" s="410"/>
      <c r="E11" s="411"/>
      <c r="F11" s="21"/>
      <c r="G11" s="21"/>
      <c r="H11" s="412"/>
      <c r="I11" s="895"/>
    </row>
    <row r="12" spans="1:9" ht="22.5" customHeight="1">
      <c r="A12" s="407" t="s">
        <v>11</v>
      </c>
      <c r="B12" s="408" t="s">
        <v>541</v>
      </c>
      <c r="C12" s="409"/>
      <c r="D12" s="410"/>
      <c r="E12" s="411"/>
      <c r="F12" s="21"/>
      <c r="G12" s="21"/>
      <c r="H12" s="412"/>
      <c r="I12" s="895"/>
    </row>
    <row r="13" spans="1:9" ht="22.5" customHeight="1" thickBot="1">
      <c r="A13" s="407" t="s">
        <v>12</v>
      </c>
      <c r="B13" s="408" t="s">
        <v>541</v>
      </c>
      <c r="C13" s="409"/>
      <c r="D13" s="410"/>
      <c r="E13" s="411"/>
      <c r="F13" s="21"/>
      <c r="G13" s="21"/>
      <c r="H13" s="412"/>
      <c r="I13" s="895"/>
    </row>
    <row r="14" spans="1:9" ht="22.5" customHeight="1" thickBot="1">
      <c r="A14" s="400" t="s">
        <v>13</v>
      </c>
      <c r="B14" s="401" t="s">
        <v>548</v>
      </c>
      <c r="C14" s="413"/>
      <c r="D14" s="414"/>
      <c r="E14" s="404">
        <f>SUM(E15:E20)</f>
        <v>84377617</v>
      </c>
      <c r="F14" s="405">
        <f>SUM(F15:F20)</f>
        <v>0</v>
      </c>
      <c r="G14" s="405">
        <f>SUM(G15:G20)</f>
        <v>0</v>
      </c>
      <c r="H14" s="406">
        <f>SUM(H15:H20)</f>
        <v>84377617</v>
      </c>
      <c r="I14" s="895"/>
    </row>
    <row r="15" spans="1:9" ht="22.5" customHeight="1">
      <c r="A15" s="407" t="s">
        <v>14</v>
      </c>
      <c r="B15" s="408" t="s">
        <v>897</v>
      </c>
      <c r="C15" s="409" t="s">
        <v>977</v>
      </c>
      <c r="D15" s="410"/>
      <c r="E15" s="411">
        <v>84377617</v>
      </c>
      <c r="F15" s="21"/>
      <c r="G15" s="21"/>
      <c r="H15" s="412">
        <v>84377617</v>
      </c>
      <c r="I15" s="895"/>
    </row>
    <row r="16" spans="1:9" ht="22.5" customHeight="1">
      <c r="A16" s="407" t="s">
        <v>15</v>
      </c>
      <c r="B16" s="408" t="s">
        <v>541</v>
      </c>
      <c r="C16" s="409"/>
      <c r="D16" s="410"/>
      <c r="E16" s="411"/>
      <c r="F16" s="21"/>
      <c r="G16" s="21"/>
      <c r="H16" s="412"/>
      <c r="I16" s="895"/>
    </row>
    <row r="17" spans="1:9" ht="22.5" customHeight="1">
      <c r="A17" s="407" t="s">
        <v>16</v>
      </c>
      <c r="B17" s="408" t="s">
        <v>541</v>
      </c>
      <c r="C17" s="409"/>
      <c r="D17" s="410"/>
      <c r="E17" s="411"/>
      <c r="F17" s="21"/>
      <c r="G17" s="21"/>
      <c r="H17" s="412"/>
      <c r="I17" s="895"/>
    </row>
    <row r="18" spans="1:9" ht="22.5" customHeight="1">
      <c r="A18" s="407" t="s">
        <v>17</v>
      </c>
      <c r="B18" s="408" t="s">
        <v>541</v>
      </c>
      <c r="C18" s="409"/>
      <c r="D18" s="410"/>
      <c r="E18" s="411"/>
      <c r="F18" s="21"/>
      <c r="G18" s="21"/>
      <c r="H18" s="412"/>
      <c r="I18" s="895"/>
    </row>
    <row r="19" spans="1:9" ht="22.5" customHeight="1">
      <c r="A19" s="407" t="s">
        <v>18</v>
      </c>
      <c r="B19" s="408" t="s">
        <v>541</v>
      </c>
      <c r="C19" s="409"/>
      <c r="D19" s="410"/>
      <c r="E19" s="411"/>
      <c r="F19" s="21"/>
      <c r="G19" s="21"/>
      <c r="H19" s="412"/>
      <c r="I19" s="895"/>
    </row>
    <row r="20" spans="1:9" ht="22.5" customHeight="1" thickBot="1">
      <c r="A20" s="407" t="s">
        <v>19</v>
      </c>
      <c r="B20" s="408" t="s">
        <v>541</v>
      </c>
      <c r="C20" s="409"/>
      <c r="D20" s="410"/>
      <c r="E20" s="411"/>
      <c r="F20" s="21"/>
      <c r="G20" s="21"/>
      <c r="H20" s="412"/>
      <c r="I20" s="895"/>
    </row>
    <row r="21" spans="1:9" ht="22.5" customHeight="1" thickBot="1">
      <c r="A21" s="400" t="s">
        <v>20</v>
      </c>
      <c r="B21" s="401" t="s">
        <v>549</v>
      </c>
      <c r="C21" s="402"/>
      <c r="D21" s="403"/>
      <c r="E21" s="404">
        <f>E7+E14</f>
        <v>84377617</v>
      </c>
      <c r="F21" s="405">
        <f>F7+F14</f>
        <v>0</v>
      </c>
      <c r="G21" s="405">
        <f>G7+G14</f>
        <v>0</v>
      </c>
      <c r="H21" s="406">
        <f>H7+H14</f>
        <v>84377617</v>
      </c>
      <c r="I21" s="895"/>
    </row>
    <row r="22" ht="19.5" customHeight="1"/>
  </sheetData>
  <sheetProtection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I12" sqref="I12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13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2019. december 31-én</v>
      </c>
      <c r="B1" s="914"/>
      <c r="C1" s="914"/>
      <c r="D1" s="914"/>
      <c r="E1" s="914"/>
      <c r="F1" s="914"/>
      <c r="G1" s="914"/>
      <c r="H1" s="914"/>
      <c r="I1" s="914"/>
      <c r="J1" s="895" t="str">
        <f>CONCATENATE("4. tájékoztató tábla ",Z_ALAPADATOK!A7," ",Z_ALAPADATOK!B7," ",Z_ALAPADATOK!C7," ",Z_ALAPADATOK!D7," ",Z_ALAPADATOK!E7," ",Z_ALAPADATOK!F7," ",Z_ALAPADATOK!G7," ",Z_ALAPADATOK!H7)</f>
        <v>4. tájékoztató tábla a 9 / 2020. ( VII.10. ) önkormányzati rendelethez</v>
      </c>
    </row>
    <row r="2" spans="1:10" ht="14.25" thickBot="1">
      <c r="A2" s="67"/>
      <c r="B2" s="67"/>
      <c r="C2" s="67"/>
      <c r="D2" s="67"/>
      <c r="E2" s="67"/>
      <c r="F2" s="67"/>
      <c r="G2" s="67"/>
      <c r="H2" s="915" t="str">
        <f>'Z_3.tájékoztató_t.'!H3</f>
        <v>Forintban</v>
      </c>
      <c r="I2" s="915"/>
      <c r="J2" s="895"/>
    </row>
    <row r="3" spans="1:10" ht="13.5" thickBot="1">
      <c r="A3" s="916" t="s">
        <v>4</v>
      </c>
      <c r="B3" s="918" t="s">
        <v>550</v>
      </c>
      <c r="C3" s="920" t="s">
        <v>551</v>
      </c>
      <c r="D3" s="922" t="s">
        <v>552</v>
      </c>
      <c r="E3" s="923"/>
      <c r="F3" s="923"/>
      <c r="G3" s="923"/>
      <c r="H3" s="923"/>
      <c r="I3" s="924" t="s">
        <v>833</v>
      </c>
      <c r="J3" s="895"/>
    </row>
    <row r="4" spans="1:10" s="46" customFormat="1" ht="42" customHeight="1" thickBot="1">
      <c r="A4" s="917"/>
      <c r="B4" s="919"/>
      <c r="C4" s="921"/>
      <c r="D4" s="331" t="s">
        <v>553</v>
      </c>
      <c r="E4" s="331" t="s">
        <v>554</v>
      </c>
      <c r="F4" s="331" t="s">
        <v>555</v>
      </c>
      <c r="G4" s="545" t="s">
        <v>556</v>
      </c>
      <c r="H4" s="545" t="s">
        <v>557</v>
      </c>
      <c r="I4" s="925"/>
      <c r="J4" s="895"/>
    </row>
    <row r="5" spans="1:10" s="46" customFormat="1" ht="12" customHeight="1" thickBot="1">
      <c r="A5" s="362" t="s">
        <v>385</v>
      </c>
      <c r="B5" s="363" t="s">
        <v>386</v>
      </c>
      <c r="C5" s="363" t="s">
        <v>387</v>
      </c>
      <c r="D5" s="363" t="s">
        <v>389</v>
      </c>
      <c r="E5" s="363" t="s">
        <v>388</v>
      </c>
      <c r="F5" s="363" t="s">
        <v>390</v>
      </c>
      <c r="G5" s="363" t="s">
        <v>391</v>
      </c>
      <c r="H5" s="363" t="s">
        <v>558</v>
      </c>
      <c r="I5" s="365" t="s">
        <v>559</v>
      </c>
      <c r="J5" s="895"/>
    </row>
    <row r="6" spans="1:10" s="46" customFormat="1" ht="18" customHeight="1">
      <c r="A6" s="926" t="s">
        <v>560</v>
      </c>
      <c r="B6" s="927"/>
      <c r="C6" s="927"/>
      <c r="D6" s="927"/>
      <c r="E6" s="927"/>
      <c r="F6" s="927"/>
      <c r="G6" s="927"/>
      <c r="H6" s="927"/>
      <c r="I6" s="928"/>
      <c r="J6" s="895"/>
    </row>
    <row r="7" spans="1:10" ht="15.75" customHeight="1">
      <c r="A7" s="96" t="s">
        <v>6</v>
      </c>
      <c r="B7" s="77" t="s">
        <v>561</v>
      </c>
      <c r="C7" s="68"/>
      <c r="D7" s="68"/>
      <c r="E7" s="68"/>
      <c r="F7" s="68"/>
      <c r="G7" s="415"/>
      <c r="H7" s="416">
        <f aca="true" t="shared" si="0" ref="H7:H13">SUM(D7:G7)</f>
        <v>0</v>
      </c>
      <c r="I7" s="97">
        <f aca="true" t="shared" si="1" ref="I7:I13">C7+H7</f>
        <v>0</v>
      </c>
      <c r="J7" s="895"/>
    </row>
    <row r="8" spans="1:10" ht="22.5">
      <c r="A8" s="96" t="s">
        <v>7</v>
      </c>
      <c r="B8" s="77" t="s">
        <v>137</v>
      </c>
      <c r="C8" s="68">
        <v>9483636</v>
      </c>
      <c r="D8" s="68"/>
      <c r="E8" s="68"/>
      <c r="F8" s="68"/>
      <c r="G8" s="415"/>
      <c r="H8" s="416">
        <f t="shared" si="0"/>
        <v>0</v>
      </c>
      <c r="I8" s="97">
        <f t="shared" si="1"/>
        <v>9483636</v>
      </c>
      <c r="J8" s="895"/>
    </row>
    <row r="9" spans="1:10" ht="22.5">
      <c r="A9" s="96" t="s">
        <v>8</v>
      </c>
      <c r="B9" s="77" t="s">
        <v>138</v>
      </c>
      <c r="C9" s="68"/>
      <c r="D9" s="68"/>
      <c r="E9" s="68"/>
      <c r="F9" s="68"/>
      <c r="G9" s="415"/>
      <c r="H9" s="416">
        <f t="shared" si="0"/>
        <v>0</v>
      </c>
      <c r="I9" s="97">
        <f t="shared" si="1"/>
        <v>0</v>
      </c>
      <c r="J9" s="895"/>
    </row>
    <row r="10" spans="1:10" ht="15.75" customHeight="1">
      <c r="A10" s="96" t="s">
        <v>9</v>
      </c>
      <c r="B10" s="77" t="s">
        <v>139</v>
      </c>
      <c r="C10" s="68"/>
      <c r="D10" s="68"/>
      <c r="E10" s="68"/>
      <c r="F10" s="68"/>
      <c r="G10" s="415"/>
      <c r="H10" s="416">
        <f t="shared" si="0"/>
        <v>0</v>
      </c>
      <c r="I10" s="97">
        <f t="shared" si="1"/>
        <v>0</v>
      </c>
      <c r="J10" s="895"/>
    </row>
    <row r="11" spans="1:10" ht="22.5">
      <c r="A11" s="96" t="s">
        <v>10</v>
      </c>
      <c r="B11" s="77" t="s">
        <v>140</v>
      </c>
      <c r="C11" s="68"/>
      <c r="D11" s="68"/>
      <c r="E11" s="68"/>
      <c r="F11" s="68"/>
      <c r="G11" s="415"/>
      <c r="H11" s="416">
        <f t="shared" si="0"/>
        <v>0</v>
      </c>
      <c r="I11" s="97">
        <f t="shared" si="1"/>
        <v>0</v>
      </c>
      <c r="J11" s="895"/>
    </row>
    <row r="12" spans="1:10" ht="15.75" customHeight="1">
      <c r="A12" s="98" t="s">
        <v>11</v>
      </c>
      <c r="B12" s="99" t="s">
        <v>562</v>
      </c>
      <c r="C12" s="69">
        <v>23590339</v>
      </c>
      <c r="D12" s="69">
        <v>491911</v>
      </c>
      <c r="E12" s="69"/>
      <c r="F12" s="69"/>
      <c r="G12" s="417"/>
      <c r="H12" s="416">
        <f t="shared" si="0"/>
        <v>491911</v>
      </c>
      <c r="I12" s="97">
        <f t="shared" si="1"/>
        <v>24082250</v>
      </c>
      <c r="J12" s="895"/>
    </row>
    <row r="13" spans="1:10" ht="15.75" customHeight="1" thickBot="1">
      <c r="A13" s="418" t="s">
        <v>12</v>
      </c>
      <c r="B13" s="419" t="s">
        <v>563</v>
      </c>
      <c r="C13" s="420">
        <v>6436927</v>
      </c>
      <c r="D13" s="420"/>
      <c r="E13" s="420"/>
      <c r="F13" s="420"/>
      <c r="G13" s="421"/>
      <c r="H13" s="416">
        <f t="shared" si="0"/>
        <v>0</v>
      </c>
      <c r="I13" s="97">
        <f t="shared" si="1"/>
        <v>6436927</v>
      </c>
      <c r="J13" s="895"/>
    </row>
    <row r="14" spans="1:10" s="70" customFormat="1" ht="18" customHeight="1" thickBot="1">
      <c r="A14" s="909" t="s">
        <v>564</v>
      </c>
      <c r="B14" s="910"/>
      <c r="C14" s="100">
        <f aca="true" t="shared" si="2" ref="C14:I14">SUM(C7:C13)</f>
        <v>39510902</v>
      </c>
      <c r="D14" s="100">
        <f>SUM(D7:D13)</f>
        <v>491911</v>
      </c>
      <c r="E14" s="100">
        <f t="shared" si="2"/>
        <v>0</v>
      </c>
      <c r="F14" s="100">
        <f t="shared" si="2"/>
        <v>0</v>
      </c>
      <c r="G14" s="422">
        <f t="shared" si="2"/>
        <v>0</v>
      </c>
      <c r="H14" s="422">
        <f t="shared" si="2"/>
        <v>491911</v>
      </c>
      <c r="I14" s="101">
        <f t="shared" si="2"/>
        <v>40002813</v>
      </c>
      <c r="J14" s="895"/>
    </row>
    <row r="15" spans="1:10" s="67" customFormat="1" ht="18" customHeight="1">
      <c r="A15" s="906" t="s">
        <v>565</v>
      </c>
      <c r="B15" s="907"/>
      <c r="C15" s="907"/>
      <c r="D15" s="907"/>
      <c r="E15" s="907"/>
      <c r="F15" s="907"/>
      <c r="G15" s="907"/>
      <c r="H15" s="907"/>
      <c r="I15" s="908"/>
      <c r="J15" s="895"/>
    </row>
    <row r="16" spans="1:10" s="67" customFormat="1" ht="12.75">
      <c r="A16" s="96" t="s">
        <v>6</v>
      </c>
      <c r="B16" s="77" t="s">
        <v>566</v>
      </c>
      <c r="C16" s="68"/>
      <c r="D16" s="68"/>
      <c r="E16" s="68"/>
      <c r="F16" s="68"/>
      <c r="G16" s="415"/>
      <c r="H16" s="416">
        <f>SUM(D16:G16)</f>
        <v>0</v>
      </c>
      <c r="I16" s="97">
        <f>C16+H16</f>
        <v>0</v>
      </c>
      <c r="J16" s="895"/>
    </row>
    <row r="17" spans="1:10" ht="13.5" thickBot="1">
      <c r="A17" s="418" t="s">
        <v>7</v>
      </c>
      <c r="B17" s="419" t="s">
        <v>563</v>
      </c>
      <c r="C17" s="420"/>
      <c r="D17" s="420"/>
      <c r="E17" s="420"/>
      <c r="F17" s="420"/>
      <c r="G17" s="421"/>
      <c r="H17" s="416">
        <f>SUM(D17:G17)</f>
        <v>0</v>
      </c>
      <c r="I17" s="423">
        <f>C17+H17</f>
        <v>0</v>
      </c>
      <c r="J17" s="895"/>
    </row>
    <row r="18" spans="1:10" ht="15.75" customHeight="1" thickBot="1">
      <c r="A18" s="909" t="s">
        <v>567</v>
      </c>
      <c r="B18" s="910"/>
      <c r="C18" s="100">
        <f aca="true" t="shared" si="3" ref="C18:I18">SUM(C16:C17)</f>
        <v>0</v>
      </c>
      <c r="D18" s="100">
        <f t="shared" si="3"/>
        <v>0</v>
      </c>
      <c r="E18" s="100">
        <f t="shared" si="3"/>
        <v>0</v>
      </c>
      <c r="F18" s="100">
        <f t="shared" si="3"/>
        <v>0</v>
      </c>
      <c r="G18" s="422">
        <f t="shared" si="3"/>
        <v>0</v>
      </c>
      <c r="H18" s="422">
        <f t="shared" si="3"/>
        <v>0</v>
      </c>
      <c r="I18" s="101">
        <f t="shared" si="3"/>
        <v>0</v>
      </c>
      <c r="J18" s="895"/>
    </row>
    <row r="19" spans="1:10" ht="18" customHeight="1" thickBot="1">
      <c r="A19" s="911" t="s">
        <v>568</v>
      </c>
      <c r="B19" s="912"/>
      <c r="C19" s="424">
        <f aca="true" t="shared" si="4" ref="C19:I19">C14+C18</f>
        <v>39510902</v>
      </c>
      <c r="D19" s="424">
        <f t="shared" si="4"/>
        <v>491911</v>
      </c>
      <c r="E19" s="424">
        <f t="shared" si="4"/>
        <v>0</v>
      </c>
      <c r="F19" s="424">
        <f t="shared" si="4"/>
        <v>0</v>
      </c>
      <c r="G19" s="424">
        <f t="shared" si="4"/>
        <v>0</v>
      </c>
      <c r="H19" s="424">
        <f t="shared" si="4"/>
        <v>491911</v>
      </c>
      <c r="I19" s="101">
        <f t="shared" si="4"/>
        <v>40002813</v>
      </c>
      <c r="J19" s="895"/>
    </row>
  </sheetData>
  <sheetProtection sheet="1"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C41" sqref="C41"/>
    </sheetView>
  </sheetViews>
  <sheetFormatPr defaultColWidth="9.00390625" defaultRowHeight="12.75"/>
  <cols>
    <col min="1" max="1" width="5.875" style="442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30" t="str">
        <f>CONCATENATE("5. tájékoztató tábla ",Z_ALAPADATOK!A7," ",Z_ALAPADATOK!B7," ",Z_ALAPADATOK!C7," ",Z_ALAPADATOK!D7," ",Z_ALAPADATOK!E7," ",Z_ALAPADATOK!F7," ",Z_ALAPADATOK!G7," ",Z_ALAPADATOK!H7)</f>
        <v>5. tájékoztató tábla a 9 / 2020. ( VII.10. ) önkormányzati rendelethez</v>
      </c>
      <c r="B1" s="803"/>
      <c r="C1" s="803"/>
      <c r="D1" s="803"/>
    </row>
    <row r="2" spans="1:4" ht="12.75">
      <c r="A2" s="547"/>
      <c r="B2" s="548"/>
      <c r="C2" s="548"/>
      <c r="D2" s="548"/>
    </row>
    <row r="3" spans="1:4" ht="15.75">
      <c r="A3" s="913" t="s">
        <v>737</v>
      </c>
      <c r="B3" s="887"/>
      <c r="C3" s="887"/>
      <c r="D3" s="887"/>
    </row>
    <row r="4" spans="1:4" ht="15.75">
      <c r="A4" s="913" t="s">
        <v>738</v>
      </c>
      <c r="B4" s="887"/>
      <c r="C4" s="887"/>
      <c r="D4" s="887"/>
    </row>
    <row r="5" spans="1:4" s="398" customFormat="1" ht="15.75" thickBot="1">
      <c r="A5" s="539"/>
      <c r="B5" s="338"/>
      <c r="C5" s="338"/>
      <c r="D5" s="348" t="str">
        <f>'Z_3.tájékoztató_t.'!H3</f>
        <v>Forintban</v>
      </c>
    </row>
    <row r="6" spans="1:4" s="46" customFormat="1" ht="48" customHeight="1" thickBot="1">
      <c r="A6" s="324" t="s">
        <v>4</v>
      </c>
      <c r="B6" s="331" t="s">
        <v>5</v>
      </c>
      <c r="C6" s="331" t="s">
        <v>569</v>
      </c>
      <c r="D6" s="549" t="s">
        <v>570</v>
      </c>
    </row>
    <row r="7" spans="1:4" s="46" customFormat="1" ht="13.5" customHeight="1" thickBot="1">
      <c r="A7" s="550" t="s">
        <v>385</v>
      </c>
      <c r="B7" s="551" t="s">
        <v>386</v>
      </c>
      <c r="C7" s="551" t="s">
        <v>387</v>
      </c>
      <c r="D7" s="552" t="s">
        <v>389</v>
      </c>
    </row>
    <row r="8" spans="1:4" ht="18" customHeight="1">
      <c r="A8" s="425" t="s">
        <v>6</v>
      </c>
      <c r="B8" s="426" t="s">
        <v>571</v>
      </c>
      <c r="C8" s="427">
        <v>0</v>
      </c>
      <c r="D8" s="428">
        <v>0</v>
      </c>
    </row>
    <row r="9" spans="1:4" ht="18" customHeight="1">
      <c r="A9" s="429" t="s">
        <v>7</v>
      </c>
      <c r="B9" s="430" t="s">
        <v>572</v>
      </c>
      <c r="C9" s="427">
        <v>0</v>
      </c>
      <c r="D9" s="428">
        <v>0</v>
      </c>
    </row>
    <row r="10" spans="1:4" ht="18" customHeight="1">
      <c r="A10" s="429" t="s">
        <v>8</v>
      </c>
      <c r="B10" s="430" t="s">
        <v>573</v>
      </c>
      <c r="C10" s="427">
        <v>0</v>
      </c>
      <c r="D10" s="428">
        <v>0</v>
      </c>
    </row>
    <row r="11" spans="1:4" ht="18" customHeight="1">
      <c r="A11" s="429" t="s">
        <v>9</v>
      </c>
      <c r="B11" s="430" t="s">
        <v>574</v>
      </c>
      <c r="C11" s="427">
        <v>0</v>
      </c>
      <c r="D11" s="428">
        <v>0</v>
      </c>
    </row>
    <row r="12" spans="1:4" ht="18" customHeight="1">
      <c r="A12" s="433" t="s">
        <v>10</v>
      </c>
      <c r="B12" s="430" t="s">
        <v>575</v>
      </c>
      <c r="C12" s="427">
        <v>0</v>
      </c>
      <c r="D12" s="428">
        <v>0</v>
      </c>
    </row>
    <row r="13" spans="1:4" ht="18" customHeight="1">
      <c r="A13" s="429" t="s">
        <v>11</v>
      </c>
      <c r="B13" s="430" t="s">
        <v>576</v>
      </c>
      <c r="C13" s="427">
        <v>0</v>
      </c>
      <c r="D13" s="428">
        <v>0</v>
      </c>
    </row>
    <row r="14" spans="1:4" ht="18" customHeight="1">
      <c r="A14" s="433" t="s">
        <v>12</v>
      </c>
      <c r="B14" s="434" t="s">
        <v>577</v>
      </c>
      <c r="C14" s="427">
        <v>0</v>
      </c>
      <c r="D14" s="428">
        <v>0</v>
      </c>
    </row>
    <row r="15" spans="1:4" ht="18" customHeight="1">
      <c r="A15" s="433" t="s">
        <v>13</v>
      </c>
      <c r="B15" s="434" t="s">
        <v>578</v>
      </c>
      <c r="C15" s="427">
        <v>0</v>
      </c>
      <c r="D15" s="428">
        <v>0</v>
      </c>
    </row>
    <row r="16" spans="1:4" ht="18" customHeight="1">
      <c r="A16" s="429" t="s">
        <v>14</v>
      </c>
      <c r="B16" s="434" t="s">
        <v>579</v>
      </c>
      <c r="C16" s="427">
        <v>0</v>
      </c>
      <c r="D16" s="428">
        <v>0</v>
      </c>
    </row>
    <row r="17" spans="1:4" ht="18" customHeight="1">
      <c r="A17" s="433" t="s">
        <v>15</v>
      </c>
      <c r="B17" s="434" t="s">
        <v>580</v>
      </c>
      <c r="C17" s="427">
        <v>0</v>
      </c>
      <c r="D17" s="428">
        <v>0</v>
      </c>
    </row>
    <row r="18" spans="1:4" ht="22.5">
      <c r="A18" s="429" t="s">
        <v>16</v>
      </c>
      <c r="B18" s="434" t="s">
        <v>581</v>
      </c>
      <c r="C18" s="427">
        <v>0</v>
      </c>
      <c r="D18" s="428">
        <v>0</v>
      </c>
    </row>
    <row r="19" spans="1:4" ht="18" customHeight="1">
      <c r="A19" s="433" t="s">
        <v>17</v>
      </c>
      <c r="B19" s="430" t="s">
        <v>582</v>
      </c>
      <c r="C19" s="427">
        <v>0</v>
      </c>
      <c r="D19" s="428">
        <v>0</v>
      </c>
    </row>
    <row r="20" spans="1:4" ht="18" customHeight="1">
      <c r="A20" s="429" t="s">
        <v>18</v>
      </c>
      <c r="B20" s="430" t="s">
        <v>583</v>
      </c>
      <c r="C20" s="427">
        <v>0</v>
      </c>
      <c r="D20" s="428">
        <v>0</v>
      </c>
    </row>
    <row r="21" spans="1:4" ht="18" customHeight="1">
      <c r="A21" s="433" t="s">
        <v>19</v>
      </c>
      <c r="B21" s="430" t="s">
        <v>584</v>
      </c>
      <c r="C21" s="427">
        <v>0</v>
      </c>
      <c r="D21" s="428">
        <v>0</v>
      </c>
    </row>
    <row r="22" spans="1:4" ht="18" customHeight="1">
      <c r="A22" s="429" t="s">
        <v>20</v>
      </c>
      <c r="B22" s="430" t="s">
        <v>585</v>
      </c>
      <c r="C22" s="427">
        <v>0</v>
      </c>
      <c r="D22" s="428">
        <v>0</v>
      </c>
    </row>
    <row r="23" spans="1:4" ht="18" customHeight="1">
      <c r="A23" s="433" t="s">
        <v>21</v>
      </c>
      <c r="B23" s="430" t="s">
        <v>586</v>
      </c>
      <c r="C23" s="427">
        <v>0</v>
      </c>
      <c r="D23" s="428">
        <v>0</v>
      </c>
    </row>
    <row r="24" spans="1:4" ht="18" customHeight="1">
      <c r="A24" s="429" t="s">
        <v>22</v>
      </c>
      <c r="B24" s="435"/>
      <c r="C24" s="431"/>
      <c r="D24" s="432"/>
    </row>
    <row r="25" spans="1:4" ht="18" customHeight="1">
      <c r="A25" s="433" t="s">
        <v>23</v>
      </c>
      <c r="B25" s="435"/>
      <c r="C25" s="431"/>
      <c r="D25" s="432"/>
    </row>
    <row r="26" spans="1:4" ht="18" customHeight="1">
      <c r="A26" s="429" t="s">
        <v>24</v>
      </c>
      <c r="B26" s="435"/>
      <c r="C26" s="431"/>
      <c r="D26" s="432"/>
    </row>
    <row r="27" spans="1:4" ht="18" customHeight="1">
      <c r="A27" s="433" t="s">
        <v>25</v>
      </c>
      <c r="B27" s="435"/>
      <c r="C27" s="431"/>
      <c r="D27" s="432"/>
    </row>
    <row r="28" spans="1:4" ht="18" customHeight="1">
      <c r="A28" s="429" t="s">
        <v>26</v>
      </c>
      <c r="B28" s="435"/>
      <c r="C28" s="431"/>
      <c r="D28" s="432"/>
    </row>
    <row r="29" spans="1:4" ht="18" customHeight="1">
      <c r="A29" s="433" t="s">
        <v>27</v>
      </c>
      <c r="B29" s="435"/>
      <c r="C29" s="431"/>
      <c r="D29" s="432"/>
    </row>
    <row r="30" spans="1:4" ht="18" customHeight="1">
      <c r="A30" s="429" t="s">
        <v>28</v>
      </c>
      <c r="B30" s="435"/>
      <c r="C30" s="431"/>
      <c r="D30" s="432"/>
    </row>
    <row r="31" spans="1:4" ht="18" customHeight="1">
      <c r="A31" s="433" t="s">
        <v>29</v>
      </c>
      <c r="B31" s="435"/>
      <c r="C31" s="431"/>
      <c r="D31" s="432"/>
    </row>
    <row r="32" spans="1:4" ht="18" customHeight="1" thickBot="1">
      <c r="A32" s="436" t="s">
        <v>30</v>
      </c>
      <c r="B32" s="437"/>
      <c r="C32" s="438"/>
      <c r="D32" s="439"/>
    </row>
    <row r="33" spans="1:4" ht="18" customHeight="1" thickBot="1">
      <c r="A33" s="440" t="s">
        <v>31</v>
      </c>
      <c r="B33" s="546" t="s">
        <v>37</v>
      </c>
      <c r="C33" s="405">
        <f>+C8+C9+C10+C11+C12+C19+C20+C21+C22+C23+C24+C25+C26+C27+C28+C29+C30+C31+C32</f>
        <v>0</v>
      </c>
      <c r="D33" s="406">
        <f>+D8+D9+D10+D11+D12+D19+D20+D21+D22+D23+D24+D25+D26+D27+D28+D29+D30+D31+D32</f>
        <v>0</v>
      </c>
    </row>
    <row r="34" spans="1:4" ht="25.5" customHeight="1">
      <c r="A34" s="441"/>
      <c r="B34" s="929" t="s">
        <v>587</v>
      </c>
      <c r="C34" s="929"/>
      <c r="D34" s="929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12" zoomScaleNormal="112" workbookViewId="0" topLeftCell="A7">
      <selection activeCell="E26" sqref="E26:E27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33" t="str">
        <f>CONCATENATE("6. tájékoztató tábla ",Z_ALAPADATOK!A7," ",Z_ALAPADATOK!B7," ",Z_ALAPADATOK!C7," ",Z_ALAPADATOK!D7," ",Z_ALAPADATOK!E7," ",Z_ALAPADATOK!F7," ",Z_ALAPADATOK!G7," ",Z_ALAPADATOK!H7)</f>
        <v>6. tájékoztató tábla a 9 / 2020. ( VII.10. ) önkormányzati rendelethez</v>
      </c>
      <c r="B1" s="933"/>
      <c r="C1" s="933"/>
      <c r="D1" s="933"/>
      <c r="E1" s="933"/>
    </row>
    <row r="2" spans="1:5" ht="12.75">
      <c r="A2" s="67"/>
      <c r="B2" s="67"/>
      <c r="C2" s="67"/>
      <c r="D2" s="67"/>
      <c r="E2" s="67"/>
    </row>
    <row r="3" spans="1:5" ht="15.75">
      <c r="A3" s="934" t="s">
        <v>739</v>
      </c>
      <c r="B3" s="934"/>
      <c r="C3" s="934"/>
      <c r="D3" s="934"/>
      <c r="E3" s="934"/>
    </row>
    <row r="4" spans="1:5" ht="15.75">
      <c r="A4" s="934" t="str">
        <f>CONCATENATE("A ",Z_ALAPADATOK!B1,". évi céljelleggel juttatott támogatások felhasználásáról")</f>
        <v>A 2019. évi céljelleggel juttatott támogatások felhasználásáról</v>
      </c>
      <c r="B4" s="934"/>
      <c r="C4" s="934"/>
      <c r="D4" s="934"/>
      <c r="E4" s="934"/>
    </row>
    <row r="5" spans="1:5" ht="12.75">
      <c r="A5" s="67"/>
      <c r="B5" s="67"/>
      <c r="C5" s="67"/>
      <c r="D5" s="67"/>
      <c r="E5" s="67"/>
    </row>
    <row r="6" spans="1:5" ht="14.25" thickBot="1">
      <c r="A6" s="67"/>
      <c r="B6" s="67"/>
      <c r="C6" s="553"/>
      <c r="D6" s="553"/>
      <c r="E6" s="553" t="str">
        <f>'Z_5.tájékoztató_t.'!D5</f>
        <v>Forintban</v>
      </c>
    </row>
    <row r="7" spans="1:5" ht="42.75" customHeight="1" thickBot="1">
      <c r="A7" s="554" t="s">
        <v>51</v>
      </c>
      <c r="B7" s="555" t="s">
        <v>588</v>
      </c>
      <c r="C7" s="555" t="s">
        <v>589</v>
      </c>
      <c r="D7" s="556" t="s">
        <v>590</v>
      </c>
      <c r="E7" s="557" t="s">
        <v>591</v>
      </c>
    </row>
    <row r="8" spans="1:5" ht="15.75" customHeight="1">
      <c r="A8" s="443" t="s">
        <v>6</v>
      </c>
      <c r="B8" s="444" t="s">
        <v>945</v>
      </c>
      <c r="C8" s="444" t="s">
        <v>946</v>
      </c>
      <c r="D8" s="445">
        <v>90861553</v>
      </c>
      <c r="E8" s="446">
        <v>88053205</v>
      </c>
    </row>
    <row r="9" spans="1:5" ht="15.75" customHeight="1">
      <c r="A9" s="447" t="s">
        <v>7</v>
      </c>
      <c r="B9" s="448" t="s">
        <v>947</v>
      </c>
      <c r="C9" s="727" t="s">
        <v>946</v>
      </c>
      <c r="D9" s="449">
        <v>7846759</v>
      </c>
      <c r="E9" s="450">
        <v>7846759</v>
      </c>
    </row>
    <row r="10" spans="1:5" ht="15.75" customHeight="1">
      <c r="A10" s="447" t="s">
        <v>8</v>
      </c>
      <c r="B10" s="448" t="s">
        <v>947</v>
      </c>
      <c r="C10" s="725" t="s">
        <v>967</v>
      </c>
      <c r="D10" s="449">
        <v>200000</v>
      </c>
      <c r="E10" s="450">
        <v>116725</v>
      </c>
    </row>
    <row r="11" spans="1:5" ht="15.75" customHeight="1">
      <c r="A11" s="447" t="s">
        <v>9</v>
      </c>
      <c r="B11" s="725" t="s">
        <v>948</v>
      </c>
      <c r="C11" s="725" t="s">
        <v>949</v>
      </c>
      <c r="D11" s="449">
        <v>800000</v>
      </c>
      <c r="E11" s="450">
        <v>730000</v>
      </c>
    </row>
    <row r="12" spans="1:5" ht="15.75" customHeight="1">
      <c r="A12" s="447" t="s">
        <v>10</v>
      </c>
      <c r="B12" s="726" t="s">
        <v>950</v>
      </c>
      <c r="C12" s="726" t="s">
        <v>951</v>
      </c>
      <c r="D12" s="449">
        <v>321833</v>
      </c>
      <c r="E12" s="450">
        <v>321833</v>
      </c>
    </row>
    <row r="13" spans="1:5" ht="15.75" customHeight="1">
      <c r="A13" s="447" t="s">
        <v>11</v>
      </c>
      <c r="B13" s="725" t="s">
        <v>954</v>
      </c>
      <c r="C13" s="727" t="s">
        <v>953</v>
      </c>
      <c r="D13" s="449">
        <v>14940</v>
      </c>
      <c r="E13" s="450">
        <v>14940</v>
      </c>
    </row>
    <row r="14" spans="1:5" ht="15.75" customHeight="1">
      <c r="A14" s="447" t="s">
        <v>12</v>
      </c>
      <c r="B14" s="725" t="s">
        <v>965</v>
      </c>
      <c r="C14" s="725" t="s">
        <v>955</v>
      </c>
      <c r="D14" s="449">
        <v>266700</v>
      </c>
      <c r="E14" s="450">
        <v>266700</v>
      </c>
    </row>
    <row r="15" spans="1:5" ht="15.75" customHeight="1">
      <c r="A15" s="447" t="s">
        <v>13</v>
      </c>
      <c r="B15" s="725" t="s">
        <v>956</v>
      </c>
      <c r="C15" s="727" t="s">
        <v>946</v>
      </c>
      <c r="D15" s="449">
        <v>150000</v>
      </c>
      <c r="E15" s="450">
        <v>129000</v>
      </c>
    </row>
    <row r="16" spans="1:5" ht="15.75" customHeight="1">
      <c r="A16" s="447" t="s">
        <v>14</v>
      </c>
      <c r="B16" s="725" t="s">
        <v>952</v>
      </c>
      <c r="C16" s="727" t="s">
        <v>946</v>
      </c>
      <c r="D16" s="729">
        <v>2500000</v>
      </c>
      <c r="E16" s="728">
        <v>2500000</v>
      </c>
    </row>
    <row r="17" spans="1:5" ht="15.75" customHeight="1">
      <c r="A17" s="447" t="s">
        <v>15</v>
      </c>
      <c r="B17" s="725" t="s">
        <v>957</v>
      </c>
      <c r="C17" s="727" t="s">
        <v>946</v>
      </c>
      <c r="D17" s="729">
        <v>100000</v>
      </c>
      <c r="E17" s="728">
        <v>100000</v>
      </c>
    </row>
    <row r="18" spans="1:5" ht="15.75" customHeight="1">
      <c r="A18" s="447" t="s">
        <v>16</v>
      </c>
      <c r="B18" s="725" t="s">
        <v>958</v>
      </c>
      <c r="C18" s="727" t="s">
        <v>946</v>
      </c>
      <c r="D18" s="729">
        <v>100000</v>
      </c>
      <c r="E18" s="728">
        <v>100000</v>
      </c>
    </row>
    <row r="19" spans="1:5" ht="15.75" customHeight="1">
      <c r="A19" s="447" t="s">
        <v>17</v>
      </c>
      <c r="B19" s="725" t="s">
        <v>959</v>
      </c>
      <c r="C19" s="727" t="s">
        <v>946</v>
      </c>
      <c r="D19" s="729">
        <v>300000</v>
      </c>
      <c r="E19" s="728">
        <v>300000</v>
      </c>
    </row>
    <row r="20" spans="1:5" ht="15.75" customHeight="1">
      <c r="A20" s="447" t="s">
        <v>18</v>
      </c>
      <c r="B20" s="725" t="s">
        <v>960</v>
      </c>
      <c r="C20" s="727" t="s">
        <v>946</v>
      </c>
      <c r="D20" s="729">
        <v>150000</v>
      </c>
      <c r="E20" s="728">
        <v>150000</v>
      </c>
    </row>
    <row r="21" spans="1:5" ht="15.75" customHeight="1">
      <c r="A21" s="447" t="s">
        <v>19</v>
      </c>
      <c r="B21" s="725" t="s">
        <v>961</v>
      </c>
      <c r="C21" s="727" t="s">
        <v>946</v>
      </c>
      <c r="D21" s="729">
        <v>300000</v>
      </c>
      <c r="E21" s="728">
        <v>300000</v>
      </c>
    </row>
    <row r="22" spans="1:5" ht="15.75" customHeight="1">
      <c r="A22" s="447" t="s">
        <v>20</v>
      </c>
      <c r="B22" s="725" t="s">
        <v>962</v>
      </c>
      <c r="C22" s="727" t="s">
        <v>946</v>
      </c>
      <c r="D22" s="729">
        <v>400000</v>
      </c>
      <c r="E22" s="728">
        <v>400000</v>
      </c>
    </row>
    <row r="23" spans="1:5" ht="15.75" customHeight="1">
      <c r="A23" s="447" t="s">
        <v>21</v>
      </c>
      <c r="B23" s="725" t="s">
        <v>963</v>
      </c>
      <c r="C23" s="727" t="s">
        <v>946</v>
      </c>
      <c r="D23" s="729">
        <v>350000</v>
      </c>
      <c r="E23" s="728">
        <v>350000</v>
      </c>
    </row>
    <row r="24" spans="1:5" ht="15.75" customHeight="1">
      <c r="A24" s="447" t="s">
        <v>22</v>
      </c>
      <c r="B24" s="725" t="s">
        <v>964</v>
      </c>
      <c r="C24" s="727" t="s">
        <v>946</v>
      </c>
      <c r="D24" s="449">
        <v>868360</v>
      </c>
      <c r="E24" s="450">
        <v>555979</v>
      </c>
    </row>
    <row r="25" spans="1:5" ht="15.75" customHeight="1">
      <c r="A25" s="447" t="s">
        <v>23</v>
      </c>
      <c r="B25" s="725" t="s">
        <v>952</v>
      </c>
      <c r="C25" s="725" t="s">
        <v>966</v>
      </c>
      <c r="D25" s="449">
        <v>1000000</v>
      </c>
      <c r="E25" s="450">
        <v>1000000</v>
      </c>
    </row>
    <row r="26" spans="1:5" ht="15.75" customHeight="1">
      <c r="A26" s="447" t="s">
        <v>24</v>
      </c>
      <c r="B26" s="448" t="s">
        <v>969</v>
      </c>
      <c r="C26" s="448" t="s">
        <v>968</v>
      </c>
      <c r="D26" s="449">
        <v>24900000</v>
      </c>
      <c r="E26" s="450">
        <v>24900000</v>
      </c>
    </row>
    <row r="27" spans="1:5" ht="15.75" customHeight="1">
      <c r="A27" s="447" t="s">
        <v>25</v>
      </c>
      <c r="B27" s="448" t="s">
        <v>970</v>
      </c>
      <c r="C27" s="448" t="s">
        <v>968</v>
      </c>
      <c r="D27" s="449">
        <v>9658350</v>
      </c>
      <c r="E27" s="450">
        <v>9658350</v>
      </c>
    </row>
    <row r="28" spans="1:5" ht="15.75" customHeight="1">
      <c r="A28" s="447" t="s">
        <v>26</v>
      </c>
      <c r="B28" s="448" t="s">
        <v>972</v>
      </c>
      <c r="C28" s="448" t="s">
        <v>971</v>
      </c>
      <c r="D28" s="449">
        <v>116840</v>
      </c>
      <c r="E28" s="450">
        <v>90000</v>
      </c>
    </row>
    <row r="29" spans="1:5" ht="15.75" customHeight="1">
      <c r="A29" s="447" t="s">
        <v>27</v>
      </c>
      <c r="B29" s="448"/>
      <c r="C29" s="448"/>
      <c r="D29" s="449"/>
      <c r="E29" s="450"/>
    </row>
    <row r="30" spans="1:5" ht="15.75" customHeight="1">
      <c r="A30" s="447" t="s">
        <v>28</v>
      </c>
      <c r="B30" s="448"/>
      <c r="C30" s="448"/>
      <c r="D30" s="449"/>
      <c r="E30" s="450"/>
    </row>
    <row r="31" spans="1:5" ht="15.75" customHeight="1">
      <c r="A31" s="447" t="s">
        <v>29</v>
      </c>
      <c r="B31" s="448"/>
      <c r="C31" s="448"/>
      <c r="D31" s="449"/>
      <c r="E31" s="450"/>
    </row>
    <row r="32" spans="1:5" ht="15.75" customHeight="1">
      <c r="A32" s="447" t="s">
        <v>30</v>
      </c>
      <c r="B32" s="448"/>
      <c r="C32" s="448"/>
      <c r="D32" s="449"/>
      <c r="E32" s="450"/>
    </row>
    <row r="33" spans="1:5" ht="15.75" customHeight="1">
      <c r="A33" s="447" t="s">
        <v>31</v>
      </c>
      <c r="B33" s="448"/>
      <c r="C33" s="448"/>
      <c r="D33" s="449"/>
      <c r="E33" s="450"/>
    </row>
    <row r="34" spans="1:5" ht="15.75" customHeight="1">
      <c r="A34" s="447" t="s">
        <v>32</v>
      </c>
      <c r="B34" s="448"/>
      <c r="C34" s="448"/>
      <c r="D34" s="449"/>
      <c r="E34" s="450"/>
    </row>
    <row r="35" spans="1:5" ht="15.75" customHeight="1">
      <c r="A35" s="447" t="s">
        <v>33</v>
      </c>
      <c r="B35" s="448"/>
      <c r="C35" s="448"/>
      <c r="D35" s="449"/>
      <c r="E35" s="450"/>
    </row>
    <row r="36" spans="1:5" ht="15.75" customHeight="1">
      <c r="A36" s="447" t="s">
        <v>592</v>
      </c>
      <c r="B36" s="448"/>
      <c r="C36" s="448"/>
      <c r="D36" s="449"/>
      <c r="E36" s="450"/>
    </row>
    <row r="37" spans="1:5" ht="15.75" customHeight="1">
      <c r="A37" s="447" t="s">
        <v>593</v>
      </c>
      <c r="B37" s="448"/>
      <c r="C37" s="448"/>
      <c r="D37" s="449"/>
      <c r="E37" s="450"/>
    </row>
    <row r="38" spans="1:5" ht="15.75" customHeight="1">
      <c r="A38" s="447" t="s">
        <v>594</v>
      </c>
      <c r="B38" s="448"/>
      <c r="C38" s="448"/>
      <c r="D38" s="449"/>
      <c r="E38" s="450"/>
    </row>
    <row r="39" spans="1:5" ht="15.75" customHeight="1">
      <c r="A39" s="447" t="s">
        <v>595</v>
      </c>
      <c r="B39" s="448"/>
      <c r="C39" s="448"/>
      <c r="D39" s="449"/>
      <c r="E39" s="450"/>
    </row>
    <row r="40" spans="1:5" ht="15.75" customHeight="1" thickBot="1">
      <c r="A40" s="451" t="s">
        <v>596</v>
      </c>
      <c r="B40" s="452"/>
      <c r="C40" s="452"/>
      <c r="D40" s="453"/>
      <c r="E40" s="454"/>
    </row>
    <row r="41" spans="1:5" ht="15.75" customHeight="1" thickBot="1">
      <c r="A41" s="931" t="s">
        <v>37</v>
      </c>
      <c r="B41" s="932"/>
      <c r="C41" s="455"/>
      <c r="D41" s="456">
        <f>SUM(D8:D40)</f>
        <v>141205335</v>
      </c>
      <c r="E41" s="457">
        <f>SUM(E8:E40)</f>
        <v>137883491</v>
      </c>
    </row>
  </sheetData>
  <sheetProtection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49">
      <selection activeCell="D57" sqref="D57"/>
    </sheetView>
  </sheetViews>
  <sheetFormatPr defaultColWidth="12.00390625" defaultRowHeight="12.75"/>
  <cols>
    <col min="1" max="1" width="67.125" style="458" customWidth="1"/>
    <col min="2" max="2" width="6.125" style="459" customWidth="1"/>
    <col min="3" max="4" width="12.125" style="458" customWidth="1"/>
    <col min="5" max="5" width="12.125" style="485" customWidth="1"/>
    <col min="6" max="16384" width="12.00390625" style="458" customWidth="1"/>
  </cols>
  <sheetData>
    <row r="1" spans="1:5" ht="15.75">
      <c r="A1" s="936" t="str">
        <f>CONCATENATE("7.1. tájékoztató tábla ",Z_ALAPADATOK!A7," ",Z_ALAPADATOK!B7," ",Z_ALAPADATOK!C7," ",Z_ALAPADATOK!D7," ",Z_ALAPADATOK!E7," ",Z_ALAPADATOK!F7," ",Z_ALAPADATOK!G7," ",Z_ALAPADATOK!H7)</f>
        <v>7.1. tájékoztató tábla a 9 / 2020. ( VII.10. ) önkormányzati rendelethez</v>
      </c>
      <c r="B1" s="788"/>
      <c r="C1" s="788"/>
      <c r="D1" s="788"/>
      <c r="E1" s="788"/>
    </row>
    <row r="2" spans="1:5" ht="15.75">
      <c r="A2" s="937" t="s">
        <v>743</v>
      </c>
      <c r="B2" s="938"/>
      <c r="C2" s="938"/>
      <c r="D2" s="938"/>
      <c r="E2" s="938"/>
    </row>
    <row r="3" spans="1:5" ht="16.5" customHeight="1">
      <c r="A3" s="937" t="s">
        <v>744</v>
      </c>
      <c r="B3" s="938"/>
      <c r="C3" s="938"/>
      <c r="D3" s="938"/>
      <c r="E3" s="938"/>
    </row>
    <row r="4" spans="1:5" ht="16.5" customHeight="1">
      <c r="A4" s="939" t="str">
        <f>CONCATENATE(Z_ALAPADATOK!B1,". év")</f>
        <v>2019. év</v>
      </c>
      <c r="B4" s="940"/>
      <c r="C4" s="940"/>
      <c r="D4" s="940"/>
      <c r="E4" s="940"/>
    </row>
    <row r="5" spans="1:5" ht="16.5" customHeight="1" thickBot="1">
      <c r="A5" s="558"/>
      <c r="B5" s="559"/>
      <c r="C5" s="941" t="str">
        <f>'Z_6.tájékoztató_t.'!E6</f>
        <v>Forintban</v>
      </c>
      <c r="D5" s="941"/>
      <c r="E5" s="941"/>
    </row>
    <row r="6" spans="1:5" ht="15.75" customHeight="1">
      <c r="A6" s="942" t="s">
        <v>597</v>
      </c>
      <c r="B6" s="945" t="s">
        <v>598</v>
      </c>
      <c r="C6" s="948" t="s">
        <v>599</v>
      </c>
      <c r="D6" s="948" t="s">
        <v>600</v>
      </c>
      <c r="E6" s="950" t="s">
        <v>601</v>
      </c>
    </row>
    <row r="7" spans="1:5" ht="11.25" customHeight="1">
      <c r="A7" s="943"/>
      <c r="B7" s="946"/>
      <c r="C7" s="949"/>
      <c r="D7" s="949"/>
      <c r="E7" s="951"/>
    </row>
    <row r="8" spans="1:5" ht="15.75">
      <c r="A8" s="944"/>
      <c r="B8" s="947"/>
      <c r="C8" s="952" t="s">
        <v>602</v>
      </c>
      <c r="D8" s="952"/>
      <c r="E8" s="953"/>
    </row>
    <row r="9" spans="1:5" s="460" customFormat="1" ht="16.5" thickBot="1">
      <c r="A9" s="560" t="s">
        <v>603</v>
      </c>
      <c r="B9" s="561" t="s">
        <v>386</v>
      </c>
      <c r="C9" s="561" t="s">
        <v>387</v>
      </c>
      <c r="D9" s="561" t="s">
        <v>389</v>
      </c>
      <c r="E9" s="562" t="s">
        <v>388</v>
      </c>
    </row>
    <row r="10" spans="1:5" s="465" customFormat="1" ht="15.75">
      <c r="A10" s="461" t="s">
        <v>604</v>
      </c>
      <c r="B10" s="462" t="s">
        <v>605</v>
      </c>
      <c r="C10" s="463">
        <v>42921762</v>
      </c>
      <c r="D10" s="463">
        <v>6873742</v>
      </c>
      <c r="E10" s="464"/>
    </row>
    <row r="11" spans="1:5" s="465" customFormat="1" ht="15.75">
      <c r="A11" s="466" t="s">
        <v>606</v>
      </c>
      <c r="B11" s="467" t="s">
        <v>607</v>
      </c>
      <c r="C11" s="468">
        <f>+C12+C17+C22+C27+C32</f>
        <v>4175635434</v>
      </c>
      <c r="D11" s="468">
        <f>+D12+D17+D22+D27+D32</f>
        <v>2954734767</v>
      </c>
      <c r="E11" s="469">
        <f>+E12+E17+E22+E27+E32</f>
        <v>0</v>
      </c>
    </row>
    <row r="12" spans="1:5" s="465" customFormat="1" ht="15.75">
      <c r="A12" s="466" t="s">
        <v>608</v>
      </c>
      <c r="B12" s="467" t="s">
        <v>609</v>
      </c>
      <c r="C12" s="468">
        <f>+C13+C14+C15+C16</f>
        <v>3693326275</v>
      </c>
      <c r="D12" s="468">
        <f>+D13+D14+D15+D16</f>
        <v>2765076614</v>
      </c>
      <c r="E12" s="469">
        <f>+E13+E14+E15+E16</f>
        <v>0</v>
      </c>
    </row>
    <row r="13" spans="1:5" s="465" customFormat="1" ht="15.75">
      <c r="A13" s="470" t="s">
        <v>610</v>
      </c>
      <c r="B13" s="467" t="s">
        <v>611</v>
      </c>
      <c r="C13" s="471"/>
      <c r="D13" s="471"/>
      <c r="E13" s="472"/>
    </row>
    <row r="14" spans="1:5" s="465" customFormat="1" ht="26.25" customHeight="1">
      <c r="A14" s="470" t="s">
        <v>612</v>
      </c>
      <c r="B14" s="467" t="s">
        <v>613</v>
      </c>
      <c r="C14" s="473">
        <v>2278551165</v>
      </c>
      <c r="D14" s="473">
        <v>1552789834</v>
      </c>
      <c r="E14" s="474"/>
    </row>
    <row r="15" spans="1:5" s="465" customFormat="1" ht="22.5">
      <c r="A15" s="470" t="s">
        <v>614</v>
      </c>
      <c r="B15" s="467" t="s">
        <v>615</v>
      </c>
      <c r="C15" s="473">
        <v>534588453</v>
      </c>
      <c r="D15" s="473">
        <v>479301421</v>
      </c>
      <c r="E15" s="474"/>
    </row>
    <row r="16" spans="1:5" s="465" customFormat="1" ht="15.75">
      <c r="A16" s="470" t="s">
        <v>616</v>
      </c>
      <c r="B16" s="467" t="s">
        <v>617</v>
      </c>
      <c r="C16" s="473">
        <v>880186657</v>
      </c>
      <c r="D16" s="473">
        <v>732985359</v>
      </c>
      <c r="E16" s="474"/>
    </row>
    <row r="17" spans="1:5" s="465" customFormat="1" ht="15.75">
      <c r="A17" s="466" t="s">
        <v>618</v>
      </c>
      <c r="B17" s="467" t="s">
        <v>619</v>
      </c>
      <c r="C17" s="475">
        <f>+C18+C19+C20+C21</f>
        <v>362032178</v>
      </c>
      <c r="D17" s="475">
        <f>+D18+D19+D20+D21</f>
        <v>69381172</v>
      </c>
      <c r="E17" s="476">
        <f>+E18+E19+E20+E21</f>
        <v>0</v>
      </c>
    </row>
    <row r="18" spans="1:5" s="465" customFormat="1" ht="15.75">
      <c r="A18" s="470" t="s">
        <v>620</v>
      </c>
      <c r="B18" s="467" t="s">
        <v>621</v>
      </c>
      <c r="C18" s="473"/>
      <c r="D18" s="473"/>
      <c r="E18" s="474"/>
    </row>
    <row r="19" spans="1:5" s="465" customFormat="1" ht="22.5">
      <c r="A19" s="470" t="s">
        <v>622</v>
      </c>
      <c r="B19" s="467" t="s">
        <v>15</v>
      </c>
      <c r="C19" s="473">
        <v>2299831</v>
      </c>
      <c r="D19" s="473">
        <v>869848</v>
      </c>
      <c r="E19" s="474"/>
    </row>
    <row r="20" spans="1:5" s="465" customFormat="1" ht="15.75">
      <c r="A20" s="470" t="s">
        <v>623</v>
      </c>
      <c r="B20" s="467" t="s">
        <v>16</v>
      </c>
      <c r="C20" s="473">
        <v>164236141</v>
      </c>
      <c r="D20" s="473">
        <v>56650474</v>
      </c>
      <c r="E20" s="474"/>
    </row>
    <row r="21" spans="1:5" s="465" customFormat="1" ht="15.75">
      <c r="A21" s="470" t="s">
        <v>624</v>
      </c>
      <c r="B21" s="467" t="s">
        <v>17</v>
      </c>
      <c r="C21" s="473">
        <v>195496206</v>
      </c>
      <c r="D21" s="473">
        <v>11860850</v>
      </c>
      <c r="E21" s="474"/>
    </row>
    <row r="22" spans="1:5" s="465" customFormat="1" ht="15.75">
      <c r="A22" s="466" t="s">
        <v>625</v>
      </c>
      <c r="B22" s="467" t="s">
        <v>18</v>
      </c>
      <c r="C22" s="475">
        <f>+C23+C24+C25+C26</f>
        <v>0</v>
      </c>
      <c r="D22" s="475">
        <f>+D23+D24+D25+D26</f>
        <v>0</v>
      </c>
      <c r="E22" s="476">
        <f>+E23+E24+E25+E26</f>
        <v>0</v>
      </c>
    </row>
    <row r="23" spans="1:5" s="465" customFormat="1" ht="15.75">
      <c r="A23" s="470" t="s">
        <v>626</v>
      </c>
      <c r="B23" s="467" t="s">
        <v>19</v>
      </c>
      <c r="C23" s="473"/>
      <c r="D23" s="473"/>
      <c r="E23" s="474"/>
    </row>
    <row r="24" spans="1:5" s="465" customFormat="1" ht="15.75">
      <c r="A24" s="470" t="s">
        <v>627</v>
      </c>
      <c r="B24" s="467" t="s">
        <v>20</v>
      </c>
      <c r="C24" s="473"/>
      <c r="D24" s="473"/>
      <c r="E24" s="474"/>
    </row>
    <row r="25" spans="1:5" s="465" customFormat="1" ht="15.75">
      <c r="A25" s="470" t="s">
        <v>628</v>
      </c>
      <c r="B25" s="467" t="s">
        <v>21</v>
      </c>
      <c r="C25" s="473"/>
      <c r="D25" s="473"/>
      <c r="E25" s="474"/>
    </row>
    <row r="26" spans="1:5" s="465" customFormat="1" ht="15.75">
      <c r="A26" s="470" t="s">
        <v>629</v>
      </c>
      <c r="B26" s="467" t="s">
        <v>22</v>
      </c>
      <c r="C26" s="473"/>
      <c r="D26" s="473"/>
      <c r="E26" s="474"/>
    </row>
    <row r="27" spans="1:5" s="465" customFormat="1" ht="15.75">
      <c r="A27" s="466" t="s">
        <v>630</v>
      </c>
      <c r="B27" s="467" t="s">
        <v>23</v>
      </c>
      <c r="C27" s="475">
        <f>+C28+C29+C30+C31</f>
        <v>120276981</v>
      </c>
      <c r="D27" s="475">
        <f>+D28+D29+D30+D31</f>
        <v>120276981</v>
      </c>
      <c r="E27" s="476">
        <f>+E28+E29+E30+E31</f>
        <v>0</v>
      </c>
    </row>
    <row r="28" spans="1:5" s="465" customFormat="1" ht="15.75">
      <c r="A28" s="470" t="s">
        <v>631</v>
      </c>
      <c r="B28" s="467" t="s">
        <v>24</v>
      </c>
      <c r="C28" s="473"/>
      <c r="D28" s="473"/>
      <c r="E28" s="474"/>
    </row>
    <row r="29" spans="1:5" s="465" customFormat="1" ht="15.75">
      <c r="A29" s="470" t="s">
        <v>632</v>
      </c>
      <c r="B29" s="467" t="s">
        <v>25</v>
      </c>
      <c r="C29" s="473"/>
      <c r="D29" s="473"/>
      <c r="E29" s="474"/>
    </row>
    <row r="30" spans="1:5" s="465" customFormat="1" ht="15.75">
      <c r="A30" s="470" t="s">
        <v>633</v>
      </c>
      <c r="B30" s="467" t="s">
        <v>26</v>
      </c>
      <c r="C30" s="473">
        <v>120276981</v>
      </c>
      <c r="D30" s="473">
        <v>120276981</v>
      </c>
      <c r="E30" s="474"/>
    </row>
    <row r="31" spans="1:5" s="465" customFormat="1" ht="15.75">
      <c r="A31" s="470" t="s">
        <v>634</v>
      </c>
      <c r="B31" s="467" t="s">
        <v>27</v>
      </c>
      <c r="C31" s="473"/>
      <c r="D31" s="473"/>
      <c r="E31" s="474"/>
    </row>
    <row r="32" spans="1:5" s="465" customFormat="1" ht="15.75">
      <c r="A32" s="466" t="s">
        <v>635</v>
      </c>
      <c r="B32" s="467" t="s">
        <v>28</v>
      </c>
      <c r="C32" s="475">
        <f>+C33+C34+C35+C36</f>
        <v>0</v>
      </c>
      <c r="D32" s="475">
        <f>+D33+D34+D35+D36</f>
        <v>0</v>
      </c>
      <c r="E32" s="476">
        <f>+E33+E34+E35+E36</f>
        <v>0</v>
      </c>
    </row>
    <row r="33" spans="1:5" s="465" customFormat="1" ht="15.75">
      <c r="A33" s="470" t="s">
        <v>636</v>
      </c>
      <c r="B33" s="467" t="s">
        <v>29</v>
      </c>
      <c r="C33" s="473"/>
      <c r="D33" s="473"/>
      <c r="E33" s="474"/>
    </row>
    <row r="34" spans="1:5" s="465" customFormat="1" ht="22.5">
      <c r="A34" s="470" t="s">
        <v>637</v>
      </c>
      <c r="B34" s="467" t="s">
        <v>30</v>
      </c>
      <c r="C34" s="473"/>
      <c r="D34" s="473"/>
      <c r="E34" s="474"/>
    </row>
    <row r="35" spans="1:5" s="465" customFormat="1" ht="15.75">
      <c r="A35" s="470" t="s">
        <v>638</v>
      </c>
      <c r="B35" s="467" t="s">
        <v>31</v>
      </c>
      <c r="C35" s="473"/>
      <c r="D35" s="473"/>
      <c r="E35" s="474"/>
    </row>
    <row r="36" spans="1:5" s="465" customFormat="1" ht="15.75">
      <c r="A36" s="470" t="s">
        <v>639</v>
      </c>
      <c r="B36" s="467" t="s">
        <v>32</v>
      </c>
      <c r="C36" s="473"/>
      <c r="D36" s="473"/>
      <c r="E36" s="474"/>
    </row>
    <row r="37" spans="1:5" s="465" customFormat="1" ht="15.75">
      <c r="A37" s="466" t="s">
        <v>640</v>
      </c>
      <c r="B37" s="467" t="s">
        <v>33</v>
      </c>
      <c r="C37" s="475">
        <f>+C38+C43+C48</f>
        <v>6538200</v>
      </c>
      <c r="D37" s="475">
        <f>+D38+D43+D48</f>
        <v>3538200</v>
      </c>
      <c r="E37" s="476">
        <f>+E38+E43+E48</f>
        <v>0</v>
      </c>
    </row>
    <row r="38" spans="1:5" s="465" customFormat="1" ht="15.75">
      <c r="A38" s="466" t="s">
        <v>641</v>
      </c>
      <c r="B38" s="467" t="s">
        <v>592</v>
      </c>
      <c r="C38" s="475">
        <f>+C39+C40+C41+C42</f>
        <v>6538200</v>
      </c>
      <c r="D38" s="475">
        <f>+D39+D40+D41+D42</f>
        <v>3538200</v>
      </c>
      <c r="E38" s="476">
        <f>+E39+E40+E41+E42</f>
        <v>0</v>
      </c>
    </row>
    <row r="39" spans="1:5" s="465" customFormat="1" ht="15.75">
      <c r="A39" s="470" t="s">
        <v>642</v>
      </c>
      <c r="B39" s="467" t="s">
        <v>593</v>
      </c>
      <c r="C39" s="473"/>
      <c r="D39" s="473"/>
      <c r="E39" s="474"/>
    </row>
    <row r="40" spans="1:5" s="465" customFormat="1" ht="15.75">
      <c r="A40" s="470" t="s">
        <v>643</v>
      </c>
      <c r="B40" s="467" t="s">
        <v>594</v>
      </c>
      <c r="C40" s="473">
        <v>38200</v>
      </c>
      <c r="D40" s="473">
        <v>38200</v>
      </c>
      <c r="E40" s="474"/>
    </row>
    <row r="41" spans="1:5" s="465" customFormat="1" ht="15.75">
      <c r="A41" s="470" t="s">
        <v>644</v>
      </c>
      <c r="B41" s="467" t="s">
        <v>595</v>
      </c>
      <c r="C41" s="473">
        <v>3000000</v>
      </c>
      <c r="D41" s="473"/>
      <c r="E41" s="474"/>
    </row>
    <row r="42" spans="1:5" s="465" customFormat="1" ht="15.75">
      <c r="A42" s="470" t="s">
        <v>645</v>
      </c>
      <c r="B42" s="467" t="s">
        <v>596</v>
      </c>
      <c r="C42" s="473">
        <v>3500000</v>
      </c>
      <c r="D42" s="473">
        <v>3500000</v>
      </c>
      <c r="E42" s="474"/>
    </row>
    <row r="43" spans="1:5" s="465" customFormat="1" ht="15.75">
      <c r="A43" s="466" t="s">
        <v>646</v>
      </c>
      <c r="B43" s="467" t="s">
        <v>647</v>
      </c>
      <c r="C43" s="475">
        <f>+C44+C45+C46+C47</f>
        <v>0</v>
      </c>
      <c r="D43" s="475">
        <f>+D44+D45+D46+D47</f>
        <v>0</v>
      </c>
      <c r="E43" s="476">
        <f>+E44+E45+E46+E47</f>
        <v>0</v>
      </c>
    </row>
    <row r="44" spans="1:5" s="465" customFormat="1" ht="15.75">
      <c r="A44" s="470" t="s">
        <v>648</v>
      </c>
      <c r="B44" s="467" t="s">
        <v>649</v>
      </c>
      <c r="C44" s="473"/>
      <c r="D44" s="473"/>
      <c r="E44" s="474"/>
    </row>
    <row r="45" spans="1:5" s="465" customFormat="1" ht="22.5">
      <c r="A45" s="470" t="s">
        <v>650</v>
      </c>
      <c r="B45" s="467" t="s">
        <v>651</v>
      </c>
      <c r="C45" s="473"/>
      <c r="D45" s="473"/>
      <c r="E45" s="474"/>
    </row>
    <row r="46" spans="1:5" s="465" customFormat="1" ht="15.75">
      <c r="A46" s="470" t="s">
        <v>652</v>
      </c>
      <c r="B46" s="467" t="s">
        <v>653</v>
      </c>
      <c r="C46" s="473"/>
      <c r="D46" s="473"/>
      <c r="E46" s="474"/>
    </row>
    <row r="47" spans="1:5" s="465" customFormat="1" ht="15.75">
      <c r="A47" s="470" t="s">
        <v>654</v>
      </c>
      <c r="B47" s="467" t="s">
        <v>655</v>
      </c>
      <c r="C47" s="473"/>
      <c r="D47" s="473"/>
      <c r="E47" s="474"/>
    </row>
    <row r="48" spans="1:5" s="465" customFormat="1" ht="15.75">
      <c r="A48" s="466" t="s">
        <v>656</v>
      </c>
      <c r="B48" s="467" t="s">
        <v>657</v>
      </c>
      <c r="C48" s="475">
        <f>+C49+C50+C51+C52</f>
        <v>0</v>
      </c>
      <c r="D48" s="475">
        <f>+D49+D50+D51+D52</f>
        <v>0</v>
      </c>
      <c r="E48" s="476">
        <f>+E49+E50+E51+E52</f>
        <v>0</v>
      </c>
    </row>
    <row r="49" spans="1:5" s="465" customFormat="1" ht="15.75">
      <c r="A49" s="470" t="s">
        <v>658</v>
      </c>
      <c r="B49" s="467" t="s">
        <v>659</v>
      </c>
      <c r="C49" s="473"/>
      <c r="D49" s="473"/>
      <c r="E49" s="474"/>
    </row>
    <row r="50" spans="1:5" s="465" customFormat="1" ht="22.5">
      <c r="A50" s="470" t="s">
        <v>660</v>
      </c>
      <c r="B50" s="467" t="s">
        <v>661</v>
      </c>
      <c r="C50" s="473"/>
      <c r="D50" s="473"/>
      <c r="E50" s="474"/>
    </row>
    <row r="51" spans="1:5" s="465" customFormat="1" ht="15.75">
      <c r="A51" s="470" t="s">
        <v>662</v>
      </c>
      <c r="B51" s="467" t="s">
        <v>663</v>
      </c>
      <c r="C51" s="473"/>
      <c r="D51" s="473"/>
      <c r="E51" s="474"/>
    </row>
    <row r="52" spans="1:5" s="465" customFormat="1" ht="15.75">
      <c r="A52" s="470" t="s">
        <v>664</v>
      </c>
      <c r="B52" s="467" t="s">
        <v>665</v>
      </c>
      <c r="C52" s="473"/>
      <c r="D52" s="473"/>
      <c r="E52" s="474"/>
    </row>
    <row r="53" spans="1:5" s="465" customFormat="1" ht="15.75">
      <c r="A53" s="466" t="s">
        <v>666</v>
      </c>
      <c r="B53" s="467" t="s">
        <v>667</v>
      </c>
      <c r="C53" s="473"/>
      <c r="D53" s="473"/>
      <c r="E53" s="474"/>
    </row>
    <row r="54" spans="1:5" s="465" customFormat="1" ht="21">
      <c r="A54" s="466" t="s">
        <v>668</v>
      </c>
      <c r="B54" s="467" t="s">
        <v>669</v>
      </c>
      <c r="C54" s="475">
        <f>+C10+C11+C37+C53</f>
        <v>4225095396</v>
      </c>
      <c r="D54" s="475">
        <f>+D10+D11+D37+D53</f>
        <v>2965146709</v>
      </c>
      <c r="E54" s="476">
        <f>+E10+E11+E37+E53</f>
        <v>0</v>
      </c>
    </row>
    <row r="55" spans="1:5" s="465" customFormat="1" ht="15.75">
      <c r="A55" s="466" t="s">
        <v>670</v>
      </c>
      <c r="B55" s="467" t="s">
        <v>671</v>
      </c>
      <c r="C55" s="473"/>
      <c r="D55" s="473"/>
      <c r="E55" s="474"/>
    </row>
    <row r="56" spans="1:5" s="465" customFormat="1" ht="15.75">
      <c r="A56" s="466" t="s">
        <v>672</v>
      </c>
      <c r="B56" s="467" t="s">
        <v>673</v>
      </c>
      <c r="C56" s="473">
        <v>280699998</v>
      </c>
      <c r="D56" s="473">
        <v>280699998</v>
      </c>
      <c r="E56" s="474"/>
    </row>
    <row r="57" spans="1:5" s="465" customFormat="1" ht="15.75">
      <c r="A57" s="466" t="s">
        <v>674</v>
      </c>
      <c r="B57" s="467" t="s">
        <v>675</v>
      </c>
      <c r="C57" s="475">
        <f>+C55+C56</f>
        <v>280699998</v>
      </c>
      <c r="D57" s="475">
        <f>+D55+D56</f>
        <v>280699998</v>
      </c>
      <c r="E57" s="476">
        <f>+E55+E56</f>
        <v>0</v>
      </c>
    </row>
    <row r="58" spans="1:5" s="465" customFormat="1" ht="15.75">
      <c r="A58" s="466" t="s">
        <v>676</v>
      </c>
      <c r="B58" s="467" t="s">
        <v>677</v>
      </c>
      <c r="C58" s="473"/>
      <c r="D58" s="473"/>
      <c r="E58" s="474"/>
    </row>
    <row r="59" spans="1:5" s="465" customFormat="1" ht="15.75">
      <c r="A59" s="466" t="s">
        <v>678</v>
      </c>
      <c r="B59" s="467" t="s">
        <v>679</v>
      </c>
      <c r="C59" s="473">
        <v>502120</v>
      </c>
      <c r="D59" s="473">
        <v>502120</v>
      </c>
      <c r="E59" s="474"/>
    </row>
    <row r="60" spans="1:5" s="465" customFormat="1" ht="15.75">
      <c r="A60" s="466" t="s">
        <v>680</v>
      </c>
      <c r="B60" s="467" t="s">
        <v>681</v>
      </c>
      <c r="C60" s="473">
        <v>762130799</v>
      </c>
      <c r="D60" s="473">
        <v>762130799</v>
      </c>
      <c r="E60" s="474"/>
    </row>
    <row r="61" spans="1:5" s="465" customFormat="1" ht="15.75">
      <c r="A61" s="466" t="s">
        <v>682</v>
      </c>
      <c r="B61" s="467" t="s">
        <v>683</v>
      </c>
      <c r="C61" s="473">
        <v>80753</v>
      </c>
      <c r="D61" s="473">
        <v>80753</v>
      </c>
      <c r="E61" s="474"/>
    </row>
    <row r="62" spans="1:5" s="465" customFormat="1" ht="15.75">
      <c r="A62" s="466" t="s">
        <v>684</v>
      </c>
      <c r="B62" s="467" t="s">
        <v>685</v>
      </c>
      <c r="C62" s="475">
        <f>+C58+C59+C60+C61</f>
        <v>762713672</v>
      </c>
      <c r="D62" s="475">
        <f>+D58+D59+D60+D61</f>
        <v>762713672</v>
      </c>
      <c r="E62" s="476">
        <f>+E58+E59+E60+E61</f>
        <v>0</v>
      </c>
    </row>
    <row r="63" spans="1:5" s="465" customFormat="1" ht="15.75">
      <c r="A63" s="466" t="s">
        <v>686</v>
      </c>
      <c r="B63" s="467" t="s">
        <v>687</v>
      </c>
      <c r="C63" s="473">
        <v>18055378</v>
      </c>
      <c r="D63" s="473">
        <v>9658583</v>
      </c>
      <c r="E63" s="474"/>
    </row>
    <row r="64" spans="1:5" s="465" customFormat="1" ht="15.75">
      <c r="A64" s="466" t="s">
        <v>688</v>
      </c>
      <c r="B64" s="467" t="s">
        <v>689</v>
      </c>
      <c r="C64" s="473">
        <v>84377617</v>
      </c>
      <c r="D64" s="473">
        <v>84377617</v>
      </c>
      <c r="E64" s="474"/>
    </row>
    <row r="65" spans="1:5" s="465" customFormat="1" ht="15.75">
      <c r="A65" s="466" t="s">
        <v>690</v>
      </c>
      <c r="B65" s="467" t="s">
        <v>691</v>
      </c>
      <c r="C65" s="473">
        <v>189731069</v>
      </c>
      <c r="D65" s="473">
        <v>189731069</v>
      </c>
      <c r="E65" s="474"/>
    </row>
    <row r="66" spans="1:5" s="465" customFormat="1" ht="15.75">
      <c r="A66" s="466" t="s">
        <v>692</v>
      </c>
      <c r="B66" s="467" t="s">
        <v>693</v>
      </c>
      <c r="C66" s="475">
        <f>+C63+C64+C65</f>
        <v>292164064</v>
      </c>
      <c r="D66" s="475">
        <f>+D63+D64+D65</f>
        <v>283767269</v>
      </c>
      <c r="E66" s="476">
        <f>+E63+E64+E65</f>
        <v>0</v>
      </c>
    </row>
    <row r="67" spans="1:5" s="465" customFormat="1" ht="15.75">
      <c r="A67" s="466" t="s">
        <v>694</v>
      </c>
      <c r="B67" s="467" t="s">
        <v>695</v>
      </c>
      <c r="C67" s="473"/>
      <c r="D67" s="473"/>
      <c r="E67" s="474"/>
    </row>
    <row r="68" spans="1:5" s="465" customFormat="1" ht="21">
      <c r="A68" s="466" t="s">
        <v>696</v>
      </c>
      <c r="B68" s="467" t="s">
        <v>697</v>
      </c>
      <c r="C68" s="473">
        <v>3969732</v>
      </c>
      <c r="D68" s="473">
        <v>3969732</v>
      </c>
      <c r="E68" s="474"/>
    </row>
    <row r="69" spans="1:5" s="465" customFormat="1" ht="15.75">
      <c r="A69" s="466" t="s">
        <v>741</v>
      </c>
      <c r="B69" s="467" t="s">
        <v>698</v>
      </c>
      <c r="C69" s="475">
        <f>+C67+C68</f>
        <v>3969732</v>
      </c>
      <c r="D69" s="475">
        <f>+D67+D68</f>
        <v>3969732</v>
      </c>
      <c r="E69" s="476">
        <f>+E67+E68</f>
        <v>0</v>
      </c>
    </row>
    <row r="70" spans="1:5" s="465" customFormat="1" ht="15.75">
      <c r="A70" s="466" t="s">
        <v>699</v>
      </c>
      <c r="B70" s="467" t="s">
        <v>700</v>
      </c>
      <c r="C70" s="473">
        <v>9290416</v>
      </c>
      <c r="D70" s="473">
        <v>9290416</v>
      </c>
      <c r="E70" s="474"/>
    </row>
    <row r="71" spans="1:5" s="465" customFormat="1" ht="16.5" thickBot="1">
      <c r="A71" s="477" t="s">
        <v>701</v>
      </c>
      <c r="B71" s="478" t="s">
        <v>702</v>
      </c>
      <c r="C71" s="479">
        <f>+C54+C57+C62+C66+C69+C70</f>
        <v>5573933278</v>
      </c>
      <c r="D71" s="479">
        <f>+D54+D57+D62+D66+D69+D70</f>
        <v>4305587796</v>
      </c>
      <c r="E71" s="480">
        <f>+E54+E57+E62+E66+E69+E70</f>
        <v>0</v>
      </c>
    </row>
    <row r="72" spans="1:5" ht="15.75">
      <c r="A72" s="481"/>
      <c r="C72" s="482"/>
      <c r="D72" s="482"/>
      <c r="E72" s="483"/>
    </row>
    <row r="73" spans="1:5" ht="15.75">
      <c r="A73" s="481"/>
      <c r="C73" s="482"/>
      <c r="D73" s="482"/>
      <c r="E73" s="483"/>
    </row>
    <row r="74" spans="1:5" ht="15.75">
      <c r="A74" s="484"/>
      <c r="C74" s="482"/>
      <c r="D74" s="482"/>
      <c r="E74" s="483"/>
    </row>
    <row r="75" spans="1:5" ht="15.75">
      <c r="A75" s="935"/>
      <c r="B75" s="935"/>
      <c r="C75" s="935"/>
      <c r="D75" s="935"/>
      <c r="E75" s="935"/>
    </row>
    <row r="76" spans="1:5" ht="15.75">
      <c r="A76" s="935"/>
      <c r="B76" s="935"/>
      <c r="C76" s="935"/>
      <c r="D76" s="935"/>
      <c r="E76" s="935"/>
    </row>
  </sheetData>
  <sheetProtection sheet="1"/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">
      <selection activeCell="F22" sqref="F22"/>
    </sheetView>
  </sheetViews>
  <sheetFormatPr defaultColWidth="9.00390625" defaultRowHeight="12.75"/>
  <cols>
    <col min="1" max="1" width="71.125" style="487" customWidth="1"/>
    <col min="2" max="2" width="6.125" style="499" customWidth="1"/>
    <col min="3" max="3" width="18.00390625" style="486" customWidth="1"/>
    <col min="4" max="16384" width="9.375" style="486" customWidth="1"/>
  </cols>
  <sheetData>
    <row r="1" spans="1:3" ht="16.5" customHeight="1">
      <c r="A1" s="955" t="str">
        <f>CONCATENATE("7.2. tájékoztató tábla ",Z_ALAPADATOK!A7," ",Z_ALAPADATOK!B7," ",Z_ALAPADATOK!C7," ",Z_ALAPADATOK!D7," ",Z_ALAPADATOK!E7," ",Z_ALAPADATOK!F7," ",Z_ALAPADATOK!G7," ",Z_ALAPADATOK!H7)</f>
        <v>7.2. tájékoztató tábla a 9 / 2020. ( VII.10. ) önkormányzati rendelethez</v>
      </c>
      <c r="B1" s="956"/>
      <c r="C1" s="956"/>
    </row>
    <row r="2" spans="1:3" ht="16.5" customHeight="1">
      <c r="A2" s="563"/>
      <c r="B2" s="564"/>
      <c r="C2" s="565"/>
    </row>
    <row r="3" spans="1:3" ht="16.5" customHeight="1">
      <c r="A3" s="959" t="s">
        <v>743</v>
      </c>
      <c r="B3" s="959"/>
      <c r="C3" s="959"/>
    </row>
    <row r="4" spans="1:3" ht="16.5" customHeight="1">
      <c r="A4" s="957" t="s">
        <v>786</v>
      </c>
      <c r="B4" s="957"/>
      <c r="C4" s="957"/>
    </row>
    <row r="5" spans="1:3" ht="16.5" customHeight="1">
      <c r="A5" s="957" t="str">
        <f>'Z_7.1.tájékoztató_t.'!A4</f>
        <v>2019. év</v>
      </c>
      <c r="B5" s="958"/>
      <c r="C5" s="958"/>
    </row>
    <row r="6" spans="1:3" ht="13.5" thickBot="1">
      <c r="A6" s="563"/>
      <c r="B6" s="960" t="str">
        <f>'Z_6.tájékoztató_t.'!E6</f>
        <v>Forintban</v>
      </c>
      <c r="C6" s="960"/>
    </row>
    <row r="7" spans="1:3" s="488" customFormat="1" ht="31.5" customHeight="1">
      <c r="A7" s="961" t="s">
        <v>703</v>
      </c>
      <c r="B7" s="963" t="s">
        <v>598</v>
      </c>
      <c r="C7" s="965" t="s">
        <v>704</v>
      </c>
    </row>
    <row r="8" spans="1:3" s="488" customFormat="1" ht="12.75">
      <c r="A8" s="962"/>
      <c r="B8" s="964"/>
      <c r="C8" s="966"/>
    </row>
    <row r="9" spans="1:3" s="489" customFormat="1" ht="13.5" thickBot="1">
      <c r="A9" s="566" t="s">
        <v>385</v>
      </c>
      <c r="B9" s="567" t="s">
        <v>386</v>
      </c>
      <c r="C9" s="568" t="s">
        <v>387</v>
      </c>
    </row>
    <row r="10" spans="1:3" ht="15.75" customHeight="1">
      <c r="A10" s="466" t="s">
        <v>705</v>
      </c>
      <c r="B10" s="490" t="s">
        <v>605</v>
      </c>
      <c r="C10" s="491">
        <v>3202648580</v>
      </c>
    </row>
    <row r="11" spans="1:3" ht="15.75" customHeight="1">
      <c r="A11" s="466" t="s">
        <v>706</v>
      </c>
      <c r="B11" s="467" t="s">
        <v>607</v>
      </c>
      <c r="C11" s="491"/>
    </row>
    <row r="12" spans="1:3" ht="15.75" customHeight="1">
      <c r="A12" s="466" t="s">
        <v>707</v>
      </c>
      <c r="B12" s="467" t="s">
        <v>609</v>
      </c>
      <c r="C12" s="491">
        <v>41967338</v>
      </c>
    </row>
    <row r="13" spans="1:3" ht="15.75" customHeight="1">
      <c r="A13" s="466" t="s">
        <v>708</v>
      </c>
      <c r="B13" s="467" t="s">
        <v>611</v>
      </c>
      <c r="C13" s="492">
        <v>-328489665</v>
      </c>
    </row>
    <row r="14" spans="1:3" ht="15.75" customHeight="1">
      <c r="A14" s="466" t="s">
        <v>709</v>
      </c>
      <c r="B14" s="467" t="s">
        <v>613</v>
      </c>
      <c r="C14" s="492"/>
    </row>
    <row r="15" spans="1:3" ht="15.75" customHeight="1">
      <c r="A15" s="466" t="s">
        <v>710</v>
      </c>
      <c r="B15" s="467" t="s">
        <v>615</v>
      </c>
      <c r="C15" s="492">
        <v>-57852275</v>
      </c>
    </row>
    <row r="16" spans="1:3" ht="15.75" customHeight="1">
      <c r="A16" s="466" t="s">
        <v>711</v>
      </c>
      <c r="B16" s="467" t="s">
        <v>617</v>
      </c>
      <c r="C16" s="493">
        <f>+C10+C11+C12+C13+C14+C15</f>
        <v>2858273978</v>
      </c>
    </row>
    <row r="17" spans="1:3" ht="15.75" customHeight="1">
      <c r="A17" s="466" t="s">
        <v>712</v>
      </c>
      <c r="B17" s="467" t="s">
        <v>619</v>
      </c>
      <c r="C17" s="494">
        <v>491911</v>
      </c>
    </row>
    <row r="18" spans="1:3" ht="15.75" customHeight="1">
      <c r="A18" s="466" t="s">
        <v>713</v>
      </c>
      <c r="B18" s="467" t="s">
        <v>621</v>
      </c>
      <c r="C18" s="492">
        <v>33073975</v>
      </c>
    </row>
    <row r="19" spans="1:3" ht="15.75" customHeight="1">
      <c r="A19" s="466" t="s">
        <v>714</v>
      </c>
      <c r="B19" s="467" t="s">
        <v>15</v>
      </c>
      <c r="C19" s="492">
        <v>6436927</v>
      </c>
    </row>
    <row r="20" spans="1:3" ht="15.75" customHeight="1">
      <c r="A20" s="466" t="s">
        <v>715</v>
      </c>
      <c r="B20" s="467" t="s">
        <v>16</v>
      </c>
      <c r="C20" s="493">
        <f>+C17+C18+C19</f>
        <v>40002813</v>
      </c>
    </row>
    <row r="21" spans="1:3" s="495" customFormat="1" ht="15.75" customHeight="1">
      <c r="A21" s="466" t="s">
        <v>716</v>
      </c>
      <c r="B21" s="467" t="s">
        <v>17</v>
      </c>
      <c r="C21" s="492"/>
    </row>
    <row r="22" spans="1:3" ht="15.75" customHeight="1">
      <c r="A22" s="466" t="s">
        <v>717</v>
      </c>
      <c r="B22" s="467" t="s">
        <v>18</v>
      </c>
      <c r="C22" s="492">
        <v>1407311005</v>
      </c>
    </row>
    <row r="23" spans="1:3" ht="15.75" customHeight="1" thickBot="1">
      <c r="A23" s="496" t="s">
        <v>718</v>
      </c>
      <c r="B23" s="478" t="s">
        <v>19</v>
      </c>
      <c r="C23" s="497">
        <f>+C16+C20+C21+C22</f>
        <v>4305587796</v>
      </c>
    </row>
    <row r="24" spans="1:5" ht="15.75">
      <c r="A24" s="481"/>
      <c r="B24" s="484"/>
      <c r="C24" s="482"/>
      <c r="D24" s="482"/>
      <c r="E24" s="482"/>
    </row>
    <row r="25" spans="1:5" ht="15.75">
      <c r="A25" s="481"/>
      <c r="B25" s="484"/>
      <c r="C25" s="482"/>
      <c r="D25" s="482"/>
      <c r="E25" s="482"/>
    </row>
    <row r="26" spans="1:5" ht="15.75">
      <c r="A26" s="484"/>
      <c r="B26" s="484"/>
      <c r="C26" s="482"/>
      <c r="D26" s="482"/>
      <c r="E26" s="482"/>
    </row>
    <row r="27" spans="1:5" ht="15.75">
      <c r="A27" s="954"/>
      <c r="B27" s="954"/>
      <c r="C27" s="954"/>
      <c r="D27" s="498"/>
      <c r="E27" s="498"/>
    </row>
    <row r="28" spans="1:5" ht="15.75">
      <c r="A28" s="954"/>
      <c r="B28" s="954"/>
      <c r="C28" s="954"/>
      <c r="D28" s="498"/>
      <c r="E28" s="498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E6" sqref="E6"/>
    </sheetView>
  </sheetViews>
  <sheetFormatPr defaultColWidth="9.00390625" defaultRowHeight="12.75"/>
  <cols>
    <col min="1" max="1" width="9.375" style="79" customWidth="1"/>
    <col min="2" max="2" width="51.875" style="79" customWidth="1"/>
    <col min="3" max="3" width="25.00390625" style="79" customWidth="1"/>
    <col min="4" max="4" width="22.875" style="79" customWidth="1"/>
    <col min="5" max="5" width="25.00390625" style="79" customWidth="1"/>
    <col min="6" max="6" width="5.50390625" style="79" customWidth="1"/>
    <col min="7" max="16384" width="9.375" style="79" customWidth="1"/>
  </cols>
  <sheetData>
    <row r="1" spans="1:5" ht="12.75">
      <c r="A1" s="572"/>
      <c r="B1" s="572"/>
      <c r="C1" s="572"/>
      <c r="D1" s="572"/>
      <c r="E1" s="572"/>
    </row>
    <row r="2" spans="1:5" ht="15.75">
      <c r="A2" s="775" t="str">
        <f>CONCATENATE(PROPER(Z_ALAPADATOK!A3)," tulajdonában álló gazdálkodó szervezetek működéséből származó")</f>
        <v>Besenyszög Város Önkormányzata tulajdonában álló gazdálkodó szervezetek működéséből származó</v>
      </c>
      <c r="B2" s="775"/>
      <c r="C2" s="775"/>
      <c r="D2" s="775"/>
      <c r="E2" s="775"/>
    </row>
    <row r="3" spans="1:6" ht="15.75">
      <c r="A3" s="970" t="str">
        <f>CONCATENATE("kötelezettségek és részesedések alakulása ",Z_ALAPADATOK!B1,". évben")</f>
        <v>kötelezettségek és részesedések alakulása 2019. évben</v>
      </c>
      <c r="B3" s="775"/>
      <c r="C3" s="775"/>
      <c r="D3" s="775"/>
      <c r="E3" s="775"/>
      <c r="F3" s="967" t="str">
        <f>CONCATENATE("8. tájékoztató tábla ",Z_ALAPADATOK!A7," ",Z_ALAPADATOK!B7," ",Z_ALAPADATOK!C7," ",Z_ALAPADATOK!D7," ",Z_ALAPADATOK!E7," ",Z_ALAPADATOK!F7," ",Z_ALAPADATOK!G7," ",Z_ALAPADATOK!H7)</f>
        <v>8. tájékoztató tábla a 9 / 2020. ( VII.10. ) önkormányzati rendelethez</v>
      </c>
    </row>
    <row r="4" spans="1:6" ht="16.5" thickBot="1">
      <c r="A4" s="573"/>
      <c r="B4" s="572"/>
      <c r="C4" s="572"/>
      <c r="D4" s="572"/>
      <c r="E4" s="572"/>
      <c r="F4" s="967"/>
    </row>
    <row r="5" spans="1:6" ht="79.5" thickBot="1">
      <c r="A5" s="574" t="s">
        <v>598</v>
      </c>
      <c r="B5" s="575" t="s">
        <v>719</v>
      </c>
      <c r="C5" s="575" t="s">
        <v>720</v>
      </c>
      <c r="D5" s="575" t="s">
        <v>721</v>
      </c>
      <c r="E5" s="576" t="s">
        <v>722</v>
      </c>
      <c r="F5" s="967"/>
    </row>
    <row r="6" spans="1:6" ht="15.75">
      <c r="A6" s="569" t="s">
        <v>6</v>
      </c>
      <c r="B6" s="501" t="s">
        <v>897</v>
      </c>
      <c r="C6" s="502">
        <v>1</v>
      </c>
      <c r="D6" s="503">
        <v>3000000</v>
      </c>
      <c r="E6" s="770">
        <v>246287000</v>
      </c>
      <c r="F6" s="967"/>
    </row>
    <row r="7" spans="1:6" ht="15.75">
      <c r="A7" s="570" t="s">
        <v>7</v>
      </c>
      <c r="B7" s="504" t="s">
        <v>898</v>
      </c>
      <c r="C7" s="505">
        <v>1</v>
      </c>
      <c r="D7" s="506">
        <v>0</v>
      </c>
      <c r="E7" s="507">
        <v>13640000</v>
      </c>
      <c r="F7" s="967"/>
    </row>
    <row r="8" spans="1:6" ht="15.75">
      <c r="A8" s="570" t="s">
        <v>8</v>
      </c>
      <c r="B8" s="504" t="s">
        <v>899</v>
      </c>
      <c r="C8" s="505"/>
      <c r="D8" s="506">
        <v>38200</v>
      </c>
      <c r="E8" s="507">
        <v>0</v>
      </c>
      <c r="F8" s="967"/>
    </row>
    <row r="9" spans="1:6" ht="15.75">
      <c r="A9" s="570" t="s">
        <v>9</v>
      </c>
      <c r="B9" s="504" t="s">
        <v>900</v>
      </c>
      <c r="C9" s="505">
        <v>1</v>
      </c>
      <c r="D9" s="506">
        <v>500000</v>
      </c>
      <c r="E9" s="507">
        <v>262000</v>
      </c>
      <c r="F9" s="967"/>
    </row>
    <row r="10" spans="1:6" ht="15.75">
      <c r="A10" s="570" t="s">
        <v>10</v>
      </c>
      <c r="B10" s="504"/>
      <c r="C10" s="505"/>
      <c r="D10" s="506"/>
      <c r="E10" s="507"/>
      <c r="F10" s="967"/>
    </row>
    <row r="11" spans="1:6" ht="15.75">
      <c r="A11" s="570" t="s">
        <v>11</v>
      </c>
      <c r="B11" s="504"/>
      <c r="C11" s="505"/>
      <c r="D11" s="506"/>
      <c r="E11" s="507"/>
      <c r="F11" s="967"/>
    </row>
    <row r="12" spans="1:6" ht="15.75">
      <c r="A12" s="570" t="s">
        <v>12</v>
      </c>
      <c r="B12" s="504"/>
      <c r="C12" s="505"/>
      <c r="D12" s="506"/>
      <c r="E12" s="507"/>
      <c r="F12" s="967"/>
    </row>
    <row r="13" spans="1:6" ht="15.75">
      <c r="A13" s="570" t="s">
        <v>13</v>
      </c>
      <c r="B13" s="504"/>
      <c r="C13" s="505"/>
      <c r="D13" s="506"/>
      <c r="E13" s="507"/>
      <c r="F13" s="967"/>
    </row>
    <row r="14" spans="1:6" ht="15.75">
      <c r="A14" s="570" t="s">
        <v>14</v>
      </c>
      <c r="B14" s="504"/>
      <c r="C14" s="505"/>
      <c r="D14" s="506"/>
      <c r="E14" s="507"/>
      <c r="F14" s="967"/>
    </row>
    <row r="15" spans="1:6" ht="15.75">
      <c r="A15" s="570" t="s">
        <v>15</v>
      </c>
      <c r="B15" s="504"/>
      <c r="C15" s="505"/>
      <c r="D15" s="506"/>
      <c r="E15" s="507"/>
      <c r="F15" s="967"/>
    </row>
    <row r="16" spans="1:6" ht="15.75">
      <c r="A16" s="570" t="s">
        <v>16</v>
      </c>
      <c r="B16" s="504"/>
      <c r="C16" s="505"/>
      <c r="D16" s="506"/>
      <c r="E16" s="507"/>
      <c r="F16" s="967"/>
    </row>
    <row r="17" spans="1:6" ht="15.75">
      <c r="A17" s="570" t="s">
        <v>17</v>
      </c>
      <c r="B17" s="504"/>
      <c r="C17" s="505"/>
      <c r="D17" s="506"/>
      <c r="E17" s="507"/>
      <c r="F17" s="967"/>
    </row>
    <row r="18" spans="1:6" ht="15.75">
      <c r="A18" s="570" t="s">
        <v>18</v>
      </c>
      <c r="B18" s="504"/>
      <c r="C18" s="505"/>
      <c r="D18" s="506"/>
      <c r="E18" s="507"/>
      <c r="F18" s="967"/>
    </row>
    <row r="19" spans="1:6" ht="15.75">
      <c r="A19" s="570" t="s">
        <v>19</v>
      </c>
      <c r="B19" s="504"/>
      <c r="C19" s="505"/>
      <c r="D19" s="506"/>
      <c r="E19" s="507"/>
      <c r="F19" s="967"/>
    </row>
    <row r="20" spans="1:6" ht="15.75">
      <c r="A20" s="570" t="s">
        <v>20</v>
      </c>
      <c r="B20" s="504"/>
      <c r="C20" s="505"/>
      <c r="D20" s="506"/>
      <c r="E20" s="507"/>
      <c r="F20" s="967"/>
    </row>
    <row r="21" spans="1:6" ht="15.75">
      <c r="A21" s="570" t="s">
        <v>21</v>
      </c>
      <c r="B21" s="504"/>
      <c r="C21" s="505"/>
      <c r="D21" s="506"/>
      <c r="E21" s="507"/>
      <c r="F21" s="967"/>
    </row>
    <row r="22" spans="1:6" ht="16.5" thickBot="1">
      <c r="A22" s="571" t="s">
        <v>22</v>
      </c>
      <c r="B22" s="508"/>
      <c r="C22" s="509"/>
      <c r="D22" s="510"/>
      <c r="E22" s="511"/>
      <c r="F22" s="967"/>
    </row>
    <row r="23" spans="1:6" ht="16.5" thickBot="1">
      <c r="A23" s="968" t="s">
        <v>723</v>
      </c>
      <c r="B23" s="969"/>
      <c r="C23" s="512"/>
      <c r="D23" s="513">
        <f>IF(SUM(D6:D22)=0,"",SUM(D6:D22))</f>
        <v>3538200</v>
      </c>
      <c r="E23" s="514">
        <f>IF(SUM(E6:E22)=0,"",SUM(E6:E22))</f>
        <v>260189000</v>
      </c>
      <c r="F23" s="967"/>
    </row>
    <row r="24" ht="15.75">
      <c r="A24" s="500"/>
    </row>
  </sheetData>
  <sheetProtection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33" t="str">
        <f>CONCATENATE("9. tájékoztató tábla ",Z_ALAPADATOK!A7," ",Z_ALAPADATOK!B7," ",Z_ALAPADATOK!C7," ",Z_ALAPADATOK!D7," ",Z_ALAPADATOK!E7," ",Z_ALAPADATOK!F7," ",Z_ALAPADATOK!G7," ",Z_ALAPADATOK!H7)</f>
        <v>9. tájékoztató tábla a 9 / 2020. ( VII.10. ) önkormányzati rendelethez</v>
      </c>
      <c r="B2" s="972"/>
      <c r="C2" s="972"/>
    </row>
    <row r="3" spans="1:3" ht="14.25">
      <c r="A3" s="515"/>
      <c r="B3" s="515"/>
      <c r="C3" s="515"/>
    </row>
    <row r="4" spans="1:3" ht="33.75" customHeight="1">
      <c r="A4" s="971" t="s">
        <v>724</v>
      </c>
      <c r="B4" s="971"/>
      <c r="C4" s="971"/>
    </row>
    <row r="5" ht="13.5" thickBot="1">
      <c r="C5" s="516"/>
    </row>
    <row r="6" spans="1:3" s="520" customFormat="1" ht="43.5" customHeight="1" thickBot="1">
      <c r="A6" s="517" t="s">
        <v>4</v>
      </c>
      <c r="B6" s="518" t="s">
        <v>44</v>
      </c>
      <c r="C6" s="519" t="s">
        <v>725</v>
      </c>
    </row>
    <row r="7" spans="1:3" ht="28.5" customHeight="1">
      <c r="A7" s="521" t="s">
        <v>6</v>
      </c>
      <c r="B7" s="522" t="str">
        <f>CONCATENATE("Pénzkészlet ",Z_ALAPADATOK!B1,". január 1-jén
Ebből:")</f>
        <v>Pénzkészlet 2019. január 1-jén
Ebből:</v>
      </c>
      <c r="C7" s="623">
        <f>SUM(C8:C9)</f>
        <v>1060980289</v>
      </c>
    </row>
    <row r="8" spans="1:3" ht="18" customHeight="1">
      <c r="A8" s="523" t="s">
        <v>7</v>
      </c>
      <c r="B8" s="524" t="s">
        <v>726</v>
      </c>
      <c r="C8" s="577">
        <v>1060436004</v>
      </c>
    </row>
    <row r="9" spans="1:3" ht="18" customHeight="1">
      <c r="A9" s="523" t="s">
        <v>8</v>
      </c>
      <c r="B9" s="524" t="s">
        <v>727</v>
      </c>
      <c r="C9" s="577">
        <v>544285</v>
      </c>
    </row>
    <row r="10" spans="1:3" ht="18" customHeight="1">
      <c r="A10" s="523" t="s">
        <v>9</v>
      </c>
      <c r="B10" s="525" t="s">
        <v>728</v>
      </c>
      <c r="C10" s="577">
        <v>1026286773</v>
      </c>
    </row>
    <row r="11" spans="1:3" ht="18" customHeight="1">
      <c r="A11" s="526" t="s">
        <v>10</v>
      </c>
      <c r="B11" s="527" t="s">
        <v>729</v>
      </c>
      <c r="C11" s="578">
        <v>1205825870</v>
      </c>
    </row>
    <row r="12" spans="1:3" ht="18" customHeight="1" thickBot="1">
      <c r="A12" s="528" t="s">
        <v>11</v>
      </c>
      <c r="B12" s="529" t="s">
        <v>730</v>
      </c>
      <c r="C12" s="579">
        <v>-118727520</v>
      </c>
    </row>
    <row r="13" spans="1:3" ht="25.5" customHeight="1">
      <c r="A13" s="530" t="s">
        <v>12</v>
      </c>
      <c r="B13" s="531" t="str">
        <f>CONCATENATE("Pénzkészlet ",Z_ALAPADATOK!B1,". december 31-én
Ebből:")</f>
        <v>Pénzkészlet 2019. december 31-én
Ebből:</v>
      </c>
      <c r="C13" s="580">
        <f>C7+C10-C11+C12</f>
        <v>762713672</v>
      </c>
    </row>
    <row r="14" spans="1:3" ht="18" customHeight="1">
      <c r="A14" s="523" t="s">
        <v>13</v>
      </c>
      <c r="B14" s="524" t="s">
        <v>726</v>
      </c>
      <c r="C14" s="577">
        <v>762211552</v>
      </c>
    </row>
    <row r="15" spans="1:3" ht="18" customHeight="1" thickBot="1">
      <c r="A15" s="528" t="s">
        <v>14</v>
      </c>
      <c r="B15" s="532" t="s">
        <v>727</v>
      </c>
      <c r="C15" s="579">
        <v>502120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C43" sqref="C43:E51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6"/>
      <c r="B1" s="787" t="str">
        <f>CONCATENATE("1.1. melléklet ",Z_ALAPADATOK!A7," ",Z_ALAPADATOK!B7," ",Z_ALAPADATOK!C7," ",Z_ALAPADATOK!D7," ",Z_ALAPADATOK!E7," ",Z_ALAPADATOK!F7," ",Z_ALAPADATOK!G7," ",Z_ALAPADATOK!H7)</f>
        <v>1.1. melléklet a 9 / 2020. ( VII.10. ) önkormányzati rendelethez</v>
      </c>
      <c r="C1" s="788"/>
      <c r="D1" s="788"/>
      <c r="E1" s="788"/>
    </row>
    <row r="2" spans="1:5" ht="15.75">
      <c r="A2" s="789" t="str">
        <f>CONCATENATE(Z_ALAPADATOK!A3)</f>
        <v>Besenyszög Város Önkormányzata</v>
      </c>
      <c r="B2" s="790"/>
      <c r="C2" s="790"/>
      <c r="D2" s="790"/>
      <c r="E2" s="790"/>
    </row>
    <row r="3" spans="1:5" ht="15.75">
      <c r="A3" s="789" t="str">
        <f>CONCATENATE(Z_ALAPADATOK!B1,". évi ZÁRSZÁMADÁSÁNAK PÉNZÜGYI MÉRLEGE")</f>
        <v>2019. évi ZÁRSZÁMADÁSÁNAK PÉNZÜGYI MÉRLEGE</v>
      </c>
      <c r="B3" s="789"/>
      <c r="C3" s="791"/>
      <c r="D3" s="789"/>
      <c r="E3" s="789"/>
    </row>
    <row r="4" spans="1:5" ht="12" customHeight="1">
      <c r="A4" s="789"/>
      <c r="B4" s="789"/>
      <c r="C4" s="791"/>
      <c r="D4" s="789"/>
      <c r="E4" s="789"/>
    </row>
    <row r="5" spans="1:5" ht="15.75">
      <c r="A5" s="316"/>
      <c r="B5" s="316"/>
      <c r="C5" s="317"/>
      <c r="D5" s="318"/>
      <c r="E5" s="318"/>
    </row>
    <row r="6" spans="1:5" ht="15.75" customHeight="1">
      <c r="A6" s="783" t="s">
        <v>3</v>
      </c>
      <c r="B6" s="783"/>
      <c r="C6" s="783"/>
      <c r="D6" s="783"/>
      <c r="E6" s="783"/>
    </row>
    <row r="7" spans="1:5" ht="15.75" customHeight="1" thickBot="1">
      <c r="A7" s="785" t="s">
        <v>100</v>
      </c>
      <c r="B7" s="785"/>
      <c r="C7" s="319"/>
      <c r="D7" s="318"/>
      <c r="E7" s="319" t="s">
        <v>487</v>
      </c>
    </row>
    <row r="8" spans="1:5" ht="15.75">
      <c r="A8" s="793" t="s">
        <v>51</v>
      </c>
      <c r="B8" s="795" t="s">
        <v>5</v>
      </c>
      <c r="C8" s="779" t="str">
        <f>+CONCATENATE(LEFT(Z_ÖSSZEFÜGGÉSEK!A6,4),". évi")</f>
        <v>2019. évi</v>
      </c>
      <c r="D8" s="780"/>
      <c r="E8" s="781"/>
    </row>
    <row r="9" spans="1:5" ht="24.75" thickBot="1">
      <c r="A9" s="794"/>
      <c r="B9" s="796"/>
      <c r="C9" s="249" t="s">
        <v>418</v>
      </c>
      <c r="D9" s="248" t="s">
        <v>419</v>
      </c>
      <c r="E9" s="309" t="str">
        <f>+CONCATENATE(LEFT(Z_ÖSSZEFÜGGÉSEK!A6,4),". XII. 31.",CHAR(10),"teljesítés")</f>
        <v>2019. XII. 31.
teljesítés</v>
      </c>
    </row>
    <row r="10" spans="1:5" s="177" customFormat="1" ht="12" customHeight="1" thickBot="1">
      <c r="A10" s="173" t="s">
        <v>385</v>
      </c>
      <c r="B10" s="174" t="s">
        <v>386</v>
      </c>
      <c r="C10" s="174" t="s">
        <v>387</v>
      </c>
      <c r="D10" s="174" t="s">
        <v>389</v>
      </c>
      <c r="E10" s="250" t="s">
        <v>388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271817051</v>
      </c>
      <c r="D11" s="166">
        <f>+D12+D13+D14+D15+D16+D17</f>
        <v>264266581</v>
      </c>
      <c r="E11" s="102">
        <f>+E12+E13+E14+E15+E16+E17</f>
        <v>264266581</v>
      </c>
    </row>
    <row r="12" spans="1:5" s="178" customFormat="1" ht="12" customHeight="1">
      <c r="A12" s="13" t="s">
        <v>63</v>
      </c>
      <c r="B12" s="179" t="s">
        <v>163</v>
      </c>
      <c r="C12" s="168">
        <v>110700858</v>
      </c>
      <c r="D12" s="253">
        <v>113567470</v>
      </c>
      <c r="E12" s="253">
        <v>113567470</v>
      </c>
    </row>
    <row r="13" spans="1:5" s="178" customFormat="1" ht="12" customHeight="1">
      <c r="A13" s="12" t="s">
        <v>64</v>
      </c>
      <c r="B13" s="180" t="s">
        <v>164</v>
      </c>
      <c r="C13" s="167">
        <v>75411400</v>
      </c>
      <c r="D13" s="254">
        <v>78931217</v>
      </c>
      <c r="E13" s="254">
        <v>78931217</v>
      </c>
    </row>
    <row r="14" spans="1:5" s="178" customFormat="1" ht="12" customHeight="1">
      <c r="A14" s="12" t="s">
        <v>65</v>
      </c>
      <c r="B14" s="180" t="s">
        <v>165</v>
      </c>
      <c r="C14" s="167">
        <v>49829765</v>
      </c>
      <c r="D14" s="254">
        <v>49006795</v>
      </c>
      <c r="E14" s="254">
        <v>49006795</v>
      </c>
    </row>
    <row r="15" spans="1:5" s="178" customFormat="1" ht="12" customHeight="1">
      <c r="A15" s="12" t="s">
        <v>66</v>
      </c>
      <c r="B15" s="180" t="s">
        <v>166</v>
      </c>
      <c r="C15" s="167">
        <v>4035350</v>
      </c>
      <c r="D15" s="254">
        <v>5111161</v>
      </c>
      <c r="E15" s="254">
        <v>5111161</v>
      </c>
    </row>
    <row r="16" spans="1:5" s="178" customFormat="1" ht="12" customHeight="1">
      <c r="A16" s="12" t="s">
        <v>97</v>
      </c>
      <c r="B16" s="110" t="s">
        <v>333</v>
      </c>
      <c r="C16" s="167">
        <v>31839678</v>
      </c>
      <c r="D16" s="254">
        <v>16861247</v>
      </c>
      <c r="E16" s="254">
        <v>16861247</v>
      </c>
    </row>
    <row r="17" spans="1:5" s="178" customFormat="1" ht="12" customHeight="1" thickBot="1">
      <c r="A17" s="14" t="s">
        <v>67</v>
      </c>
      <c r="B17" s="111" t="s">
        <v>334</v>
      </c>
      <c r="C17" s="167"/>
      <c r="D17" s="254">
        <v>788691</v>
      </c>
      <c r="E17" s="254">
        <v>788691</v>
      </c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76824325</v>
      </c>
      <c r="D18" s="166">
        <f>+D19+D20+D21+D22+D23</f>
        <v>184566100</v>
      </c>
      <c r="E18" s="102">
        <f>+E19+E20+E21+E22+E23</f>
        <v>198757284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325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326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76824325</v>
      </c>
      <c r="D23" s="254">
        <v>184566100</v>
      </c>
      <c r="E23" s="103">
        <v>198757284</v>
      </c>
    </row>
    <row r="24" spans="1:5" s="178" customFormat="1" ht="12" customHeight="1" thickBot="1">
      <c r="A24" s="14" t="s">
        <v>80</v>
      </c>
      <c r="B24" s="111" t="s">
        <v>171</v>
      </c>
      <c r="C24" s="169">
        <v>2742525</v>
      </c>
      <c r="D24" s="169">
        <v>99454067</v>
      </c>
      <c r="E24" s="105">
        <v>99454067</v>
      </c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0</v>
      </c>
      <c r="D25" s="166">
        <f>+D26+D27+D28+D29+D30</f>
        <v>297668709</v>
      </c>
      <c r="E25" s="102">
        <f>+E26+E27+E28+E29+E30</f>
        <v>297668709</v>
      </c>
    </row>
    <row r="26" spans="1:5" s="178" customFormat="1" ht="12" customHeight="1">
      <c r="A26" s="13" t="s">
        <v>52</v>
      </c>
      <c r="B26" s="179" t="s">
        <v>173</v>
      </c>
      <c r="C26" s="168"/>
      <c r="D26" s="253">
        <v>2000000</v>
      </c>
      <c r="E26" s="104">
        <v>2000000</v>
      </c>
    </row>
    <row r="27" spans="1:5" s="178" customFormat="1" ht="12" customHeight="1">
      <c r="A27" s="12" t="s">
        <v>53</v>
      </c>
      <c r="B27" s="180" t="s">
        <v>174</v>
      </c>
      <c r="C27" s="167"/>
      <c r="D27" s="254"/>
      <c r="E27" s="103"/>
    </row>
    <row r="28" spans="1:5" s="178" customFormat="1" ht="12" customHeight="1">
      <c r="A28" s="12" t="s">
        <v>54</v>
      </c>
      <c r="B28" s="180" t="s">
        <v>327</v>
      </c>
      <c r="C28" s="167"/>
      <c r="D28" s="254"/>
      <c r="E28" s="103"/>
    </row>
    <row r="29" spans="1:5" s="178" customFormat="1" ht="12" customHeight="1">
      <c r="A29" s="12" t="s">
        <v>55</v>
      </c>
      <c r="B29" s="180" t="s">
        <v>328</v>
      </c>
      <c r="C29" s="167"/>
      <c r="D29" s="254"/>
      <c r="E29" s="103"/>
    </row>
    <row r="30" spans="1:5" s="178" customFormat="1" ht="12" customHeight="1">
      <c r="A30" s="12" t="s">
        <v>110</v>
      </c>
      <c r="B30" s="180" t="s">
        <v>175</v>
      </c>
      <c r="C30" s="167"/>
      <c r="D30" s="254">
        <v>295668709</v>
      </c>
      <c r="E30" s="254">
        <v>295668709</v>
      </c>
    </row>
    <row r="31" spans="1:5" s="178" customFormat="1" ht="12" customHeight="1" thickBot="1">
      <c r="A31" s="14" t="s">
        <v>111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112</v>
      </c>
      <c r="B32" s="19" t="s">
        <v>476</v>
      </c>
      <c r="C32" s="172">
        <f>SUM(C33:C39)</f>
        <v>75500000</v>
      </c>
      <c r="D32" s="172">
        <f>SUM(D33:D39)</f>
        <v>75500000</v>
      </c>
      <c r="E32" s="208">
        <f>SUM(E33:E39)</f>
        <v>104503497</v>
      </c>
    </row>
    <row r="33" spans="1:5" s="178" customFormat="1" ht="12" customHeight="1">
      <c r="A33" s="13" t="s">
        <v>177</v>
      </c>
      <c r="B33" s="674" t="s">
        <v>477</v>
      </c>
      <c r="C33" s="168"/>
      <c r="D33" s="168"/>
      <c r="E33" s="104"/>
    </row>
    <row r="34" spans="1:5" s="178" customFormat="1" ht="12" customHeight="1">
      <c r="A34" s="12" t="s">
        <v>178</v>
      </c>
      <c r="B34" s="675" t="s">
        <v>818</v>
      </c>
      <c r="C34" s="167"/>
      <c r="D34" s="167"/>
      <c r="E34" s="103"/>
    </row>
    <row r="35" spans="1:5" s="178" customFormat="1" ht="12" customHeight="1">
      <c r="A35" s="12" t="s">
        <v>179</v>
      </c>
      <c r="B35" s="675" t="s">
        <v>478</v>
      </c>
      <c r="C35" s="167">
        <v>67000000</v>
      </c>
      <c r="D35" s="167">
        <v>67000000</v>
      </c>
      <c r="E35" s="103">
        <v>96057437</v>
      </c>
    </row>
    <row r="36" spans="1:5" s="178" customFormat="1" ht="12" customHeight="1">
      <c r="A36" s="12" t="s">
        <v>180</v>
      </c>
      <c r="B36" s="675" t="s">
        <v>479</v>
      </c>
      <c r="C36" s="167"/>
      <c r="D36" s="167"/>
      <c r="E36" s="103"/>
    </row>
    <row r="37" spans="1:5" s="178" customFormat="1" ht="12" customHeight="1">
      <c r="A37" s="12" t="s">
        <v>480</v>
      </c>
      <c r="B37" s="675" t="s">
        <v>181</v>
      </c>
      <c r="C37" s="167">
        <v>8000000</v>
      </c>
      <c r="D37" s="167">
        <v>8000000</v>
      </c>
      <c r="E37" s="103">
        <v>8061961</v>
      </c>
    </row>
    <row r="38" spans="1:5" s="178" customFormat="1" ht="12" customHeight="1">
      <c r="A38" s="12" t="s">
        <v>481</v>
      </c>
      <c r="B38" s="676" t="s">
        <v>819</v>
      </c>
      <c r="C38" s="167"/>
      <c r="D38" s="167"/>
      <c r="E38" s="103"/>
    </row>
    <row r="39" spans="1:5" s="178" customFormat="1" ht="12" customHeight="1" thickBot="1">
      <c r="A39" s="14" t="s">
        <v>482</v>
      </c>
      <c r="B39" s="676" t="s">
        <v>843</v>
      </c>
      <c r="C39" s="169">
        <v>500000</v>
      </c>
      <c r="D39" s="169">
        <v>500000</v>
      </c>
      <c r="E39" s="105">
        <v>384099</v>
      </c>
    </row>
    <row r="40" spans="1:5" s="178" customFormat="1" ht="12" customHeight="1" thickBot="1">
      <c r="A40" s="18" t="s">
        <v>10</v>
      </c>
      <c r="B40" s="19" t="s">
        <v>335</v>
      </c>
      <c r="C40" s="166">
        <f>SUM(C41:C51)</f>
        <v>33000000</v>
      </c>
      <c r="D40" s="166">
        <f>SUM(D41:D51)</f>
        <v>49434975</v>
      </c>
      <c r="E40" s="102">
        <f>SUM(E41:E51)</f>
        <v>62412277</v>
      </c>
    </row>
    <row r="41" spans="1:5" s="178" customFormat="1" ht="12" customHeight="1">
      <c r="A41" s="13" t="s">
        <v>56</v>
      </c>
      <c r="B41" s="179" t="s">
        <v>184</v>
      </c>
      <c r="C41" s="168"/>
      <c r="D41" s="253"/>
      <c r="E41" s="104">
        <v>21259061</v>
      </c>
    </row>
    <row r="42" spans="1:5" s="178" customFormat="1" ht="12" customHeight="1">
      <c r="A42" s="12" t="s">
        <v>57</v>
      </c>
      <c r="B42" s="180" t="s">
        <v>185</v>
      </c>
      <c r="C42" s="167">
        <v>13545910</v>
      </c>
      <c r="D42" s="254">
        <v>28274384</v>
      </c>
      <c r="E42" s="103">
        <v>13980322</v>
      </c>
    </row>
    <row r="43" spans="1:5" s="178" customFormat="1" ht="12" customHeight="1">
      <c r="A43" s="12" t="s">
        <v>58</v>
      </c>
      <c r="B43" s="180" t="s">
        <v>186</v>
      </c>
      <c r="C43" s="167">
        <v>850397</v>
      </c>
      <c r="D43" s="167">
        <v>850397</v>
      </c>
      <c r="E43" s="103">
        <v>1610754</v>
      </c>
    </row>
    <row r="44" spans="1:5" s="178" customFormat="1" ht="12" customHeight="1">
      <c r="A44" s="12" t="s">
        <v>114</v>
      </c>
      <c r="B44" s="180" t="s">
        <v>187</v>
      </c>
      <c r="C44" s="167">
        <v>8000000</v>
      </c>
      <c r="D44" s="167">
        <v>8000000</v>
      </c>
      <c r="E44" s="103">
        <v>8603425</v>
      </c>
    </row>
    <row r="45" spans="1:5" s="178" customFormat="1" ht="12" customHeight="1">
      <c r="A45" s="12" t="s">
        <v>115</v>
      </c>
      <c r="B45" s="180" t="s">
        <v>188</v>
      </c>
      <c r="C45" s="167">
        <v>6467785</v>
      </c>
      <c r="D45" s="167">
        <v>6467785</v>
      </c>
      <c r="E45" s="103">
        <v>5256201</v>
      </c>
    </row>
    <row r="46" spans="1:5" s="178" customFormat="1" ht="12" customHeight="1">
      <c r="A46" s="12" t="s">
        <v>116</v>
      </c>
      <c r="B46" s="180" t="s">
        <v>189</v>
      </c>
      <c r="C46" s="167">
        <v>4135908</v>
      </c>
      <c r="D46" s="167">
        <v>5842409</v>
      </c>
      <c r="E46" s="103">
        <v>9673272</v>
      </c>
    </row>
    <row r="47" spans="1:5" s="178" customFormat="1" ht="12" customHeight="1">
      <c r="A47" s="12" t="s">
        <v>117</v>
      </c>
      <c r="B47" s="180" t="s">
        <v>190</v>
      </c>
      <c r="C47" s="167"/>
      <c r="D47" s="254"/>
      <c r="E47" s="103"/>
    </row>
    <row r="48" spans="1:5" s="178" customFormat="1" ht="12" customHeight="1">
      <c r="A48" s="12" t="s">
        <v>118</v>
      </c>
      <c r="B48" s="180" t="s">
        <v>483</v>
      </c>
      <c r="C48" s="167"/>
      <c r="D48" s="254"/>
      <c r="E48" s="103"/>
    </row>
    <row r="49" spans="1:5" s="178" customFormat="1" ht="12" customHeight="1">
      <c r="A49" s="12" t="s">
        <v>182</v>
      </c>
      <c r="B49" s="180" t="s">
        <v>192</v>
      </c>
      <c r="C49" s="170"/>
      <c r="D49" s="286"/>
      <c r="E49" s="106">
        <v>2202</v>
      </c>
    </row>
    <row r="50" spans="1:5" s="178" customFormat="1" ht="12" customHeight="1">
      <c r="A50" s="14" t="s">
        <v>183</v>
      </c>
      <c r="B50" s="181" t="s">
        <v>337</v>
      </c>
      <c r="C50" s="171"/>
      <c r="D50" s="287"/>
      <c r="E50" s="107">
        <v>274605</v>
      </c>
    </row>
    <row r="51" spans="1:5" s="178" customFormat="1" ht="12" customHeight="1" thickBot="1">
      <c r="A51" s="14" t="s">
        <v>336</v>
      </c>
      <c r="B51" s="111" t="s">
        <v>193</v>
      </c>
      <c r="C51" s="171"/>
      <c r="D51" s="287"/>
      <c r="E51" s="287">
        <v>1752435</v>
      </c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4900000</v>
      </c>
      <c r="E52" s="102">
        <f>SUM(E53:E57)</f>
        <v>13889915</v>
      </c>
    </row>
    <row r="53" spans="1:5" s="178" customFormat="1" ht="12" customHeight="1">
      <c r="A53" s="13" t="s">
        <v>59</v>
      </c>
      <c r="B53" s="179" t="s">
        <v>198</v>
      </c>
      <c r="C53" s="219"/>
      <c r="D53" s="219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286">
        <v>4900000</v>
      </c>
      <c r="E54" s="106">
        <v>13882041</v>
      </c>
    </row>
    <row r="55" spans="1:5" s="178" customFormat="1" ht="12" customHeight="1">
      <c r="A55" s="12" t="s">
        <v>195</v>
      </c>
      <c r="B55" s="180" t="s">
        <v>200</v>
      </c>
      <c r="C55" s="170"/>
      <c r="D55" s="286"/>
      <c r="E55" s="106">
        <v>7874</v>
      </c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1464615</v>
      </c>
      <c r="E58" s="102">
        <f>SUM(E59:E61)</f>
        <v>3082418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329</v>
      </c>
      <c r="C60" s="167"/>
      <c r="D60" s="254">
        <v>1000000</v>
      </c>
      <c r="E60" s="103">
        <v>1117803</v>
      </c>
    </row>
    <row r="61" spans="1:5" s="178" customFormat="1" ht="12" customHeight="1">
      <c r="A61" s="12" t="s">
        <v>207</v>
      </c>
      <c r="B61" s="180" t="s">
        <v>205</v>
      </c>
      <c r="C61" s="167"/>
      <c r="D61" s="254">
        <v>464615</v>
      </c>
      <c r="E61" s="103">
        <v>1964615</v>
      </c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21351678</v>
      </c>
      <c r="D63" s="166">
        <f>SUM(D64:D66)</f>
        <v>30212440</v>
      </c>
      <c r="E63" s="102">
        <f>SUM(E64:E66)</f>
        <v>34270135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330</v>
      </c>
      <c r="C65" s="170"/>
      <c r="D65" s="286"/>
      <c r="E65" s="106">
        <v>1384184</v>
      </c>
    </row>
    <row r="66" spans="1:5" s="178" customFormat="1" ht="12" customHeight="1">
      <c r="A66" s="12" t="s">
        <v>144</v>
      </c>
      <c r="B66" s="180" t="s">
        <v>212</v>
      </c>
      <c r="C66" s="170">
        <v>21351678</v>
      </c>
      <c r="D66" s="286">
        <v>30212440</v>
      </c>
      <c r="E66" s="106">
        <v>32885951</v>
      </c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2" t="s">
        <v>377</v>
      </c>
      <c r="B68" s="19" t="s">
        <v>214</v>
      </c>
      <c r="C68" s="172">
        <f>+C11+C18+C25+C32+C40+C52+C58+C63</f>
        <v>478493054</v>
      </c>
      <c r="D68" s="172">
        <f>+D11+D18+D25+D32+D40+D52+D58+D63</f>
        <v>908013420</v>
      </c>
      <c r="E68" s="208">
        <f>+E11+E18+E25+E32+E40+E52+E58+E63</f>
        <v>978850816</v>
      </c>
    </row>
    <row r="69" spans="1:5" s="178" customFormat="1" ht="12" customHeight="1" thickBot="1">
      <c r="A69" s="220" t="s">
        <v>215</v>
      </c>
      <c r="B69" s="109" t="s">
        <v>216</v>
      </c>
      <c r="C69" s="166">
        <f>SUM(C70:C72)</f>
        <v>209767404</v>
      </c>
      <c r="D69" s="166">
        <f>SUM(D70:D72)</f>
        <v>37952321</v>
      </c>
      <c r="E69" s="102">
        <f>SUM(E70:E72)</f>
        <v>37952321</v>
      </c>
    </row>
    <row r="70" spans="1:5" s="178" customFormat="1" ht="12" customHeight="1">
      <c r="A70" s="13" t="s">
        <v>244</v>
      </c>
      <c r="B70" s="179" t="s">
        <v>217</v>
      </c>
      <c r="C70" s="170">
        <v>209767404</v>
      </c>
      <c r="D70" s="286">
        <v>16443546</v>
      </c>
      <c r="E70" s="286">
        <v>16443546</v>
      </c>
    </row>
    <row r="71" spans="1:5" s="178" customFormat="1" ht="12" customHeight="1">
      <c r="A71" s="12" t="s">
        <v>253</v>
      </c>
      <c r="B71" s="180" t="s">
        <v>218</v>
      </c>
      <c r="C71" s="170"/>
      <c r="D71" s="286">
        <v>21508775</v>
      </c>
      <c r="E71" s="286">
        <v>21508775</v>
      </c>
    </row>
    <row r="72" spans="1:5" s="178" customFormat="1" ht="12" customHeight="1" thickBot="1">
      <c r="A72" s="14" t="s">
        <v>254</v>
      </c>
      <c r="B72" s="228" t="s">
        <v>362</v>
      </c>
      <c r="C72" s="170"/>
      <c r="D72" s="170"/>
      <c r="E72" s="106"/>
    </row>
    <row r="73" spans="1:5" s="178" customFormat="1" ht="12" customHeight="1" thickBot="1">
      <c r="A73" s="220" t="s">
        <v>220</v>
      </c>
      <c r="B73" s="109" t="s">
        <v>221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7" t="s">
        <v>222</v>
      </c>
      <c r="C74" s="170"/>
      <c r="D74" s="170"/>
      <c r="E74" s="170"/>
    </row>
    <row r="75" spans="1:5" s="178" customFormat="1" ht="12" customHeight="1">
      <c r="A75" s="12" t="s">
        <v>99</v>
      </c>
      <c r="B75" s="307" t="s">
        <v>490</v>
      </c>
      <c r="C75" s="170"/>
      <c r="D75" s="170"/>
      <c r="E75" s="106"/>
    </row>
    <row r="76" spans="1:5" s="178" customFormat="1" ht="12" customHeight="1">
      <c r="A76" s="12" t="s">
        <v>245</v>
      </c>
      <c r="B76" s="307" t="s">
        <v>223</v>
      </c>
      <c r="C76" s="170"/>
      <c r="D76" s="170"/>
      <c r="E76" s="106"/>
    </row>
    <row r="77" spans="1:5" s="178" customFormat="1" ht="12" customHeight="1" thickBot="1">
      <c r="A77" s="14" t="s">
        <v>246</v>
      </c>
      <c r="B77" s="308" t="s">
        <v>491</v>
      </c>
      <c r="C77" s="170"/>
      <c r="D77" s="170"/>
      <c r="E77" s="106"/>
    </row>
    <row r="78" spans="1:5" s="178" customFormat="1" ht="12" customHeight="1" thickBot="1">
      <c r="A78" s="220" t="s">
        <v>224</v>
      </c>
      <c r="B78" s="109" t="s">
        <v>225</v>
      </c>
      <c r="C78" s="166">
        <f>SUM(C79:C80)</f>
        <v>1072555787</v>
      </c>
      <c r="D78" s="166">
        <f>SUM(D79:D80)</f>
        <v>1135708296</v>
      </c>
      <c r="E78" s="102">
        <f>SUM(E79:E80)</f>
        <v>1135708296</v>
      </c>
    </row>
    <row r="79" spans="1:5" s="178" customFormat="1" ht="12" customHeight="1">
      <c r="A79" s="13" t="s">
        <v>247</v>
      </c>
      <c r="B79" s="179" t="s">
        <v>226</v>
      </c>
      <c r="C79" s="170">
        <v>1072555787</v>
      </c>
      <c r="D79" s="170">
        <v>1135708296</v>
      </c>
      <c r="E79" s="170">
        <v>1135708296</v>
      </c>
    </row>
    <row r="80" spans="1:5" s="178" customFormat="1" ht="12" customHeight="1" thickBot="1">
      <c r="A80" s="14" t="s">
        <v>248</v>
      </c>
      <c r="B80" s="111" t="s">
        <v>227</v>
      </c>
      <c r="C80" s="170"/>
      <c r="D80" s="170"/>
      <c r="E80" s="106"/>
    </row>
    <row r="81" spans="1:5" s="178" customFormat="1" ht="12" customHeight="1" thickBot="1">
      <c r="A81" s="220" t="s">
        <v>228</v>
      </c>
      <c r="B81" s="109" t="s">
        <v>229</v>
      </c>
      <c r="C81" s="166">
        <f>SUM(C82:C84)</f>
        <v>0</v>
      </c>
      <c r="D81" s="166">
        <f>SUM(D82:D84)</f>
        <v>0</v>
      </c>
      <c r="E81" s="102">
        <f>SUM(E82:E84)</f>
        <v>9483636</v>
      </c>
    </row>
    <row r="82" spans="1:5" s="178" customFormat="1" ht="12" customHeight="1">
      <c r="A82" s="13" t="s">
        <v>249</v>
      </c>
      <c r="B82" s="179" t="s">
        <v>230</v>
      </c>
      <c r="C82" s="170"/>
      <c r="D82" s="170"/>
      <c r="E82" s="106">
        <v>9483636</v>
      </c>
    </row>
    <row r="83" spans="1:5" s="178" customFormat="1" ht="12" customHeight="1">
      <c r="A83" s="12" t="s">
        <v>250</v>
      </c>
      <c r="B83" s="180" t="s">
        <v>231</v>
      </c>
      <c r="C83" s="170"/>
      <c r="D83" s="170"/>
      <c r="E83" s="106"/>
    </row>
    <row r="84" spans="1:5" s="178" customFormat="1" ht="12" customHeight="1" thickBot="1">
      <c r="A84" s="14" t="s">
        <v>251</v>
      </c>
      <c r="B84" s="111" t="s">
        <v>492</v>
      </c>
      <c r="C84" s="170"/>
      <c r="D84" s="170"/>
      <c r="E84" s="106"/>
    </row>
    <row r="85" spans="1:5" s="178" customFormat="1" ht="12" customHeight="1" thickBot="1">
      <c r="A85" s="220" t="s">
        <v>232</v>
      </c>
      <c r="B85" s="109" t="s">
        <v>252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233</v>
      </c>
      <c r="B86" s="179" t="s">
        <v>234</v>
      </c>
      <c r="C86" s="170"/>
      <c r="D86" s="170"/>
      <c r="E86" s="106"/>
    </row>
    <row r="87" spans="1:5" s="178" customFormat="1" ht="12" customHeight="1">
      <c r="A87" s="184" t="s">
        <v>235</v>
      </c>
      <c r="B87" s="180" t="s">
        <v>236</v>
      </c>
      <c r="C87" s="170"/>
      <c r="D87" s="170"/>
      <c r="E87" s="106"/>
    </row>
    <row r="88" spans="1:5" s="178" customFormat="1" ht="12" customHeight="1">
      <c r="A88" s="184" t="s">
        <v>237</v>
      </c>
      <c r="B88" s="180" t="s">
        <v>238</v>
      </c>
      <c r="C88" s="170"/>
      <c r="D88" s="170"/>
      <c r="E88" s="106"/>
    </row>
    <row r="89" spans="1:5" s="178" customFormat="1" ht="12" customHeight="1" thickBot="1">
      <c r="A89" s="185" t="s">
        <v>239</v>
      </c>
      <c r="B89" s="111" t="s">
        <v>240</v>
      </c>
      <c r="C89" s="170"/>
      <c r="D89" s="170"/>
      <c r="E89" s="106"/>
    </row>
    <row r="90" spans="1:5" s="178" customFormat="1" ht="12" customHeight="1" thickBot="1">
      <c r="A90" s="220" t="s">
        <v>241</v>
      </c>
      <c r="B90" s="109" t="s">
        <v>376</v>
      </c>
      <c r="C90" s="222"/>
      <c r="D90" s="222"/>
      <c r="E90" s="223"/>
    </row>
    <row r="91" spans="1:5" s="178" customFormat="1" ht="13.5" customHeight="1" thickBot="1">
      <c r="A91" s="220" t="s">
        <v>243</v>
      </c>
      <c r="B91" s="109" t="s">
        <v>242</v>
      </c>
      <c r="C91" s="222"/>
      <c r="D91" s="222"/>
      <c r="E91" s="223"/>
    </row>
    <row r="92" spans="1:5" s="178" customFormat="1" ht="15.75" customHeight="1" thickBot="1">
      <c r="A92" s="220" t="s">
        <v>255</v>
      </c>
      <c r="B92" s="186" t="s">
        <v>379</v>
      </c>
      <c r="C92" s="172">
        <f>+C69+C73+C78+C81+C85+C91+C90</f>
        <v>1282323191</v>
      </c>
      <c r="D92" s="172">
        <f>+D69+D73+D78+D81+D85+D91+D90</f>
        <v>1173660617</v>
      </c>
      <c r="E92" s="208">
        <f>+E69+E73+E78+E81+E85+E91+E90</f>
        <v>1183144253</v>
      </c>
    </row>
    <row r="93" spans="1:5" s="178" customFormat="1" ht="25.5" customHeight="1" thickBot="1">
      <c r="A93" s="221" t="s">
        <v>378</v>
      </c>
      <c r="B93" s="187" t="s">
        <v>380</v>
      </c>
      <c r="C93" s="172">
        <f>+C68+C92</f>
        <v>1760816245</v>
      </c>
      <c r="D93" s="172">
        <f>+D68+D92</f>
        <v>2081674037</v>
      </c>
      <c r="E93" s="208">
        <f>+E68+E92</f>
        <v>2161995069</v>
      </c>
    </row>
    <row r="94" spans="1:3" s="178" customFormat="1" ht="15" customHeight="1">
      <c r="A94" s="3"/>
      <c r="B94" s="4"/>
      <c r="C94" s="113"/>
    </row>
    <row r="95" spans="1:5" ht="16.5" customHeight="1">
      <c r="A95" s="784" t="s">
        <v>34</v>
      </c>
      <c r="B95" s="784"/>
      <c r="C95" s="784"/>
      <c r="D95" s="784"/>
      <c r="E95" s="784"/>
    </row>
    <row r="96" spans="1:5" s="188" customFormat="1" ht="16.5" customHeight="1" thickBot="1">
      <c r="A96" s="786" t="s">
        <v>101</v>
      </c>
      <c r="B96" s="786"/>
      <c r="C96" s="60"/>
      <c r="E96" s="60" t="str">
        <f>E7</f>
        <v> Forintban!</v>
      </c>
    </row>
    <row r="97" spans="1:5" ht="15.75">
      <c r="A97" s="793" t="s">
        <v>51</v>
      </c>
      <c r="B97" s="795" t="s">
        <v>420</v>
      </c>
      <c r="C97" s="779" t="str">
        <f>+CONCATENATE(LEFT(Z_ÖSSZEFÜGGÉSEK!A6,4),". évi")</f>
        <v>2019. évi</v>
      </c>
      <c r="D97" s="780"/>
      <c r="E97" s="781"/>
    </row>
    <row r="98" spans="1:5" ht="24.75" thickBot="1">
      <c r="A98" s="794"/>
      <c r="B98" s="796"/>
      <c r="C98" s="249" t="s">
        <v>418</v>
      </c>
      <c r="D98" s="248" t="s">
        <v>419</v>
      </c>
      <c r="E98" s="309" t="str">
        <f>CONCATENATE(E9)</f>
        <v>2019. XII. 31.
teljesítés</v>
      </c>
    </row>
    <row r="99" spans="1:5" s="177" customFormat="1" ht="12" customHeight="1" thickBot="1">
      <c r="A99" s="25" t="s">
        <v>385</v>
      </c>
      <c r="B99" s="26" t="s">
        <v>386</v>
      </c>
      <c r="C99" s="26" t="s">
        <v>387</v>
      </c>
      <c r="D99" s="26" t="s">
        <v>389</v>
      </c>
      <c r="E99" s="260" t="s">
        <v>388</v>
      </c>
    </row>
    <row r="100" spans="1:5" ht="12" customHeight="1" thickBot="1">
      <c r="A100" s="20" t="s">
        <v>6</v>
      </c>
      <c r="B100" s="24" t="s">
        <v>338</v>
      </c>
      <c r="C100" s="165">
        <f>C101+C102+C103+C104+C105+C118</f>
        <v>583456823</v>
      </c>
      <c r="D100" s="165">
        <f>D101+D102+D103+D104+D105+D118</f>
        <v>765616541</v>
      </c>
      <c r="E100" s="235">
        <f>E101+E102+E103+E104+E105+E118</f>
        <v>634730006</v>
      </c>
    </row>
    <row r="101" spans="1:5" ht="12" customHeight="1">
      <c r="A101" s="15" t="s">
        <v>63</v>
      </c>
      <c r="B101" s="8" t="s">
        <v>35</v>
      </c>
      <c r="C101" s="242">
        <v>226134593</v>
      </c>
      <c r="D101" s="242">
        <v>242765014</v>
      </c>
      <c r="E101" s="236">
        <v>240676124</v>
      </c>
    </row>
    <row r="102" spans="1:5" ht="12" customHeight="1">
      <c r="A102" s="12" t="s">
        <v>64</v>
      </c>
      <c r="B102" s="6" t="s">
        <v>122</v>
      </c>
      <c r="C102" s="167">
        <v>40914339</v>
      </c>
      <c r="D102" s="167">
        <v>43083403</v>
      </c>
      <c r="E102" s="103">
        <v>42111384</v>
      </c>
    </row>
    <row r="103" spans="1:5" ht="12" customHeight="1">
      <c r="A103" s="12" t="s">
        <v>65</v>
      </c>
      <c r="B103" s="6" t="s">
        <v>90</v>
      </c>
      <c r="C103" s="169">
        <v>189430477</v>
      </c>
      <c r="D103" s="167">
        <v>291118819</v>
      </c>
      <c r="E103" s="105">
        <v>234235266</v>
      </c>
    </row>
    <row r="104" spans="1:5" ht="12" customHeight="1">
      <c r="A104" s="12" t="s">
        <v>66</v>
      </c>
      <c r="B104" s="9" t="s">
        <v>123</v>
      </c>
      <c r="C104" s="169">
        <v>11784000</v>
      </c>
      <c r="D104" s="255">
        <v>16937241</v>
      </c>
      <c r="E104" s="105">
        <v>14472091</v>
      </c>
    </row>
    <row r="105" spans="1:5" ht="12" customHeight="1">
      <c r="A105" s="12" t="s">
        <v>75</v>
      </c>
      <c r="B105" s="17" t="s">
        <v>124</v>
      </c>
      <c r="C105" s="169">
        <f>SUM(C106:C117)</f>
        <v>115193414</v>
      </c>
      <c r="D105" s="169">
        <f>SUM(D106:D117)</f>
        <v>106530145</v>
      </c>
      <c r="E105" s="169">
        <f>SUM(E106:E117)</f>
        <v>103235141</v>
      </c>
    </row>
    <row r="106" spans="1:5" ht="12" customHeight="1">
      <c r="A106" s="12" t="s">
        <v>67</v>
      </c>
      <c r="B106" s="6" t="s">
        <v>343</v>
      </c>
      <c r="C106" s="169"/>
      <c r="D106" s="255">
        <v>321833</v>
      </c>
      <c r="E106" s="105">
        <v>321833</v>
      </c>
    </row>
    <row r="107" spans="1:5" ht="12" customHeight="1">
      <c r="A107" s="12" t="s">
        <v>68</v>
      </c>
      <c r="B107" s="64" t="s">
        <v>342</v>
      </c>
      <c r="C107" s="169"/>
      <c r="D107" s="255"/>
      <c r="E107" s="105"/>
    </row>
    <row r="108" spans="1:5" ht="12" customHeight="1">
      <c r="A108" s="12" t="s">
        <v>76</v>
      </c>
      <c r="B108" s="64" t="s">
        <v>341</v>
      </c>
      <c r="C108" s="169"/>
      <c r="D108" s="255"/>
      <c r="E108" s="105"/>
    </row>
    <row r="109" spans="1:5" ht="12" customHeight="1">
      <c r="A109" s="12" t="s">
        <v>77</v>
      </c>
      <c r="B109" s="62" t="s">
        <v>258</v>
      </c>
      <c r="C109" s="169"/>
      <c r="D109" s="255"/>
      <c r="E109" s="105"/>
    </row>
    <row r="110" spans="1:5" ht="12" customHeight="1">
      <c r="A110" s="12" t="s">
        <v>78</v>
      </c>
      <c r="B110" s="63" t="s">
        <v>259</v>
      </c>
      <c r="C110" s="169"/>
      <c r="D110" s="255"/>
      <c r="E110" s="105"/>
    </row>
    <row r="111" spans="1:5" ht="12" customHeight="1">
      <c r="A111" s="12" t="s">
        <v>79</v>
      </c>
      <c r="B111" s="63" t="s">
        <v>260</v>
      </c>
      <c r="C111" s="169"/>
      <c r="D111" s="255"/>
      <c r="E111" s="105"/>
    </row>
    <row r="112" spans="1:5" ht="12" customHeight="1">
      <c r="A112" s="12" t="s">
        <v>81</v>
      </c>
      <c r="B112" s="62" t="s">
        <v>261</v>
      </c>
      <c r="C112" s="169">
        <v>109693414</v>
      </c>
      <c r="D112" s="255">
        <v>99708312</v>
      </c>
      <c r="E112" s="105">
        <v>96746689</v>
      </c>
    </row>
    <row r="113" spans="1:5" ht="12" customHeight="1">
      <c r="A113" s="12" t="s">
        <v>125</v>
      </c>
      <c r="B113" s="62" t="s">
        <v>262</v>
      </c>
      <c r="C113" s="169"/>
      <c r="D113" s="255"/>
      <c r="E113" s="105"/>
    </row>
    <row r="114" spans="1:5" ht="12" customHeight="1">
      <c r="A114" s="12" t="s">
        <v>256</v>
      </c>
      <c r="B114" s="63" t="s">
        <v>263</v>
      </c>
      <c r="C114" s="167"/>
      <c r="D114" s="255">
        <v>1000000</v>
      </c>
      <c r="E114" s="105">
        <v>1000000</v>
      </c>
    </row>
    <row r="115" spans="1:5" ht="12" customHeight="1">
      <c r="A115" s="11" t="s">
        <v>257</v>
      </c>
      <c r="B115" s="64" t="s">
        <v>264</v>
      </c>
      <c r="C115" s="169"/>
      <c r="D115" s="255"/>
      <c r="E115" s="105"/>
    </row>
    <row r="116" spans="1:5" ht="12" customHeight="1">
      <c r="A116" s="12" t="s">
        <v>339</v>
      </c>
      <c r="B116" s="64" t="s">
        <v>265</v>
      </c>
      <c r="C116" s="169"/>
      <c r="D116" s="255"/>
      <c r="E116" s="105"/>
    </row>
    <row r="117" spans="1:5" ht="12" customHeight="1">
      <c r="A117" s="14" t="s">
        <v>340</v>
      </c>
      <c r="B117" s="64" t="s">
        <v>266</v>
      </c>
      <c r="C117" s="167">
        <v>5500000</v>
      </c>
      <c r="D117" s="254">
        <v>5500000</v>
      </c>
      <c r="E117" s="103">
        <v>5166619</v>
      </c>
    </row>
    <row r="118" spans="1:5" ht="12" customHeight="1">
      <c r="A118" s="12" t="s">
        <v>344</v>
      </c>
      <c r="B118" s="9" t="s">
        <v>36</v>
      </c>
      <c r="C118" s="167"/>
      <c r="D118" s="254">
        <f>SUM(D119:D120)</f>
        <v>65181919</v>
      </c>
      <c r="E118" s="103"/>
    </row>
    <row r="119" spans="1:5" ht="12" customHeight="1">
      <c r="A119" s="12" t="s">
        <v>345</v>
      </c>
      <c r="B119" s="6" t="s">
        <v>347</v>
      </c>
      <c r="C119" s="169"/>
      <c r="D119" s="255"/>
      <c r="E119" s="105"/>
    </row>
    <row r="120" spans="1:5" ht="12" customHeight="1" thickBot="1">
      <c r="A120" s="16" t="s">
        <v>346</v>
      </c>
      <c r="B120" s="231" t="s">
        <v>348</v>
      </c>
      <c r="C120" s="243"/>
      <c r="D120" s="243">
        <v>65181919</v>
      </c>
      <c r="E120" s="237"/>
    </row>
    <row r="121" spans="1:5" ht="12" customHeight="1" thickBot="1">
      <c r="A121" s="229" t="s">
        <v>7</v>
      </c>
      <c r="B121" s="230" t="s">
        <v>267</v>
      </c>
      <c r="C121" s="244">
        <f>+C122+C124+C126</f>
        <v>1168776391</v>
      </c>
      <c r="D121" s="166">
        <f>+D122+D124+D126</f>
        <v>1005265692</v>
      </c>
      <c r="E121" s="238">
        <f>+E122+E124+E126</f>
        <v>260304060</v>
      </c>
    </row>
    <row r="122" spans="1:5" ht="12" customHeight="1">
      <c r="A122" s="13" t="s">
        <v>69</v>
      </c>
      <c r="B122" s="6" t="s">
        <v>143</v>
      </c>
      <c r="C122" s="168">
        <v>1021875591</v>
      </c>
      <c r="D122" s="253">
        <v>849064923</v>
      </c>
      <c r="E122" s="104">
        <v>131096425</v>
      </c>
    </row>
    <row r="123" spans="1:5" ht="12" customHeight="1">
      <c r="A123" s="13" t="s">
        <v>70</v>
      </c>
      <c r="B123" s="10" t="s">
        <v>271</v>
      </c>
      <c r="C123" s="168">
        <v>983055591</v>
      </c>
      <c r="D123" s="253">
        <v>789731783</v>
      </c>
      <c r="E123" s="104">
        <v>77826441</v>
      </c>
    </row>
    <row r="124" spans="1:5" ht="12" customHeight="1">
      <c r="A124" s="13" t="s">
        <v>71</v>
      </c>
      <c r="B124" s="10" t="s">
        <v>126</v>
      </c>
      <c r="C124" s="167">
        <v>140900800</v>
      </c>
      <c r="D124" s="254">
        <v>121525579</v>
      </c>
      <c r="E124" s="103">
        <v>94559285</v>
      </c>
    </row>
    <row r="125" spans="1:5" ht="12" customHeight="1">
      <c r="A125" s="13" t="s">
        <v>72</v>
      </c>
      <c r="B125" s="10" t="s">
        <v>272</v>
      </c>
      <c r="C125" s="167">
        <v>123591800</v>
      </c>
      <c r="D125" s="254">
        <v>97316378</v>
      </c>
      <c r="E125" s="103">
        <v>75079679</v>
      </c>
    </row>
    <row r="126" spans="1:5" ht="12" customHeight="1">
      <c r="A126" s="13" t="s">
        <v>73</v>
      </c>
      <c r="B126" s="111" t="s">
        <v>145</v>
      </c>
      <c r="C126" s="167">
        <f>SUM(C127:C134)</f>
        <v>6000000</v>
      </c>
      <c r="D126" s="167">
        <f>SUM(D127:D134)</f>
        <v>34675190</v>
      </c>
      <c r="E126" s="167">
        <f>SUM(E127:E134)</f>
        <v>34648350</v>
      </c>
    </row>
    <row r="127" spans="1:5" ht="12" customHeight="1">
      <c r="A127" s="13" t="s">
        <v>80</v>
      </c>
      <c r="B127" s="110" t="s">
        <v>331</v>
      </c>
      <c r="C127" s="167"/>
      <c r="D127" s="254"/>
      <c r="E127" s="103"/>
    </row>
    <row r="128" spans="1:5" ht="12" customHeight="1">
      <c r="A128" s="13" t="s">
        <v>82</v>
      </c>
      <c r="B128" s="175" t="s">
        <v>277</v>
      </c>
      <c r="C128" s="167"/>
      <c r="D128" s="254"/>
      <c r="E128" s="103"/>
    </row>
    <row r="129" spans="1:5" ht="15.75">
      <c r="A129" s="13" t="s">
        <v>127</v>
      </c>
      <c r="B129" s="63" t="s">
        <v>260</v>
      </c>
      <c r="C129" s="167"/>
      <c r="D129" s="254"/>
      <c r="E129" s="103"/>
    </row>
    <row r="130" spans="1:5" ht="12" customHeight="1">
      <c r="A130" s="13" t="s">
        <v>128</v>
      </c>
      <c r="B130" s="63" t="s">
        <v>276</v>
      </c>
      <c r="C130" s="167"/>
      <c r="D130" s="254"/>
      <c r="E130" s="103"/>
    </row>
    <row r="131" spans="1:5" ht="12" customHeight="1">
      <c r="A131" s="13" t="s">
        <v>129</v>
      </c>
      <c r="B131" s="63" t="s">
        <v>275</v>
      </c>
      <c r="C131" s="167"/>
      <c r="D131" s="254"/>
      <c r="E131" s="103"/>
    </row>
    <row r="132" spans="1:5" ht="12" customHeight="1">
      <c r="A132" s="13" t="s">
        <v>268</v>
      </c>
      <c r="B132" s="63" t="s">
        <v>263</v>
      </c>
      <c r="C132" s="167"/>
      <c r="D132" s="254">
        <v>34558350</v>
      </c>
      <c r="E132" s="254">
        <v>34558350</v>
      </c>
    </row>
    <row r="133" spans="1:5" ht="12" customHeight="1">
      <c r="A133" s="13" t="s">
        <v>269</v>
      </c>
      <c r="B133" s="63" t="s">
        <v>274</v>
      </c>
      <c r="C133" s="167"/>
      <c r="D133" s="254"/>
      <c r="E133" s="103"/>
    </row>
    <row r="134" spans="1:5" ht="16.5" thickBot="1">
      <c r="A134" s="11" t="s">
        <v>270</v>
      </c>
      <c r="B134" s="63" t="s">
        <v>273</v>
      </c>
      <c r="C134" s="169">
        <v>6000000</v>
      </c>
      <c r="D134" s="255">
        <v>116840</v>
      </c>
      <c r="E134" s="105">
        <v>90000</v>
      </c>
    </row>
    <row r="135" spans="1:5" ht="12" customHeight="1" thickBot="1">
      <c r="A135" s="18" t="s">
        <v>8</v>
      </c>
      <c r="B135" s="56" t="s">
        <v>349</v>
      </c>
      <c r="C135" s="166">
        <f>+C100+C121</f>
        <v>1752233214</v>
      </c>
      <c r="D135" s="252">
        <f>+D100+D121</f>
        <v>1770882233</v>
      </c>
      <c r="E135" s="102">
        <f>+E100+E121</f>
        <v>895034066</v>
      </c>
    </row>
    <row r="136" spans="1:5" ht="12" customHeight="1" thickBot="1">
      <c r="A136" s="18" t="s">
        <v>9</v>
      </c>
      <c r="B136" s="56" t="s">
        <v>421</v>
      </c>
      <c r="C136" s="166">
        <f>+C137+C138+C139</f>
        <v>0</v>
      </c>
      <c r="D136" s="252">
        <f>+D137+D138+D139</f>
        <v>21508775</v>
      </c>
      <c r="E136" s="102">
        <f>+E137+E138+E139</f>
        <v>21508775</v>
      </c>
    </row>
    <row r="137" spans="1:5" ht="12" customHeight="1">
      <c r="A137" s="13" t="s">
        <v>177</v>
      </c>
      <c r="B137" s="10" t="s">
        <v>357</v>
      </c>
      <c r="C137" s="167"/>
      <c r="D137" s="254"/>
      <c r="E137" s="103"/>
    </row>
    <row r="138" spans="1:5" ht="12" customHeight="1">
      <c r="A138" s="13" t="s">
        <v>178</v>
      </c>
      <c r="B138" s="10" t="s">
        <v>358</v>
      </c>
      <c r="C138" s="167"/>
      <c r="D138" s="167">
        <v>21508775</v>
      </c>
      <c r="E138" s="167">
        <v>21508775</v>
      </c>
    </row>
    <row r="139" spans="1:5" ht="12" customHeight="1" thickBot="1">
      <c r="A139" s="11" t="s">
        <v>179</v>
      </c>
      <c r="B139" s="10" t="s">
        <v>359</v>
      </c>
      <c r="C139" s="167"/>
      <c r="D139" s="254"/>
      <c r="E139" s="103"/>
    </row>
    <row r="140" spans="1:5" ht="12" customHeight="1" thickBot="1">
      <c r="A140" s="18" t="s">
        <v>10</v>
      </c>
      <c r="B140" s="56" t="s">
        <v>351</v>
      </c>
      <c r="C140" s="166">
        <f>SUM(C141:C146)</f>
        <v>0</v>
      </c>
      <c r="D140" s="252">
        <f>SUM(D141:D146)</f>
        <v>280699998</v>
      </c>
      <c r="E140" s="102">
        <f>SUM(E141:E146)</f>
        <v>280699998</v>
      </c>
    </row>
    <row r="141" spans="1:5" ht="12" customHeight="1">
      <c r="A141" s="13" t="s">
        <v>56</v>
      </c>
      <c r="B141" s="7" t="s">
        <v>360</v>
      </c>
      <c r="C141" s="167"/>
      <c r="D141" s="254">
        <v>280699998</v>
      </c>
      <c r="E141" s="254">
        <v>280699998</v>
      </c>
    </row>
    <row r="142" spans="1:5" ht="12" customHeight="1">
      <c r="A142" s="13" t="s">
        <v>57</v>
      </c>
      <c r="B142" s="7" t="s">
        <v>352</v>
      </c>
      <c r="C142" s="167"/>
      <c r="D142" s="254"/>
      <c r="E142" s="103"/>
    </row>
    <row r="143" spans="1:5" ht="12" customHeight="1">
      <c r="A143" s="13" t="s">
        <v>58</v>
      </c>
      <c r="B143" s="7" t="s">
        <v>353</v>
      </c>
      <c r="C143" s="167"/>
      <c r="D143" s="254"/>
      <c r="E143" s="103"/>
    </row>
    <row r="144" spans="1:5" ht="12" customHeight="1">
      <c r="A144" s="13" t="s">
        <v>114</v>
      </c>
      <c r="B144" s="7" t="s">
        <v>354</v>
      </c>
      <c r="C144" s="167"/>
      <c r="D144" s="254"/>
      <c r="E144" s="103"/>
    </row>
    <row r="145" spans="1:5" ht="12" customHeight="1">
      <c r="A145" s="13" t="s">
        <v>115</v>
      </c>
      <c r="B145" s="7" t="s">
        <v>355</v>
      </c>
      <c r="C145" s="167"/>
      <c r="D145" s="254"/>
      <c r="E145" s="103"/>
    </row>
    <row r="146" spans="1:5" ht="12" customHeight="1" thickBot="1">
      <c r="A146" s="16" t="s">
        <v>116</v>
      </c>
      <c r="B146" s="315" t="s">
        <v>356</v>
      </c>
      <c r="C146" s="243"/>
      <c r="D146" s="292"/>
      <c r="E146" s="237"/>
    </row>
    <row r="147" spans="1:5" ht="12" customHeight="1" thickBot="1">
      <c r="A147" s="18" t="s">
        <v>11</v>
      </c>
      <c r="B147" s="56" t="s">
        <v>364</v>
      </c>
      <c r="C147" s="172">
        <f>+C148+C149+C150+C151</f>
        <v>8583031</v>
      </c>
      <c r="D147" s="256">
        <f>+D148+D149+D150+D151</f>
        <v>8583031</v>
      </c>
      <c r="E147" s="208">
        <f>+E148+E149+E150+E151</f>
        <v>8583031</v>
      </c>
    </row>
    <row r="148" spans="1:5" ht="12" customHeight="1">
      <c r="A148" s="13" t="s">
        <v>59</v>
      </c>
      <c r="B148" s="7" t="s">
        <v>278</v>
      </c>
      <c r="C148" s="167"/>
      <c r="D148" s="254"/>
      <c r="E148" s="103"/>
    </row>
    <row r="149" spans="1:5" ht="12" customHeight="1">
      <c r="A149" s="13" t="s">
        <v>60</v>
      </c>
      <c r="B149" s="7" t="s">
        <v>279</v>
      </c>
      <c r="C149" s="167">
        <v>8583031</v>
      </c>
      <c r="D149" s="167">
        <v>8583031</v>
      </c>
      <c r="E149" s="167">
        <v>8583031</v>
      </c>
    </row>
    <row r="150" spans="1:5" ht="12" customHeight="1">
      <c r="A150" s="13" t="s">
        <v>195</v>
      </c>
      <c r="B150" s="7" t="s">
        <v>365</v>
      </c>
      <c r="C150" s="167"/>
      <c r="D150" s="254"/>
      <c r="E150" s="103"/>
    </row>
    <row r="151" spans="1:5" ht="12" customHeight="1" thickBot="1">
      <c r="A151" s="11" t="s">
        <v>196</v>
      </c>
      <c r="B151" s="5" t="s">
        <v>295</v>
      </c>
      <c r="C151" s="167"/>
      <c r="D151" s="254"/>
      <c r="E151" s="103"/>
    </row>
    <row r="152" spans="1:5" ht="12" customHeight="1" thickBot="1">
      <c r="A152" s="18" t="s">
        <v>12</v>
      </c>
      <c r="B152" s="56" t="s">
        <v>366</v>
      </c>
      <c r="C152" s="245">
        <f>SUM(C153:C157)</f>
        <v>0</v>
      </c>
      <c r="D152" s="257">
        <f>SUM(D153:D157)</f>
        <v>0</v>
      </c>
      <c r="E152" s="239">
        <f>SUM(E153:E157)</f>
        <v>0</v>
      </c>
    </row>
    <row r="153" spans="1:5" ht="12" customHeight="1">
      <c r="A153" s="13" t="s">
        <v>61</v>
      </c>
      <c r="B153" s="7" t="s">
        <v>361</v>
      </c>
      <c r="C153" s="167"/>
      <c r="D153" s="254"/>
      <c r="E153" s="103"/>
    </row>
    <row r="154" spans="1:5" ht="12" customHeight="1">
      <c r="A154" s="13" t="s">
        <v>62</v>
      </c>
      <c r="B154" s="7" t="s">
        <v>368</v>
      </c>
      <c r="C154" s="167"/>
      <c r="D154" s="254"/>
      <c r="E154" s="103"/>
    </row>
    <row r="155" spans="1:5" ht="12" customHeight="1">
      <c r="A155" s="13" t="s">
        <v>207</v>
      </c>
      <c r="B155" s="7" t="s">
        <v>363</v>
      </c>
      <c r="C155" s="167"/>
      <c r="D155" s="254"/>
      <c r="E155" s="103"/>
    </row>
    <row r="156" spans="1:5" ht="12" customHeight="1">
      <c r="A156" s="13" t="s">
        <v>208</v>
      </c>
      <c r="B156" s="7" t="s">
        <v>369</v>
      </c>
      <c r="C156" s="167"/>
      <c r="D156" s="254"/>
      <c r="E156" s="103"/>
    </row>
    <row r="157" spans="1:5" ht="12" customHeight="1" thickBot="1">
      <c r="A157" s="13" t="s">
        <v>367</v>
      </c>
      <c r="B157" s="7" t="s">
        <v>370</v>
      </c>
      <c r="C157" s="167"/>
      <c r="D157" s="254"/>
      <c r="E157" s="103"/>
    </row>
    <row r="158" spans="1:5" ht="12" customHeight="1" thickBot="1">
      <c r="A158" s="18" t="s">
        <v>13</v>
      </c>
      <c r="B158" s="56" t="s">
        <v>371</v>
      </c>
      <c r="C158" s="246"/>
      <c r="D158" s="258"/>
      <c r="E158" s="240"/>
    </row>
    <row r="159" spans="1:5" ht="12" customHeight="1" thickBot="1">
      <c r="A159" s="18" t="s">
        <v>14</v>
      </c>
      <c r="B159" s="56" t="s">
        <v>372</v>
      </c>
      <c r="C159" s="246"/>
      <c r="D159" s="258"/>
      <c r="E159" s="240"/>
    </row>
    <row r="160" spans="1:9" ht="15" customHeight="1" thickBot="1">
      <c r="A160" s="18" t="s">
        <v>15</v>
      </c>
      <c r="B160" s="56" t="s">
        <v>374</v>
      </c>
      <c r="C160" s="247">
        <f>+C136+C140+C147+C152+C158+C159</f>
        <v>8583031</v>
      </c>
      <c r="D160" s="259">
        <f>+D136+D140+D147+D152+D158+D159</f>
        <v>310791804</v>
      </c>
      <c r="E160" s="241">
        <f>+E136+E140+E147+E152+E158+E159</f>
        <v>310791804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373</v>
      </c>
      <c r="C161" s="247">
        <f>+C135+C160</f>
        <v>1760816245</v>
      </c>
      <c r="D161" s="259">
        <f>+D135+D160</f>
        <v>2081674037</v>
      </c>
      <c r="E161" s="241">
        <f>+E135+E160</f>
        <v>1205825870</v>
      </c>
    </row>
    <row r="162" spans="3:4" ht="15.75">
      <c r="C162" s="589">
        <f>C93-C161</f>
        <v>0</v>
      </c>
      <c r="D162" s="589">
        <f>D93-D161</f>
        <v>0</v>
      </c>
    </row>
    <row r="163" spans="1:5" ht="15.75">
      <c r="A163" s="782" t="s">
        <v>280</v>
      </c>
      <c r="B163" s="782"/>
      <c r="C163" s="782"/>
      <c r="D163" s="782"/>
      <c r="E163" s="782"/>
    </row>
    <row r="164" spans="1:5" ht="15" customHeight="1" thickBot="1">
      <c r="A164" s="792" t="s">
        <v>102</v>
      </c>
      <c r="B164" s="792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375</v>
      </c>
      <c r="C165" s="251">
        <f>+C68-C135</f>
        <v>-1273740160</v>
      </c>
      <c r="D165" s="166">
        <f>+D68-D135</f>
        <v>-862868813</v>
      </c>
      <c r="E165" s="102">
        <f>+E68-E135</f>
        <v>83816750</v>
      </c>
    </row>
    <row r="166" spans="1:5" ht="32.25" customHeight="1" thickBot="1">
      <c r="A166" s="18" t="s">
        <v>7</v>
      </c>
      <c r="B166" s="23" t="s">
        <v>381</v>
      </c>
      <c r="C166" s="166">
        <f>+C92-C160</f>
        <v>1273740160</v>
      </c>
      <c r="D166" s="166">
        <f>+D92-D160</f>
        <v>862868813</v>
      </c>
      <c r="E166" s="102">
        <f>+E92-E160</f>
        <v>872352449</v>
      </c>
    </row>
  </sheetData>
  <sheetProtection sheet="1"/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D126" sqref="D126:E126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6"/>
      <c r="B1" s="787" t="str">
        <f>CONCATENATE("1.2. melléklet ",Z_ALAPADATOK!A7," ",Z_ALAPADATOK!B7," ",Z_ALAPADATOK!C7," ",Z_ALAPADATOK!D7," ",Z_ALAPADATOK!E7," ",Z_ALAPADATOK!F7," ",Z_ALAPADATOK!G7," ",Z_ALAPADATOK!H7)</f>
        <v>1.2. melléklet a 9 / 2020. ( VII.10. ) önkormányzati rendelethez</v>
      </c>
      <c r="C1" s="788"/>
      <c r="D1" s="788"/>
      <c r="E1" s="788"/>
    </row>
    <row r="2" spans="1:5" ht="15.75">
      <c r="A2" s="789" t="str">
        <f>CONCATENATE(Z_ALAPADATOK!A3)</f>
        <v>Besenyszög Város Önkormányzata</v>
      </c>
      <c r="B2" s="790"/>
      <c r="C2" s="790"/>
      <c r="D2" s="790"/>
      <c r="E2" s="790"/>
    </row>
    <row r="3" spans="1:5" ht="15.75">
      <c r="A3" s="789" t="str">
        <f>CONCATENATE(Z_ALAPADATOK!B1,". ÉVI ZÁRSZÁMADÁS")</f>
        <v>2019. ÉVI ZÁRSZÁMADÁS</v>
      </c>
      <c r="B3" s="789"/>
      <c r="C3" s="791"/>
      <c r="D3" s="789"/>
      <c r="E3" s="789"/>
    </row>
    <row r="4" spans="1:5" ht="17.25" customHeight="1">
      <c r="A4" s="789" t="s">
        <v>811</v>
      </c>
      <c r="B4" s="789"/>
      <c r="C4" s="791"/>
      <c r="D4" s="789"/>
      <c r="E4" s="789"/>
    </row>
    <row r="5" spans="1:5" ht="15.75">
      <c r="A5" s="316"/>
      <c r="B5" s="316"/>
      <c r="C5" s="317"/>
      <c r="D5" s="318"/>
      <c r="E5" s="318"/>
    </row>
    <row r="6" spans="1:5" ht="15.75" customHeight="1">
      <c r="A6" s="783" t="s">
        <v>3</v>
      </c>
      <c r="B6" s="783"/>
      <c r="C6" s="783"/>
      <c r="D6" s="783"/>
      <c r="E6" s="783"/>
    </row>
    <row r="7" spans="1:5" ht="15.75" customHeight="1" thickBot="1">
      <c r="A7" s="785" t="s">
        <v>100</v>
      </c>
      <c r="B7" s="785"/>
      <c r="C7" s="319"/>
      <c r="D7" s="318"/>
      <c r="E7" s="319" t="str">
        <f>CONCATENATE('Z_1.1.sz.mell.'!E7)</f>
        <v> Forintban!</v>
      </c>
    </row>
    <row r="8" spans="1:5" ht="15.75">
      <c r="A8" s="793" t="s">
        <v>51</v>
      </c>
      <c r="B8" s="795" t="s">
        <v>5</v>
      </c>
      <c r="C8" s="779" t="str">
        <f>+CONCATENATE(LEFT(Z_ÖSSZEFÜGGÉSEK!A6,4),". évi")</f>
        <v>2019. évi</v>
      </c>
      <c r="D8" s="780"/>
      <c r="E8" s="781"/>
    </row>
    <row r="9" spans="1:5" ht="24.75" thickBot="1">
      <c r="A9" s="794"/>
      <c r="B9" s="796"/>
      <c r="C9" s="249" t="s">
        <v>418</v>
      </c>
      <c r="D9" s="248" t="s">
        <v>419</v>
      </c>
      <c r="E9" s="309" t="str">
        <f>CONCATENATE('Z_1.1.sz.mell.'!E9)</f>
        <v>2019. XII. 31.
teljesítés</v>
      </c>
    </row>
    <row r="10" spans="1:5" s="177" customFormat="1" ht="12" customHeight="1" thickBot="1">
      <c r="A10" s="173" t="s">
        <v>385</v>
      </c>
      <c r="B10" s="174" t="s">
        <v>386</v>
      </c>
      <c r="C10" s="174" t="s">
        <v>387</v>
      </c>
      <c r="D10" s="174" t="s">
        <v>389</v>
      </c>
      <c r="E10" s="250" t="s">
        <v>388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226543851</v>
      </c>
      <c r="D11" s="166">
        <f>+D12+D13+D14+D15+D16+D17</f>
        <v>217116833</v>
      </c>
      <c r="E11" s="102">
        <f>+E12+E13+E14+E15+E16+E17</f>
        <v>217116833</v>
      </c>
    </row>
    <row r="12" spans="1:5" s="178" customFormat="1" ht="12" customHeight="1">
      <c r="A12" s="13" t="s">
        <v>63</v>
      </c>
      <c r="B12" s="179" t="s">
        <v>163</v>
      </c>
      <c r="C12" s="168">
        <v>65427658</v>
      </c>
      <c r="D12" s="253">
        <v>66417722</v>
      </c>
      <c r="E12" s="253">
        <v>66417722</v>
      </c>
    </row>
    <row r="13" spans="1:5" s="178" customFormat="1" ht="12" customHeight="1">
      <c r="A13" s="12" t="s">
        <v>64</v>
      </c>
      <c r="B13" s="180" t="s">
        <v>164</v>
      </c>
      <c r="C13" s="167">
        <v>75411400</v>
      </c>
      <c r="D13" s="254">
        <v>78931217</v>
      </c>
      <c r="E13" s="254">
        <v>78931217</v>
      </c>
    </row>
    <row r="14" spans="1:5" s="178" customFormat="1" ht="12" customHeight="1">
      <c r="A14" s="12" t="s">
        <v>65</v>
      </c>
      <c r="B14" s="180" t="s">
        <v>165</v>
      </c>
      <c r="C14" s="167">
        <v>49829765</v>
      </c>
      <c r="D14" s="254">
        <v>49006795</v>
      </c>
      <c r="E14" s="254">
        <v>49006795</v>
      </c>
    </row>
    <row r="15" spans="1:5" s="178" customFormat="1" ht="12" customHeight="1">
      <c r="A15" s="12" t="s">
        <v>66</v>
      </c>
      <c r="B15" s="180" t="s">
        <v>166</v>
      </c>
      <c r="C15" s="167">
        <v>4035350</v>
      </c>
      <c r="D15" s="254">
        <v>5111161</v>
      </c>
      <c r="E15" s="254">
        <v>5111161</v>
      </c>
    </row>
    <row r="16" spans="1:5" s="178" customFormat="1" ht="12" customHeight="1">
      <c r="A16" s="12" t="s">
        <v>97</v>
      </c>
      <c r="B16" s="110" t="s">
        <v>333</v>
      </c>
      <c r="C16" s="167">
        <v>31839678</v>
      </c>
      <c r="D16" s="254">
        <v>16861247</v>
      </c>
      <c r="E16" s="254">
        <v>16861247</v>
      </c>
    </row>
    <row r="17" spans="1:5" s="178" customFormat="1" ht="12" customHeight="1" thickBot="1">
      <c r="A17" s="14" t="s">
        <v>67</v>
      </c>
      <c r="B17" s="111" t="s">
        <v>334</v>
      </c>
      <c r="C17" s="167"/>
      <c r="D17" s="254">
        <v>788691</v>
      </c>
      <c r="E17" s="254">
        <v>788691</v>
      </c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69277425</v>
      </c>
      <c r="D18" s="166">
        <f>+D19+D20+D21+D22+D23</f>
        <v>177524746</v>
      </c>
      <c r="E18" s="102">
        <f>+E19+E20+E21+E22+E23</f>
        <v>191259424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325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326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69277425</v>
      </c>
      <c r="D23" s="167">
        <v>177524746</v>
      </c>
      <c r="E23" s="103">
        <v>191259424</v>
      </c>
    </row>
    <row r="24" spans="1:5" s="178" customFormat="1" ht="12" customHeight="1" thickBot="1">
      <c r="A24" s="14" t="s">
        <v>80</v>
      </c>
      <c r="B24" s="111" t="s">
        <v>171</v>
      </c>
      <c r="C24" s="169">
        <v>2742525</v>
      </c>
      <c r="D24" s="169">
        <v>99454067</v>
      </c>
      <c r="E24" s="105">
        <v>99454067</v>
      </c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0</v>
      </c>
      <c r="D25" s="166">
        <f>+D26+D27+D28+D29+D30</f>
        <v>297668709</v>
      </c>
      <c r="E25" s="102">
        <f>+E26+E27+E28+E29+E30</f>
        <v>297668709</v>
      </c>
    </row>
    <row r="26" spans="1:5" s="178" customFormat="1" ht="12" customHeight="1">
      <c r="A26" s="13" t="s">
        <v>52</v>
      </c>
      <c r="B26" s="179" t="s">
        <v>173</v>
      </c>
      <c r="C26" s="168"/>
      <c r="D26" s="168">
        <v>2000000</v>
      </c>
      <c r="E26" s="104">
        <v>2000000</v>
      </c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327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328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/>
      <c r="D30" s="167">
        <v>295668709</v>
      </c>
      <c r="E30" s="103">
        <v>295668709</v>
      </c>
    </row>
    <row r="31" spans="1:5" s="178" customFormat="1" ht="12" customHeight="1" thickBot="1">
      <c r="A31" s="14" t="s">
        <v>111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112</v>
      </c>
      <c r="B32" s="19" t="s">
        <v>476</v>
      </c>
      <c r="C32" s="172">
        <f>SUM(C33:C39)</f>
        <v>75500000</v>
      </c>
      <c r="D32" s="172">
        <f>SUM(D33:D39)</f>
        <v>75500000</v>
      </c>
      <c r="E32" s="208">
        <f>SUM(E33:E39)</f>
        <v>104503497</v>
      </c>
    </row>
    <row r="33" spans="1:5" s="178" customFormat="1" ht="12" customHeight="1">
      <c r="A33" s="13" t="s">
        <v>177</v>
      </c>
      <c r="B33" s="179" t="str">
        <f>'Z_1.1.sz.mell.'!B33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'Z_1.1.sz.mell.'!B34</f>
        <v>Telekadó</v>
      </c>
      <c r="C34" s="167"/>
      <c r="D34" s="167"/>
      <c r="E34" s="103"/>
    </row>
    <row r="35" spans="1:5" s="178" customFormat="1" ht="12" customHeight="1">
      <c r="A35" s="12" t="s">
        <v>179</v>
      </c>
      <c r="B35" s="179" t="str">
        <f>'Z_1.1.sz.mell.'!B35</f>
        <v>Iparűzési adó</v>
      </c>
      <c r="C35" s="167">
        <v>67000000</v>
      </c>
      <c r="D35" s="167">
        <v>67000000</v>
      </c>
      <c r="E35" s="103">
        <v>96057437</v>
      </c>
    </row>
    <row r="36" spans="1:5" s="178" customFormat="1" ht="12" customHeight="1">
      <c r="A36" s="12" t="s">
        <v>180</v>
      </c>
      <c r="B36" s="179" t="str">
        <f>'Z_1.1.sz.mell.'!B36</f>
        <v>Talajterhelési díj</v>
      </c>
      <c r="C36" s="167"/>
      <c r="D36" s="167"/>
      <c r="E36" s="103"/>
    </row>
    <row r="37" spans="1:5" s="178" customFormat="1" ht="12" customHeight="1">
      <c r="A37" s="12" t="s">
        <v>480</v>
      </c>
      <c r="B37" s="179" t="str">
        <f>'Z_1.1.sz.mell.'!B37</f>
        <v>Gépjárműadó</v>
      </c>
      <c r="C37" s="167">
        <v>8000000</v>
      </c>
      <c r="D37" s="167">
        <v>8000000</v>
      </c>
      <c r="E37" s="103">
        <v>8061961</v>
      </c>
    </row>
    <row r="38" spans="1:5" s="178" customFormat="1" ht="12" customHeight="1">
      <c r="A38" s="12" t="s">
        <v>481</v>
      </c>
      <c r="B38" s="179" t="str">
        <f>'Z_1.1.sz.mell.'!B38</f>
        <v>Kommunális adó</v>
      </c>
      <c r="C38" s="167"/>
      <c r="D38" s="167"/>
      <c r="E38" s="103"/>
    </row>
    <row r="39" spans="1:5" s="178" customFormat="1" ht="12" customHeight="1" thickBot="1">
      <c r="A39" s="14" t="s">
        <v>482</v>
      </c>
      <c r="B39" s="179" t="str">
        <f>'Z_1.1.sz.mell.'!B39</f>
        <v>Egyéb közhatalmi  bevételek</v>
      </c>
      <c r="C39" s="169">
        <v>500000</v>
      </c>
      <c r="D39" s="169">
        <v>500000</v>
      </c>
      <c r="E39" s="105">
        <v>384099</v>
      </c>
    </row>
    <row r="40" spans="1:5" s="178" customFormat="1" ht="12" customHeight="1" thickBot="1">
      <c r="A40" s="18" t="s">
        <v>10</v>
      </c>
      <c r="B40" s="19" t="s">
        <v>335</v>
      </c>
      <c r="C40" s="166">
        <f>SUM(C41:C51)</f>
        <v>33000000</v>
      </c>
      <c r="D40" s="166">
        <f>SUM(D41:D51)</f>
        <v>49434975</v>
      </c>
      <c r="E40" s="102">
        <f>SUM(E41:E51)</f>
        <v>62262176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>
        <v>21259061</v>
      </c>
    </row>
    <row r="42" spans="1:5" s="178" customFormat="1" ht="12" customHeight="1">
      <c r="A42" s="12" t="s">
        <v>57</v>
      </c>
      <c r="B42" s="180" t="s">
        <v>185</v>
      </c>
      <c r="C42" s="167">
        <v>13545910</v>
      </c>
      <c r="D42" s="167">
        <v>28274384</v>
      </c>
      <c r="E42" s="103">
        <v>13846173</v>
      </c>
    </row>
    <row r="43" spans="1:5" s="178" customFormat="1" ht="12" customHeight="1">
      <c r="A43" s="12" t="s">
        <v>58</v>
      </c>
      <c r="B43" s="180" t="s">
        <v>186</v>
      </c>
      <c r="C43" s="167">
        <v>850397</v>
      </c>
      <c r="D43" s="167">
        <v>850397</v>
      </c>
      <c r="E43" s="103">
        <v>1610754</v>
      </c>
    </row>
    <row r="44" spans="1:5" s="178" customFormat="1" ht="12" customHeight="1">
      <c r="A44" s="12" t="s">
        <v>114</v>
      </c>
      <c r="B44" s="180" t="s">
        <v>187</v>
      </c>
      <c r="C44" s="167">
        <v>8000000</v>
      </c>
      <c r="D44" s="167">
        <v>8000000</v>
      </c>
      <c r="E44" s="103">
        <v>8603425</v>
      </c>
    </row>
    <row r="45" spans="1:5" s="178" customFormat="1" ht="12" customHeight="1">
      <c r="A45" s="12" t="s">
        <v>115</v>
      </c>
      <c r="B45" s="180" t="s">
        <v>188</v>
      </c>
      <c r="C45" s="167">
        <v>6467785</v>
      </c>
      <c r="D45" s="167">
        <v>6467785</v>
      </c>
      <c r="E45" s="103">
        <v>5256201</v>
      </c>
    </row>
    <row r="46" spans="1:5" s="178" customFormat="1" ht="12" customHeight="1">
      <c r="A46" s="12" t="s">
        <v>116</v>
      </c>
      <c r="B46" s="180" t="s">
        <v>189</v>
      </c>
      <c r="C46" s="167">
        <v>4135908</v>
      </c>
      <c r="D46" s="167">
        <v>5842409</v>
      </c>
      <c r="E46" s="103">
        <v>9671611</v>
      </c>
    </row>
    <row r="47" spans="1:5" s="178" customFormat="1" ht="12" customHeight="1">
      <c r="A47" s="12" t="s">
        <v>117</v>
      </c>
      <c r="B47" s="180" t="s">
        <v>190</v>
      </c>
      <c r="C47" s="167"/>
      <c r="D47" s="254"/>
      <c r="E47" s="103"/>
    </row>
    <row r="48" spans="1:5" s="178" customFormat="1" ht="12" customHeight="1">
      <c r="A48" s="12" t="s">
        <v>118</v>
      </c>
      <c r="B48" s="180" t="s">
        <v>483</v>
      </c>
      <c r="C48" s="167"/>
      <c r="D48" s="254"/>
      <c r="E48" s="103"/>
    </row>
    <row r="49" spans="1:5" s="178" customFormat="1" ht="12" customHeight="1">
      <c r="A49" s="12" t="s">
        <v>182</v>
      </c>
      <c r="B49" s="180" t="s">
        <v>192</v>
      </c>
      <c r="C49" s="170"/>
      <c r="D49" s="286"/>
      <c r="E49" s="106">
        <v>2202</v>
      </c>
    </row>
    <row r="50" spans="1:5" s="178" customFormat="1" ht="12" customHeight="1">
      <c r="A50" s="14" t="s">
        <v>183</v>
      </c>
      <c r="B50" s="181" t="s">
        <v>337</v>
      </c>
      <c r="C50" s="171"/>
      <c r="D50" s="287"/>
      <c r="E50" s="107">
        <v>274605</v>
      </c>
    </row>
    <row r="51" spans="1:5" s="178" customFormat="1" ht="12" customHeight="1" thickBot="1">
      <c r="A51" s="14" t="s">
        <v>336</v>
      </c>
      <c r="B51" s="111" t="s">
        <v>193</v>
      </c>
      <c r="C51" s="171"/>
      <c r="D51" s="287"/>
      <c r="E51" s="287">
        <v>1738144</v>
      </c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0</v>
      </c>
      <c r="E52" s="102">
        <f>SUM(E53:E57)</f>
        <v>8989915</v>
      </c>
    </row>
    <row r="53" spans="1:5" s="178" customFormat="1" ht="12" customHeight="1">
      <c r="A53" s="13" t="s">
        <v>59</v>
      </c>
      <c r="B53" s="179" t="s">
        <v>198</v>
      </c>
      <c r="C53" s="219"/>
      <c r="D53" s="219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/>
      <c r="E54" s="106">
        <v>8982041</v>
      </c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>
        <v>7874</v>
      </c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1464615</v>
      </c>
      <c r="E58" s="102">
        <f>SUM(E59:E61)</f>
        <v>3082418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329</v>
      </c>
      <c r="C60" s="167"/>
      <c r="D60" s="167">
        <v>1000000</v>
      </c>
      <c r="E60" s="103">
        <v>1117803</v>
      </c>
    </row>
    <row r="61" spans="1:5" s="178" customFormat="1" ht="12" customHeight="1">
      <c r="A61" s="12" t="s">
        <v>207</v>
      </c>
      <c r="B61" s="180" t="s">
        <v>205</v>
      </c>
      <c r="C61" s="167"/>
      <c r="D61" s="167">
        <v>464615</v>
      </c>
      <c r="E61" s="103">
        <v>1964615</v>
      </c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21351678</v>
      </c>
      <c r="D63" s="166">
        <f>SUM(D64:D66)</f>
        <v>10212440</v>
      </c>
      <c r="E63" s="102">
        <f>SUM(E64:E66)</f>
        <v>14270135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330</v>
      </c>
      <c r="C65" s="170"/>
      <c r="D65" s="170"/>
      <c r="E65" s="106">
        <v>1384184</v>
      </c>
    </row>
    <row r="66" spans="1:5" s="178" customFormat="1" ht="12" customHeight="1">
      <c r="A66" s="12" t="s">
        <v>144</v>
      </c>
      <c r="B66" s="180" t="s">
        <v>212</v>
      </c>
      <c r="C66" s="170">
        <v>21351678</v>
      </c>
      <c r="D66" s="170">
        <v>10212440</v>
      </c>
      <c r="E66" s="106">
        <v>12885951</v>
      </c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2" t="s">
        <v>377</v>
      </c>
      <c r="B68" s="19" t="s">
        <v>214</v>
      </c>
      <c r="C68" s="172">
        <f>+C11+C18+C25+C32+C40+C52+C58+C63</f>
        <v>425672954</v>
      </c>
      <c r="D68" s="172">
        <f>+D11+D18+D25+D32+D40+D52+D58+D63</f>
        <v>828922318</v>
      </c>
      <c r="E68" s="208">
        <f>+E11+E18+E25+E32+E40+E52+E58+E63</f>
        <v>899153107</v>
      </c>
    </row>
    <row r="69" spans="1:5" s="178" customFormat="1" ht="12" customHeight="1" thickBot="1">
      <c r="A69" s="220" t="s">
        <v>215</v>
      </c>
      <c r="B69" s="109" t="s">
        <v>216</v>
      </c>
      <c r="C69" s="166">
        <f>SUM(C70:C72)</f>
        <v>209767404</v>
      </c>
      <c r="D69" s="166">
        <f>SUM(D70:D72)</f>
        <v>37952321</v>
      </c>
      <c r="E69" s="102">
        <f>SUM(E70:E72)</f>
        <v>37952321</v>
      </c>
    </row>
    <row r="70" spans="1:5" s="178" customFormat="1" ht="12" customHeight="1">
      <c r="A70" s="13" t="s">
        <v>244</v>
      </c>
      <c r="B70" s="179" t="s">
        <v>217</v>
      </c>
      <c r="C70" s="170">
        <v>209767404</v>
      </c>
      <c r="D70" s="170">
        <v>16443546</v>
      </c>
      <c r="E70" s="106">
        <v>16443546</v>
      </c>
    </row>
    <row r="71" spans="1:5" s="178" customFormat="1" ht="12" customHeight="1">
      <c r="A71" s="12" t="s">
        <v>253</v>
      </c>
      <c r="B71" s="180" t="s">
        <v>218</v>
      </c>
      <c r="C71" s="170"/>
      <c r="D71" s="170">
        <v>21508775</v>
      </c>
      <c r="E71" s="106">
        <v>21508775</v>
      </c>
    </row>
    <row r="72" spans="1:5" s="178" customFormat="1" ht="12" customHeight="1" thickBot="1">
      <c r="A72" s="14" t="s">
        <v>254</v>
      </c>
      <c r="B72" s="228" t="s">
        <v>362</v>
      </c>
      <c r="C72" s="170"/>
      <c r="D72" s="170"/>
      <c r="E72" s="106"/>
    </row>
    <row r="73" spans="1:5" s="178" customFormat="1" ht="12" customHeight="1" thickBot="1">
      <c r="A73" s="220" t="s">
        <v>220</v>
      </c>
      <c r="B73" s="109" t="s">
        <v>221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7" t="s">
        <v>222</v>
      </c>
      <c r="C74" s="170"/>
      <c r="D74" s="170"/>
      <c r="E74" s="106"/>
    </row>
    <row r="75" spans="1:5" s="178" customFormat="1" ht="12" customHeight="1">
      <c r="A75" s="12" t="s">
        <v>99</v>
      </c>
      <c r="B75" s="307" t="s">
        <v>490</v>
      </c>
      <c r="C75" s="170"/>
      <c r="D75" s="170"/>
      <c r="E75" s="106"/>
    </row>
    <row r="76" spans="1:5" s="178" customFormat="1" ht="12" customHeight="1">
      <c r="A76" s="12" t="s">
        <v>245</v>
      </c>
      <c r="B76" s="307" t="s">
        <v>223</v>
      </c>
      <c r="C76" s="170"/>
      <c r="D76" s="170"/>
      <c r="E76" s="106"/>
    </row>
    <row r="77" spans="1:5" s="178" customFormat="1" ht="12" customHeight="1" thickBot="1">
      <c r="A77" s="14" t="s">
        <v>246</v>
      </c>
      <c r="B77" s="308" t="s">
        <v>491</v>
      </c>
      <c r="C77" s="170"/>
      <c r="D77" s="170"/>
      <c r="E77" s="106"/>
    </row>
    <row r="78" spans="1:5" s="178" customFormat="1" ht="12" customHeight="1" thickBot="1">
      <c r="A78" s="220" t="s">
        <v>224</v>
      </c>
      <c r="B78" s="109" t="s">
        <v>225</v>
      </c>
      <c r="C78" s="166">
        <f>SUM(C79:C80)</f>
        <v>1067055787</v>
      </c>
      <c r="D78" s="166">
        <f>SUM(D79:D80)</f>
        <v>1119049725</v>
      </c>
      <c r="E78" s="102">
        <f>SUM(E79:E80)</f>
        <v>1119409946</v>
      </c>
    </row>
    <row r="79" spans="1:5" s="178" customFormat="1" ht="12" customHeight="1">
      <c r="A79" s="13" t="s">
        <v>247</v>
      </c>
      <c r="B79" s="179" t="s">
        <v>226</v>
      </c>
      <c r="C79" s="170">
        <v>1067055787</v>
      </c>
      <c r="D79" s="170">
        <v>1119049725</v>
      </c>
      <c r="E79" s="106">
        <v>1119409946</v>
      </c>
    </row>
    <row r="80" spans="1:5" s="178" customFormat="1" ht="12" customHeight="1" thickBot="1">
      <c r="A80" s="14" t="s">
        <v>248</v>
      </c>
      <c r="B80" s="111" t="s">
        <v>227</v>
      </c>
      <c r="C80" s="170"/>
      <c r="D80" s="170"/>
      <c r="E80" s="106"/>
    </row>
    <row r="81" spans="1:5" s="178" customFormat="1" ht="12" customHeight="1" thickBot="1">
      <c r="A81" s="220" t="s">
        <v>228</v>
      </c>
      <c r="B81" s="109" t="s">
        <v>229</v>
      </c>
      <c r="C81" s="166">
        <f>SUM(C82:C84)</f>
        <v>0</v>
      </c>
      <c r="D81" s="166">
        <f>SUM(D82:D84)</f>
        <v>0</v>
      </c>
      <c r="E81" s="102">
        <f>SUM(E82:E84)</f>
        <v>9483636</v>
      </c>
    </row>
    <row r="82" spans="1:5" s="178" customFormat="1" ht="12" customHeight="1">
      <c r="A82" s="13" t="s">
        <v>249</v>
      </c>
      <c r="B82" s="179" t="s">
        <v>230</v>
      </c>
      <c r="C82" s="170"/>
      <c r="D82" s="170"/>
      <c r="E82" s="106">
        <v>9483636</v>
      </c>
    </row>
    <row r="83" spans="1:5" s="178" customFormat="1" ht="12" customHeight="1">
      <c r="A83" s="12" t="s">
        <v>250</v>
      </c>
      <c r="B83" s="180" t="s">
        <v>231</v>
      </c>
      <c r="C83" s="170"/>
      <c r="D83" s="170"/>
      <c r="E83" s="106"/>
    </row>
    <row r="84" spans="1:5" s="178" customFormat="1" ht="12" customHeight="1" thickBot="1">
      <c r="A84" s="14" t="s">
        <v>251</v>
      </c>
      <c r="B84" s="111" t="s">
        <v>492</v>
      </c>
      <c r="C84" s="170"/>
      <c r="D84" s="170"/>
      <c r="E84" s="106"/>
    </row>
    <row r="85" spans="1:5" s="178" customFormat="1" ht="12" customHeight="1" thickBot="1">
      <c r="A85" s="220" t="s">
        <v>232</v>
      </c>
      <c r="B85" s="109" t="s">
        <v>252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233</v>
      </c>
      <c r="B86" s="179" t="s">
        <v>234</v>
      </c>
      <c r="C86" s="170"/>
      <c r="D86" s="170"/>
      <c r="E86" s="106"/>
    </row>
    <row r="87" spans="1:5" s="178" customFormat="1" ht="12" customHeight="1">
      <c r="A87" s="184" t="s">
        <v>235</v>
      </c>
      <c r="B87" s="180" t="s">
        <v>236</v>
      </c>
      <c r="C87" s="170"/>
      <c r="D87" s="170"/>
      <c r="E87" s="106"/>
    </row>
    <row r="88" spans="1:5" s="178" customFormat="1" ht="12" customHeight="1">
      <c r="A88" s="184" t="s">
        <v>237</v>
      </c>
      <c r="B88" s="180" t="s">
        <v>238</v>
      </c>
      <c r="C88" s="170"/>
      <c r="D88" s="170"/>
      <c r="E88" s="106"/>
    </row>
    <row r="89" spans="1:5" s="178" customFormat="1" ht="12" customHeight="1" thickBot="1">
      <c r="A89" s="185" t="s">
        <v>239</v>
      </c>
      <c r="B89" s="111" t="s">
        <v>240</v>
      </c>
      <c r="C89" s="170"/>
      <c r="D89" s="170"/>
      <c r="E89" s="106"/>
    </row>
    <row r="90" spans="1:5" s="178" customFormat="1" ht="12" customHeight="1" thickBot="1">
      <c r="A90" s="220" t="s">
        <v>241</v>
      </c>
      <c r="B90" s="109" t="s">
        <v>376</v>
      </c>
      <c r="C90" s="222"/>
      <c r="D90" s="222"/>
      <c r="E90" s="223"/>
    </row>
    <row r="91" spans="1:5" s="178" customFormat="1" ht="13.5" customHeight="1" thickBot="1">
      <c r="A91" s="220" t="s">
        <v>243</v>
      </c>
      <c r="B91" s="109" t="s">
        <v>242</v>
      </c>
      <c r="C91" s="222"/>
      <c r="D91" s="222"/>
      <c r="E91" s="223"/>
    </row>
    <row r="92" spans="1:5" s="178" customFormat="1" ht="15.75" customHeight="1" thickBot="1">
      <c r="A92" s="220" t="s">
        <v>255</v>
      </c>
      <c r="B92" s="186" t="s">
        <v>379</v>
      </c>
      <c r="C92" s="172">
        <f>+C69+C73+C78+C81+C85+C91+C90</f>
        <v>1276823191</v>
      </c>
      <c r="D92" s="172">
        <f>+D69+D73+D78+D81+D85+D91+D90</f>
        <v>1157002046</v>
      </c>
      <c r="E92" s="208">
        <f>+E69+E73+E78+E81+E85+E91+E90</f>
        <v>1166845903</v>
      </c>
    </row>
    <row r="93" spans="1:5" s="178" customFormat="1" ht="25.5" customHeight="1" thickBot="1">
      <c r="A93" s="221" t="s">
        <v>378</v>
      </c>
      <c r="B93" s="187" t="s">
        <v>380</v>
      </c>
      <c r="C93" s="172">
        <f>+C68+C92</f>
        <v>1702496145</v>
      </c>
      <c r="D93" s="172">
        <f>+D68+D92</f>
        <v>1985924364</v>
      </c>
      <c r="E93" s="208">
        <f>+E68+E92</f>
        <v>2065999010</v>
      </c>
    </row>
    <row r="94" spans="1:3" s="178" customFormat="1" ht="15" customHeight="1">
      <c r="A94" s="3"/>
      <c r="B94" s="4"/>
      <c r="C94" s="113"/>
    </row>
    <row r="95" spans="1:5" ht="16.5" customHeight="1">
      <c r="A95" s="784" t="s">
        <v>34</v>
      </c>
      <c r="B95" s="784"/>
      <c r="C95" s="784"/>
      <c r="D95" s="784"/>
      <c r="E95" s="784"/>
    </row>
    <row r="96" spans="1:5" s="188" customFormat="1" ht="16.5" customHeight="1" thickBot="1">
      <c r="A96" s="786" t="s">
        <v>101</v>
      </c>
      <c r="B96" s="786"/>
      <c r="C96" s="60"/>
      <c r="E96" s="60" t="str">
        <f>E7</f>
        <v> Forintban!</v>
      </c>
    </row>
    <row r="97" spans="1:5" ht="15.75">
      <c r="A97" s="793" t="s">
        <v>51</v>
      </c>
      <c r="B97" s="795" t="s">
        <v>420</v>
      </c>
      <c r="C97" s="779" t="str">
        <f>+CONCATENATE(LEFT(Z_ÖSSZEFÜGGÉSEK!A6,4),". évi")</f>
        <v>2019. évi</v>
      </c>
      <c r="D97" s="780"/>
      <c r="E97" s="781"/>
    </row>
    <row r="98" spans="1:5" ht="24.75" thickBot="1">
      <c r="A98" s="794"/>
      <c r="B98" s="796"/>
      <c r="C98" s="249" t="s">
        <v>418</v>
      </c>
      <c r="D98" s="248" t="s">
        <v>419</v>
      </c>
      <c r="E98" s="309" t="str">
        <f>CONCATENATE(E9)</f>
        <v>2019. XII. 31.
teljesítés</v>
      </c>
    </row>
    <row r="99" spans="1:5" s="177" customFormat="1" ht="12" customHeight="1" thickBot="1">
      <c r="A99" s="25" t="s">
        <v>385</v>
      </c>
      <c r="B99" s="26" t="s">
        <v>386</v>
      </c>
      <c r="C99" s="26" t="s">
        <v>387</v>
      </c>
      <c r="D99" s="26" t="s">
        <v>389</v>
      </c>
      <c r="E99" s="260" t="s">
        <v>388</v>
      </c>
    </row>
    <row r="100" spans="1:5" ht="12" customHeight="1" thickBot="1">
      <c r="A100" s="20" t="s">
        <v>6</v>
      </c>
      <c r="B100" s="24" t="s">
        <v>338</v>
      </c>
      <c r="C100" s="165">
        <f>C101+C102+C103+C104+C105+C118</f>
        <v>525136723</v>
      </c>
      <c r="D100" s="165">
        <f>D101+D102+D103+D104+D105+D118</f>
        <v>704687455</v>
      </c>
      <c r="E100" s="235">
        <f>E101+E102+E103+E104+E105+E118</f>
        <v>576145358</v>
      </c>
    </row>
    <row r="101" spans="1:5" ht="12" customHeight="1">
      <c r="A101" s="15" t="s">
        <v>63</v>
      </c>
      <c r="B101" s="8" t="s">
        <v>35</v>
      </c>
      <c r="C101" s="242">
        <v>186381993</v>
      </c>
      <c r="D101" s="242">
        <v>200716729</v>
      </c>
      <c r="E101" s="236">
        <v>199178420</v>
      </c>
    </row>
    <row r="102" spans="1:5" ht="12" customHeight="1">
      <c r="A102" s="12" t="s">
        <v>64</v>
      </c>
      <c r="B102" s="6" t="s">
        <v>122</v>
      </c>
      <c r="C102" s="167">
        <v>32949339</v>
      </c>
      <c r="D102" s="167">
        <v>34800621</v>
      </c>
      <c r="E102" s="103">
        <v>34079340</v>
      </c>
    </row>
    <row r="103" spans="1:5" ht="12" customHeight="1">
      <c r="A103" s="12" t="s">
        <v>65</v>
      </c>
      <c r="B103" s="6" t="s">
        <v>90</v>
      </c>
      <c r="C103" s="169">
        <v>184327977</v>
      </c>
      <c r="D103" s="169">
        <v>286020800</v>
      </c>
      <c r="E103" s="105">
        <v>230346985</v>
      </c>
    </row>
    <row r="104" spans="1:5" ht="12" customHeight="1">
      <c r="A104" s="12" t="s">
        <v>66</v>
      </c>
      <c r="B104" s="9" t="s">
        <v>123</v>
      </c>
      <c r="C104" s="169">
        <v>11784000</v>
      </c>
      <c r="D104" s="169">
        <v>16937241</v>
      </c>
      <c r="E104" s="105">
        <v>14472091</v>
      </c>
    </row>
    <row r="105" spans="1:5" ht="12" customHeight="1">
      <c r="A105" s="12" t="s">
        <v>75</v>
      </c>
      <c r="B105" s="17" t="s">
        <v>124</v>
      </c>
      <c r="C105" s="169">
        <v>109693414</v>
      </c>
      <c r="D105" s="169">
        <v>101030145</v>
      </c>
      <c r="E105" s="105">
        <v>98068522</v>
      </c>
    </row>
    <row r="106" spans="1:5" ht="12" customHeight="1">
      <c r="A106" s="12" t="s">
        <v>67</v>
      </c>
      <c r="B106" s="6" t="s">
        <v>343</v>
      </c>
      <c r="C106" s="169"/>
      <c r="D106" s="169">
        <v>321833</v>
      </c>
      <c r="E106" s="105">
        <v>321833</v>
      </c>
    </row>
    <row r="107" spans="1:5" ht="12" customHeight="1">
      <c r="A107" s="12" t="s">
        <v>68</v>
      </c>
      <c r="B107" s="64" t="s">
        <v>342</v>
      </c>
      <c r="C107" s="169"/>
      <c r="D107" s="169"/>
      <c r="E107" s="105"/>
    </row>
    <row r="108" spans="1:5" ht="12" customHeight="1">
      <c r="A108" s="12" t="s">
        <v>76</v>
      </c>
      <c r="B108" s="64" t="s">
        <v>341</v>
      </c>
      <c r="C108" s="169"/>
      <c r="D108" s="169"/>
      <c r="E108" s="105"/>
    </row>
    <row r="109" spans="1:5" ht="12" customHeight="1">
      <c r="A109" s="12" t="s">
        <v>77</v>
      </c>
      <c r="B109" s="62" t="s">
        <v>258</v>
      </c>
      <c r="C109" s="169"/>
      <c r="D109" s="169"/>
      <c r="E109" s="105"/>
    </row>
    <row r="110" spans="1:5" ht="12" customHeight="1">
      <c r="A110" s="12" t="s">
        <v>78</v>
      </c>
      <c r="B110" s="63" t="s">
        <v>259</v>
      </c>
      <c r="C110" s="169"/>
      <c r="D110" s="169"/>
      <c r="E110" s="105"/>
    </row>
    <row r="111" spans="1:5" ht="12" customHeight="1">
      <c r="A111" s="12" t="s">
        <v>79</v>
      </c>
      <c r="B111" s="63" t="s">
        <v>260</v>
      </c>
      <c r="C111" s="169"/>
      <c r="D111" s="169"/>
      <c r="E111" s="105"/>
    </row>
    <row r="112" spans="1:5" ht="12" customHeight="1">
      <c r="A112" s="12" t="s">
        <v>81</v>
      </c>
      <c r="B112" s="62" t="s">
        <v>261</v>
      </c>
      <c r="C112" s="169">
        <v>109693414</v>
      </c>
      <c r="D112" s="169">
        <v>99708312</v>
      </c>
      <c r="E112" s="105">
        <v>96746689</v>
      </c>
    </row>
    <row r="113" spans="1:5" ht="12" customHeight="1">
      <c r="A113" s="12" t="s">
        <v>125</v>
      </c>
      <c r="B113" s="62" t="s">
        <v>262</v>
      </c>
      <c r="C113" s="169"/>
      <c r="D113" s="169"/>
      <c r="E113" s="105"/>
    </row>
    <row r="114" spans="1:5" ht="12" customHeight="1">
      <c r="A114" s="12" t="s">
        <v>256</v>
      </c>
      <c r="B114" s="63" t="s">
        <v>263</v>
      </c>
      <c r="C114" s="169"/>
      <c r="D114" s="169">
        <v>1000000</v>
      </c>
      <c r="E114" s="105">
        <v>1000000</v>
      </c>
    </row>
    <row r="115" spans="1:5" ht="12" customHeight="1">
      <c r="A115" s="11" t="s">
        <v>257</v>
      </c>
      <c r="B115" s="64" t="s">
        <v>264</v>
      </c>
      <c r="C115" s="169"/>
      <c r="D115" s="169"/>
      <c r="E115" s="105"/>
    </row>
    <row r="116" spans="1:5" ht="12" customHeight="1">
      <c r="A116" s="12" t="s">
        <v>339</v>
      </c>
      <c r="B116" s="64" t="s">
        <v>265</v>
      </c>
      <c r="C116" s="169"/>
      <c r="D116" s="169"/>
      <c r="E116" s="105"/>
    </row>
    <row r="117" spans="1:5" ht="12" customHeight="1">
      <c r="A117" s="14" t="s">
        <v>340</v>
      </c>
      <c r="B117" s="64" t="s">
        <v>266</v>
      </c>
      <c r="C117" s="169"/>
      <c r="D117" s="169"/>
      <c r="E117" s="105"/>
    </row>
    <row r="118" spans="1:5" ht="12" customHeight="1">
      <c r="A118" s="12" t="s">
        <v>344</v>
      </c>
      <c r="B118" s="9" t="s">
        <v>36</v>
      </c>
      <c r="C118" s="167"/>
      <c r="D118" s="167">
        <v>65181919</v>
      </c>
      <c r="E118" s="103"/>
    </row>
    <row r="119" spans="1:5" ht="12" customHeight="1">
      <c r="A119" s="12" t="s">
        <v>345</v>
      </c>
      <c r="B119" s="6" t="s">
        <v>347</v>
      </c>
      <c r="C119" s="167"/>
      <c r="D119" s="167"/>
      <c r="E119" s="103"/>
    </row>
    <row r="120" spans="1:5" ht="12" customHeight="1" thickBot="1">
      <c r="A120" s="16" t="s">
        <v>346</v>
      </c>
      <c r="B120" s="231" t="s">
        <v>348</v>
      </c>
      <c r="C120" s="243"/>
      <c r="D120" s="243">
        <v>65181919</v>
      </c>
      <c r="E120" s="237"/>
    </row>
    <row r="121" spans="1:5" ht="12" customHeight="1" thickBot="1">
      <c r="A121" s="229" t="s">
        <v>7</v>
      </c>
      <c r="B121" s="230" t="s">
        <v>267</v>
      </c>
      <c r="C121" s="244">
        <f>+C122+C124+C126</f>
        <v>1168776391</v>
      </c>
      <c r="D121" s="166">
        <f>+D122+D124+D126</f>
        <v>970445105</v>
      </c>
      <c r="E121" s="238">
        <f>+E122+E124+E126</f>
        <v>225520573</v>
      </c>
    </row>
    <row r="122" spans="1:5" ht="12" customHeight="1">
      <c r="A122" s="13" t="s">
        <v>69</v>
      </c>
      <c r="B122" s="6" t="s">
        <v>143</v>
      </c>
      <c r="C122" s="168">
        <v>1021875591</v>
      </c>
      <c r="D122" s="253">
        <v>848919526</v>
      </c>
      <c r="E122" s="104">
        <v>130961288</v>
      </c>
    </row>
    <row r="123" spans="1:5" ht="12" customHeight="1">
      <c r="A123" s="13" t="s">
        <v>70</v>
      </c>
      <c r="B123" s="10" t="s">
        <v>271</v>
      </c>
      <c r="C123" s="168">
        <v>983055591</v>
      </c>
      <c r="D123" s="253">
        <v>789731783</v>
      </c>
      <c r="E123" s="104">
        <v>77826441</v>
      </c>
    </row>
    <row r="124" spans="1:5" ht="12" customHeight="1">
      <c r="A124" s="13" t="s">
        <v>71</v>
      </c>
      <c r="B124" s="10" t="s">
        <v>126</v>
      </c>
      <c r="C124" s="167">
        <v>140900800</v>
      </c>
      <c r="D124" s="254">
        <v>121525579</v>
      </c>
      <c r="E124" s="103">
        <v>94559285</v>
      </c>
    </row>
    <row r="125" spans="1:5" ht="12" customHeight="1">
      <c r="A125" s="13" t="s">
        <v>72</v>
      </c>
      <c r="B125" s="10" t="s">
        <v>272</v>
      </c>
      <c r="C125" s="167">
        <v>123591800</v>
      </c>
      <c r="D125" s="254">
        <v>97316378</v>
      </c>
      <c r="E125" s="103">
        <v>75079679</v>
      </c>
    </row>
    <row r="126" spans="1:5" ht="12" customHeight="1">
      <c r="A126" s="13" t="s">
        <v>73</v>
      </c>
      <c r="B126" s="111" t="s">
        <v>145</v>
      </c>
      <c r="C126" s="167">
        <v>6000000</v>
      </c>
      <c r="D126" s="254"/>
      <c r="E126" s="103"/>
    </row>
    <row r="127" spans="1:5" ht="12" customHeight="1">
      <c r="A127" s="13" t="s">
        <v>80</v>
      </c>
      <c r="B127" s="110" t="s">
        <v>331</v>
      </c>
      <c r="C127" s="167"/>
      <c r="D127" s="254"/>
      <c r="E127" s="103"/>
    </row>
    <row r="128" spans="1:5" ht="12" customHeight="1">
      <c r="A128" s="13" t="s">
        <v>82</v>
      </c>
      <c r="B128" s="175" t="s">
        <v>277</v>
      </c>
      <c r="C128" s="167"/>
      <c r="D128" s="254"/>
      <c r="E128" s="103"/>
    </row>
    <row r="129" spans="1:5" ht="15.75">
      <c r="A129" s="13" t="s">
        <v>127</v>
      </c>
      <c r="B129" s="63" t="s">
        <v>260</v>
      </c>
      <c r="C129" s="167"/>
      <c r="D129" s="254"/>
      <c r="E129" s="103"/>
    </row>
    <row r="130" spans="1:5" ht="12" customHeight="1">
      <c r="A130" s="13" t="s">
        <v>128</v>
      </c>
      <c r="B130" s="63" t="s">
        <v>276</v>
      </c>
      <c r="C130" s="167"/>
      <c r="D130" s="254"/>
      <c r="E130" s="103"/>
    </row>
    <row r="131" spans="1:5" ht="12" customHeight="1">
      <c r="A131" s="13" t="s">
        <v>129</v>
      </c>
      <c r="B131" s="63" t="s">
        <v>275</v>
      </c>
      <c r="C131" s="167"/>
      <c r="D131" s="254"/>
      <c r="E131" s="103"/>
    </row>
    <row r="132" spans="1:5" ht="12" customHeight="1">
      <c r="A132" s="13" t="s">
        <v>268</v>
      </c>
      <c r="B132" s="63" t="s">
        <v>263</v>
      </c>
      <c r="C132" s="167"/>
      <c r="D132" s="254"/>
      <c r="E132" s="103"/>
    </row>
    <row r="133" spans="1:5" ht="12" customHeight="1">
      <c r="A133" s="13" t="s">
        <v>269</v>
      </c>
      <c r="B133" s="63" t="s">
        <v>274</v>
      </c>
      <c r="C133" s="167"/>
      <c r="D133" s="254"/>
      <c r="E133" s="103"/>
    </row>
    <row r="134" spans="1:5" ht="16.5" thickBot="1">
      <c r="A134" s="11" t="s">
        <v>270</v>
      </c>
      <c r="B134" s="63" t="s">
        <v>273</v>
      </c>
      <c r="C134" s="169">
        <v>6000000</v>
      </c>
      <c r="D134" s="255"/>
      <c r="E134" s="105"/>
    </row>
    <row r="135" spans="1:5" ht="12" customHeight="1" thickBot="1">
      <c r="A135" s="18" t="s">
        <v>8</v>
      </c>
      <c r="B135" s="56" t="s">
        <v>349</v>
      </c>
      <c r="C135" s="166">
        <f>+C100+C121</f>
        <v>1693913114</v>
      </c>
      <c r="D135" s="252">
        <f>+D100+D121</f>
        <v>1675132560</v>
      </c>
      <c r="E135" s="102">
        <f>+E100+E121</f>
        <v>801665931</v>
      </c>
    </row>
    <row r="136" spans="1:5" ht="12" customHeight="1" thickBot="1">
      <c r="A136" s="18" t="s">
        <v>9</v>
      </c>
      <c r="B136" s="56" t="s">
        <v>421</v>
      </c>
      <c r="C136" s="166">
        <f>+C137+C138+C139</f>
        <v>0</v>
      </c>
      <c r="D136" s="252">
        <f>+D137+D138+D139</f>
        <v>21508775</v>
      </c>
      <c r="E136" s="102">
        <f>+E137+E138+E139</f>
        <v>21508775</v>
      </c>
    </row>
    <row r="137" spans="1:5" ht="12" customHeight="1">
      <c r="A137" s="13" t="s">
        <v>177</v>
      </c>
      <c r="B137" s="10" t="s">
        <v>357</v>
      </c>
      <c r="C137" s="167"/>
      <c r="D137" s="254"/>
      <c r="E137" s="103"/>
    </row>
    <row r="138" spans="1:5" ht="12" customHeight="1">
      <c r="A138" s="13" t="s">
        <v>178</v>
      </c>
      <c r="B138" s="10" t="s">
        <v>358</v>
      </c>
      <c r="C138" s="167"/>
      <c r="D138" s="254">
        <v>21508775</v>
      </c>
      <c r="E138" s="103">
        <v>21508775</v>
      </c>
    </row>
    <row r="139" spans="1:5" ht="12" customHeight="1" thickBot="1">
      <c r="A139" s="11" t="s">
        <v>179</v>
      </c>
      <c r="B139" s="10" t="s">
        <v>359</v>
      </c>
      <c r="C139" s="167"/>
      <c r="D139" s="254"/>
      <c r="E139" s="103"/>
    </row>
    <row r="140" spans="1:5" ht="12" customHeight="1" thickBot="1">
      <c r="A140" s="18" t="s">
        <v>10</v>
      </c>
      <c r="B140" s="56" t="s">
        <v>351</v>
      </c>
      <c r="C140" s="166">
        <f>SUM(C141:C146)</f>
        <v>0</v>
      </c>
      <c r="D140" s="252">
        <f>SUM(D141:D146)</f>
        <v>280699998</v>
      </c>
      <c r="E140" s="102">
        <f>SUM(E141:E146)</f>
        <v>280699998</v>
      </c>
    </row>
    <row r="141" spans="1:5" ht="12" customHeight="1">
      <c r="A141" s="13" t="s">
        <v>56</v>
      </c>
      <c r="B141" s="7" t="s">
        <v>360</v>
      </c>
      <c r="C141" s="167"/>
      <c r="D141" s="254">
        <v>280699998</v>
      </c>
      <c r="E141" s="103">
        <v>280699998</v>
      </c>
    </row>
    <row r="142" spans="1:5" ht="12" customHeight="1">
      <c r="A142" s="13" t="s">
        <v>57</v>
      </c>
      <c r="B142" s="7" t="s">
        <v>352</v>
      </c>
      <c r="C142" s="167"/>
      <c r="D142" s="254"/>
      <c r="E142" s="103"/>
    </row>
    <row r="143" spans="1:5" ht="12" customHeight="1">
      <c r="A143" s="13" t="s">
        <v>58</v>
      </c>
      <c r="B143" s="7" t="s">
        <v>353</v>
      </c>
      <c r="C143" s="167"/>
      <c r="D143" s="254"/>
      <c r="E143" s="103"/>
    </row>
    <row r="144" spans="1:5" ht="12" customHeight="1">
      <c r="A144" s="13" t="s">
        <v>114</v>
      </c>
      <c r="B144" s="7" t="s">
        <v>354</v>
      </c>
      <c r="C144" s="167"/>
      <c r="D144" s="254"/>
      <c r="E144" s="103"/>
    </row>
    <row r="145" spans="1:5" ht="12" customHeight="1">
      <c r="A145" s="13" t="s">
        <v>115</v>
      </c>
      <c r="B145" s="7" t="s">
        <v>355</v>
      </c>
      <c r="C145" s="167"/>
      <c r="D145" s="254"/>
      <c r="E145" s="103"/>
    </row>
    <row r="146" spans="1:5" ht="12" customHeight="1" thickBot="1">
      <c r="A146" s="16" t="s">
        <v>116</v>
      </c>
      <c r="B146" s="315" t="s">
        <v>356</v>
      </c>
      <c r="C146" s="243"/>
      <c r="D146" s="292"/>
      <c r="E146" s="237"/>
    </row>
    <row r="147" spans="1:5" ht="12" customHeight="1" thickBot="1">
      <c r="A147" s="18" t="s">
        <v>11</v>
      </c>
      <c r="B147" s="56" t="s">
        <v>364</v>
      </c>
      <c r="C147" s="172">
        <f>+C148+C149+C150+C151</f>
        <v>8583031</v>
      </c>
      <c r="D147" s="256">
        <f>+D148+D149+D150+D151</f>
        <v>8583031</v>
      </c>
      <c r="E147" s="208">
        <f>+E148+E149+E150+E151</f>
        <v>8583031</v>
      </c>
    </row>
    <row r="148" spans="1:5" ht="12" customHeight="1">
      <c r="A148" s="13" t="s">
        <v>59</v>
      </c>
      <c r="B148" s="7" t="s">
        <v>278</v>
      </c>
      <c r="C148" s="167"/>
      <c r="D148" s="254"/>
      <c r="E148" s="103"/>
    </row>
    <row r="149" spans="1:5" ht="12" customHeight="1">
      <c r="A149" s="13" t="s">
        <v>60</v>
      </c>
      <c r="B149" s="7" t="s">
        <v>279</v>
      </c>
      <c r="C149" s="167">
        <v>8583031</v>
      </c>
      <c r="D149" s="254">
        <v>8583031</v>
      </c>
      <c r="E149" s="103">
        <v>8583031</v>
      </c>
    </row>
    <row r="150" spans="1:5" ht="12" customHeight="1">
      <c r="A150" s="13" t="s">
        <v>195</v>
      </c>
      <c r="B150" s="7" t="s">
        <v>365</v>
      </c>
      <c r="C150" s="167"/>
      <c r="D150" s="254"/>
      <c r="E150" s="103"/>
    </row>
    <row r="151" spans="1:5" ht="12" customHeight="1" thickBot="1">
      <c r="A151" s="11" t="s">
        <v>196</v>
      </c>
      <c r="B151" s="5" t="s">
        <v>295</v>
      </c>
      <c r="C151" s="167"/>
      <c r="D151" s="254"/>
      <c r="E151" s="103"/>
    </row>
    <row r="152" spans="1:5" ht="12" customHeight="1" thickBot="1">
      <c r="A152" s="18" t="s">
        <v>12</v>
      </c>
      <c r="B152" s="56" t="s">
        <v>366</v>
      </c>
      <c r="C152" s="245">
        <f>SUM(C153:C157)</f>
        <v>0</v>
      </c>
      <c r="D152" s="257">
        <f>SUM(D153:D157)</f>
        <v>0</v>
      </c>
      <c r="E152" s="239">
        <f>SUM(E153:E157)</f>
        <v>0</v>
      </c>
    </row>
    <row r="153" spans="1:5" ht="12" customHeight="1">
      <c r="A153" s="13" t="s">
        <v>61</v>
      </c>
      <c r="B153" s="7" t="s">
        <v>361</v>
      </c>
      <c r="C153" s="167"/>
      <c r="D153" s="254"/>
      <c r="E153" s="103"/>
    </row>
    <row r="154" spans="1:5" ht="12" customHeight="1">
      <c r="A154" s="13" t="s">
        <v>62</v>
      </c>
      <c r="B154" s="7" t="s">
        <v>368</v>
      </c>
      <c r="C154" s="167"/>
      <c r="D154" s="254"/>
      <c r="E154" s="103"/>
    </row>
    <row r="155" spans="1:5" ht="12" customHeight="1">
      <c r="A155" s="13" t="s">
        <v>207</v>
      </c>
      <c r="B155" s="7" t="s">
        <v>363</v>
      </c>
      <c r="C155" s="167"/>
      <c r="D155" s="254"/>
      <c r="E155" s="103"/>
    </row>
    <row r="156" spans="1:5" ht="12" customHeight="1">
      <c r="A156" s="13" t="s">
        <v>208</v>
      </c>
      <c r="B156" s="7" t="s">
        <v>369</v>
      </c>
      <c r="C156" s="167"/>
      <c r="D156" s="254"/>
      <c r="E156" s="103"/>
    </row>
    <row r="157" spans="1:5" ht="12" customHeight="1" thickBot="1">
      <c r="A157" s="13" t="s">
        <v>367</v>
      </c>
      <c r="B157" s="7" t="s">
        <v>370</v>
      </c>
      <c r="C157" s="167"/>
      <c r="D157" s="254"/>
      <c r="E157" s="103"/>
    </row>
    <row r="158" spans="1:5" ht="12" customHeight="1" thickBot="1">
      <c r="A158" s="18" t="s">
        <v>13</v>
      </c>
      <c r="B158" s="56" t="s">
        <v>371</v>
      </c>
      <c r="C158" s="246"/>
      <c r="D158" s="258"/>
      <c r="E158" s="240"/>
    </row>
    <row r="159" spans="1:5" ht="12" customHeight="1" thickBot="1">
      <c r="A159" s="18" t="s">
        <v>14</v>
      </c>
      <c r="B159" s="56" t="s">
        <v>372</v>
      </c>
      <c r="C159" s="246"/>
      <c r="D159" s="258"/>
      <c r="E159" s="240"/>
    </row>
    <row r="160" spans="1:9" ht="15" customHeight="1" thickBot="1">
      <c r="A160" s="18" t="s">
        <v>15</v>
      </c>
      <c r="B160" s="56" t="s">
        <v>374</v>
      </c>
      <c r="C160" s="247">
        <f>+C136+C140+C147+C152+C158+C159</f>
        <v>8583031</v>
      </c>
      <c r="D160" s="259">
        <f>+D136+D140+D147+D152+D158+D159</f>
        <v>310791804</v>
      </c>
      <c r="E160" s="241">
        <f>+E136+E140+E147+E152+E158+E159</f>
        <v>310791804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373</v>
      </c>
      <c r="C161" s="247">
        <f>+C135+C160</f>
        <v>1702496145</v>
      </c>
      <c r="D161" s="259">
        <f>+D135+D160</f>
        <v>1985924364</v>
      </c>
      <c r="E161" s="241">
        <f>+E135+E160</f>
        <v>1112457735</v>
      </c>
    </row>
    <row r="162" spans="3:4" ht="15.75">
      <c r="C162" s="589">
        <f>C93-C161</f>
        <v>0</v>
      </c>
      <c r="D162" s="589">
        <f>D93-D161</f>
        <v>0</v>
      </c>
    </row>
    <row r="163" spans="1:5" ht="15.75">
      <c r="A163" s="782" t="s">
        <v>280</v>
      </c>
      <c r="B163" s="782"/>
      <c r="C163" s="782"/>
      <c r="D163" s="782"/>
      <c r="E163" s="782"/>
    </row>
    <row r="164" spans="1:5" ht="15" customHeight="1" thickBot="1">
      <c r="A164" s="792" t="s">
        <v>102</v>
      </c>
      <c r="B164" s="792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375</v>
      </c>
      <c r="C165" s="251">
        <f>+C68-C135</f>
        <v>-1268240160</v>
      </c>
      <c r="D165" s="166">
        <f>+D68-D135</f>
        <v>-846210242</v>
      </c>
      <c r="E165" s="102">
        <f>+E68-E135</f>
        <v>97487176</v>
      </c>
    </row>
    <row r="166" spans="1:5" ht="32.25" customHeight="1" thickBot="1">
      <c r="A166" s="18" t="s">
        <v>7</v>
      </c>
      <c r="B166" s="23" t="s">
        <v>381</v>
      </c>
      <c r="C166" s="166">
        <f>+C92-C160</f>
        <v>1268240160</v>
      </c>
      <c r="D166" s="166">
        <f>+D92-D160</f>
        <v>846210242</v>
      </c>
      <c r="E166" s="102">
        <f>+E92-E160</f>
        <v>856054099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51">
      <selection activeCell="C131" sqref="C131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6"/>
      <c r="B1" s="787" t="str">
        <f>CONCATENATE("1.3. melléklet ",Z_ALAPADATOK!A7," ",Z_ALAPADATOK!B7," ",Z_ALAPADATOK!C7," ",Z_ALAPADATOK!D7," ",Z_ALAPADATOK!E7," ",Z_ALAPADATOK!F7," ",Z_ALAPADATOK!G7," ",Z_ALAPADATOK!H7)</f>
        <v>1.3. melléklet a 9 / 2020. ( VII.10. ) önkormányzati rendelethez</v>
      </c>
      <c r="C1" s="788"/>
      <c r="D1" s="788"/>
      <c r="E1" s="788"/>
    </row>
    <row r="2" spans="1:5" ht="15.75">
      <c r="A2" s="789" t="str">
        <f>CONCATENATE(Z_ALAPADATOK!A3)</f>
        <v>Besenyszög Város Önkormányzata</v>
      </c>
      <c r="B2" s="790"/>
      <c r="C2" s="790"/>
      <c r="D2" s="790"/>
      <c r="E2" s="790"/>
    </row>
    <row r="3" spans="1:5" ht="15.75">
      <c r="A3" s="789" t="str">
        <f>CONCATENATE(Z_ALAPADATOK!B1,". ÉVI ZÁRSZÁMADÁS")</f>
        <v>2019. ÉVI ZÁRSZÁMADÁS</v>
      </c>
      <c r="B3" s="789"/>
      <c r="C3" s="791"/>
      <c r="D3" s="789"/>
      <c r="E3" s="789"/>
    </row>
    <row r="4" spans="1:5" ht="19.5" customHeight="1">
      <c r="A4" s="789" t="s">
        <v>812</v>
      </c>
      <c r="B4" s="789"/>
      <c r="C4" s="791"/>
      <c r="D4" s="789"/>
      <c r="E4" s="789"/>
    </row>
    <row r="5" spans="1:5" ht="15.75">
      <c r="A5" s="316"/>
      <c r="B5" s="316"/>
      <c r="C5" s="317"/>
      <c r="D5" s="318"/>
      <c r="E5" s="318"/>
    </row>
    <row r="6" spans="1:5" ht="15.75" customHeight="1">
      <c r="A6" s="783" t="s">
        <v>3</v>
      </c>
      <c r="B6" s="783"/>
      <c r="C6" s="783"/>
      <c r="D6" s="783"/>
      <c r="E6" s="783"/>
    </row>
    <row r="7" spans="1:5" ht="15.75" customHeight="1" thickBot="1">
      <c r="A7" s="785" t="s">
        <v>100</v>
      </c>
      <c r="B7" s="785"/>
      <c r="C7" s="319"/>
      <c r="D7" s="318"/>
      <c r="E7" s="319" t="str">
        <f>CONCATENATE('Z_1.2.sz.mell.'!E7)</f>
        <v> Forintban!</v>
      </c>
    </row>
    <row r="8" spans="1:5" ht="15.75">
      <c r="A8" s="793" t="s">
        <v>51</v>
      </c>
      <c r="B8" s="795" t="s">
        <v>5</v>
      </c>
      <c r="C8" s="779" t="str">
        <f>+CONCATENATE(LEFT(Z_ÖSSZEFÜGGÉSEK!A6,4),". évi")</f>
        <v>2019. évi</v>
      </c>
      <c r="D8" s="780"/>
      <c r="E8" s="781"/>
    </row>
    <row r="9" spans="1:5" ht="24.75" thickBot="1">
      <c r="A9" s="794"/>
      <c r="B9" s="796"/>
      <c r="C9" s="249" t="s">
        <v>418</v>
      </c>
      <c r="D9" s="248" t="s">
        <v>419</v>
      </c>
      <c r="E9" s="309" t="str">
        <f>CONCATENATE('Z_1.2.sz.mell.'!E9)</f>
        <v>2019. XII. 31.
teljesítés</v>
      </c>
    </row>
    <row r="10" spans="1:5" s="177" customFormat="1" ht="12" customHeight="1" thickBot="1">
      <c r="A10" s="173" t="s">
        <v>385</v>
      </c>
      <c r="B10" s="174" t="s">
        <v>386</v>
      </c>
      <c r="C10" s="174" t="s">
        <v>387</v>
      </c>
      <c r="D10" s="174" t="s">
        <v>389</v>
      </c>
      <c r="E10" s="250" t="s">
        <v>388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0</v>
      </c>
      <c r="D11" s="166">
        <f>+D12+D13+D14+D15+D16+D17</f>
        <v>0</v>
      </c>
      <c r="E11" s="102">
        <f>+E12+E13+E14+E15+E16+E17</f>
        <v>0</v>
      </c>
    </row>
    <row r="12" spans="1:5" s="178" customFormat="1" ht="12" customHeight="1">
      <c r="A12" s="13" t="s">
        <v>63</v>
      </c>
      <c r="B12" s="179" t="s">
        <v>163</v>
      </c>
      <c r="C12" s="168"/>
      <c r="D12" s="168"/>
      <c r="E12" s="104"/>
    </row>
    <row r="13" spans="1:5" s="178" customFormat="1" ht="12" customHeight="1">
      <c r="A13" s="12" t="s">
        <v>64</v>
      </c>
      <c r="B13" s="180" t="s">
        <v>164</v>
      </c>
      <c r="C13" s="167"/>
      <c r="D13" s="167"/>
      <c r="E13" s="103"/>
    </row>
    <row r="14" spans="1:5" s="178" customFormat="1" ht="12" customHeight="1">
      <c r="A14" s="12" t="s">
        <v>65</v>
      </c>
      <c r="B14" s="180" t="s">
        <v>165</v>
      </c>
      <c r="C14" s="167"/>
      <c r="D14" s="167"/>
      <c r="E14" s="103"/>
    </row>
    <row r="15" spans="1:5" s="178" customFormat="1" ht="12" customHeight="1">
      <c r="A15" s="12" t="s">
        <v>66</v>
      </c>
      <c r="B15" s="180" t="s">
        <v>166</v>
      </c>
      <c r="C15" s="167"/>
      <c r="D15" s="167"/>
      <c r="E15" s="103"/>
    </row>
    <row r="16" spans="1:5" s="178" customFormat="1" ht="12" customHeight="1">
      <c r="A16" s="12" t="s">
        <v>97</v>
      </c>
      <c r="B16" s="110" t="s">
        <v>333</v>
      </c>
      <c r="C16" s="167"/>
      <c r="D16" s="167"/>
      <c r="E16" s="103"/>
    </row>
    <row r="17" spans="1:5" s="178" customFormat="1" ht="12" customHeight="1" thickBot="1">
      <c r="A17" s="14" t="s">
        <v>67</v>
      </c>
      <c r="B17" s="111" t="s">
        <v>334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0</v>
      </c>
      <c r="D18" s="166">
        <f>+D19+D20+D21+D22+D23</f>
        <v>0</v>
      </c>
      <c r="E18" s="102">
        <f>+E19+E20+E21+E22+E23</f>
        <v>0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325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326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/>
      <c r="D23" s="167"/>
      <c r="E23" s="103"/>
    </row>
    <row r="24" spans="1:5" s="178" customFormat="1" ht="12" customHeight="1" thickBot="1">
      <c r="A24" s="14" t="s">
        <v>80</v>
      </c>
      <c r="B24" s="111" t="s">
        <v>171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0</v>
      </c>
      <c r="D25" s="166">
        <f>+D26+D27+D28+D29+D30</f>
        <v>0</v>
      </c>
      <c r="E25" s="102">
        <f>+E26+E27+E28+E29+E30</f>
        <v>0</v>
      </c>
    </row>
    <row r="26" spans="1:5" s="178" customFormat="1" ht="12" customHeight="1">
      <c r="A26" s="13" t="s">
        <v>52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327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328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/>
      <c r="D30" s="167"/>
      <c r="E30" s="103"/>
    </row>
    <row r="31" spans="1:5" s="178" customFormat="1" ht="12" customHeight="1" thickBot="1">
      <c r="A31" s="14" t="s">
        <v>111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112</v>
      </c>
      <c r="B32" s="19" t="s">
        <v>476</v>
      </c>
      <c r="C32" s="172">
        <f>SUM(C33:C39)</f>
        <v>0</v>
      </c>
      <c r="D32" s="172">
        <f>SUM(D33:D39)</f>
        <v>0</v>
      </c>
      <c r="E32" s="208">
        <f>SUM(E33:E39)</f>
        <v>0</v>
      </c>
    </row>
    <row r="33" spans="1:5" s="178" customFormat="1" ht="12" customHeight="1">
      <c r="A33" s="13" t="s">
        <v>177</v>
      </c>
      <c r="B33" s="179" t="str">
        <f>'Z_1.1.sz.mell.'!B33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'Z_1.1.sz.mell.'!B34</f>
        <v>Telekadó</v>
      </c>
      <c r="C34" s="167"/>
      <c r="D34" s="167"/>
      <c r="E34" s="103"/>
    </row>
    <row r="35" spans="1:5" s="178" customFormat="1" ht="12" customHeight="1">
      <c r="A35" s="12" t="s">
        <v>179</v>
      </c>
      <c r="B35" s="179" t="str">
        <f>'Z_1.1.sz.mell.'!B35</f>
        <v>Iparűzési adó</v>
      </c>
      <c r="C35" s="167"/>
      <c r="D35" s="167"/>
      <c r="E35" s="103"/>
    </row>
    <row r="36" spans="1:5" s="178" customFormat="1" ht="12" customHeight="1">
      <c r="A36" s="12" t="s">
        <v>180</v>
      </c>
      <c r="B36" s="179" t="str">
        <f>'Z_1.1.sz.mell.'!B36</f>
        <v>Talajterhelési díj</v>
      </c>
      <c r="C36" s="167"/>
      <c r="D36" s="167"/>
      <c r="E36" s="103"/>
    </row>
    <row r="37" spans="1:5" s="178" customFormat="1" ht="12" customHeight="1">
      <c r="A37" s="12" t="s">
        <v>480</v>
      </c>
      <c r="B37" s="179" t="str">
        <f>'Z_1.1.sz.mell.'!B37</f>
        <v>Gépjárműadó</v>
      </c>
      <c r="C37" s="167"/>
      <c r="D37" s="167"/>
      <c r="E37" s="103"/>
    </row>
    <row r="38" spans="1:5" s="178" customFormat="1" ht="12" customHeight="1">
      <c r="A38" s="12" t="s">
        <v>481</v>
      </c>
      <c r="B38" s="179" t="str">
        <f>'Z_1.1.sz.mell.'!B38</f>
        <v>Kommunális adó</v>
      </c>
      <c r="C38" s="167"/>
      <c r="D38" s="167"/>
      <c r="E38" s="103"/>
    </row>
    <row r="39" spans="1:5" s="178" customFormat="1" ht="12" customHeight="1" thickBot="1">
      <c r="A39" s="14" t="s">
        <v>482</v>
      </c>
      <c r="B39" s="179" t="str">
        <f>'Z_1.1.sz.mell.'!B39</f>
        <v>Egyéb közhatalmi  bevételek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335</v>
      </c>
      <c r="C40" s="166">
        <f>SUM(C41:C51)</f>
        <v>0</v>
      </c>
      <c r="D40" s="166">
        <f>SUM(D41:D51)</f>
        <v>0</v>
      </c>
      <c r="E40" s="102">
        <f>SUM(E41:E51)</f>
        <v>0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/>
    </row>
    <row r="42" spans="1:5" s="178" customFormat="1" ht="12" customHeight="1">
      <c r="A42" s="12" t="s">
        <v>57</v>
      </c>
      <c r="B42" s="180" t="s">
        <v>185</v>
      </c>
      <c r="C42" s="167"/>
      <c r="D42" s="167"/>
      <c r="E42" s="103"/>
    </row>
    <row r="43" spans="1:5" s="178" customFormat="1" ht="12" customHeight="1">
      <c r="A43" s="12" t="s">
        <v>58</v>
      </c>
      <c r="B43" s="180" t="s">
        <v>186</v>
      </c>
      <c r="C43" s="167"/>
      <c r="D43" s="167"/>
      <c r="E43" s="103"/>
    </row>
    <row r="44" spans="1:5" s="178" customFormat="1" ht="12" customHeight="1">
      <c r="A44" s="12" t="s">
        <v>114</v>
      </c>
      <c r="B44" s="180" t="s">
        <v>187</v>
      </c>
      <c r="C44" s="167"/>
      <c r="D44" s="167"/>
      <c r="E44" s="103"/>
    </row>
    <row r="45" spans="1:5" s="178" customFormat="1" ht="12" customHeight="1">
      <c r="A45" s="12" t="s">
        <v>115</v>
      </c>
      <c r="B45" s="180" t="s">
        <v>188</v>
      </c>
      <c r="C45" s="167"/>
      <c r="D45" s="167"/>
      <c r="E45" s="103"/>
    </row>
    <row r="46" spans="1:5" s="178" customFormat="1" ht="12" customHeight="1">
      <c r="A46" s="12" t="s">
        <v>116</v>
      </c>
      <c r="B46" s="180" t="s">
        <v>189</v>
      </c>
      <c r="C46" s="167"/>
      <c r="D46" s="167"/>
      <c r="E46" s="103"/>
    </row>
    <row r="47" spans="1:5" s="178" customFormat="1" ht="12" customHeight="1">
      <c r="A47" s="12" t="s">
        <v>117</v>
      </c>
      <c r="B47" s="180" t="s">
        <v>190</v>
      </c>
      <c r="C47" s="167"/>
      <c r="D47" s="167"/>
      <c r="E47" s="103"/>
    </row>
    <row r="48" spans="1:5" s="178" customFormat="1" ht="12" customHeight="1">
      <c r="A48" s="12" t="s">
        <v>118</v>
      </c>
      <c r="B48" s="180" t="s">
        <v>483</v>
      </c>
      <c r="C48" s="167"/>
      <c r="D48" s="167"/>
      <c r="E48" s="103"/>
    </row>
    <row r="49" spans="1:5" s="178" customFormat="1" ht="12" customHeight="1">
      <c r="A49" s="12" t="s">
        <v>182</v>
      </c>
      <c r="B49" s="180" t="s">
        <v>192</v>
      </c>
      <c r="C49" s="170"/>
      <c r="D49" s="170"/>
      <c r="E49" s="106"/>
    </row>
    <row r="50" spans="1:5" s="178" customFormat="1" ht="12" customHeight="1">
      <c r="A50" s="14" t="s">
        <v>183</v>
      </c>
      <c r="B50" s="181" t="s">
        <v>337</v>
      </c>
      <c r="C50" s="171"/>
      <c r="D50" s="171"/>
      <c r="E50" s="107"/>
    </row>
    <row r="51" spans="1:5" s="178" customFormat="1" ht="12" customHeight="1" thickBot="1">
      <c r="A51" s="14" t="s">
        <v>336</v>
      </c>
      <c r="B51" s="111" t="s">
        <v>193</v>
      </c>
      <c r="C51" s="171"/>
      <c r="D51" s="171"/>
      <c r="E51" s="107"/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4900000</v>
      </c>
      <c r="E52" s="102">
        <f>SUM(E53:E57)</f>
        <v>4900000</v>
      </c>
    </row>
    <row r="53" spans="1:5" s="178" customFormat="1" ht="12" customHeight="1">
      <c r="A53" s="13" t="s">
        <v>59</v>
      </c>
      <c r="B53" s="179" t="s">
        <v>198</v>
      </c>
      <c r="C53" s="219"/>
      <c r="D53" s="219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>
        <v>4900000</v>
      </c>
      <c r="E54" s="106">
        <v>4900000</v>
      </c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329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/>
      <c r="E61" s="103"/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0</v>
      </c>
      <c r="D63" s="166">
        <f>SUM(D64:D66)</f>
        <v>20000000</v>
      </c>
      <c r="E63" s="102">
        <f>SUM(E64:E66)</f>
        <v>20000000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330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/>
      <c r="D66" s="170">
        <v>20000000</v>
      </c>
      <c r="E66" s="106">
        <v>20000000</v>
      </c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2" t="s">
        <v>377</v>
      </c>
      <c r="B68" s="19" t="s">
        <v>214</v>
      </c>
      <c r="C68" s="172">
        <f>+C11+C18+C25+C32+C40+C52+C58+C63</f>
        <v>0</v>
      </c>
      <c r="D68" s="172">
        <f>+D11+D18+D25+D32+D40+D52+D58+D63</f>
        <v>24900000</v>
      </c>
      <c r="E68" s="208">
        <f>+E11+E18+E25+E32+E40+E52+E58+E63</f>
        <v>24900000</v>
      </c>
    </row>
    <row r="69" spans="1:5" s="178" customFormat="1" ht="12" customHeight="1" thickBot="1">
      <c r="A69" s="220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244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253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254</v>
      </c>
      <c r="B72" s="228" t="s">
        <v>362</v>
      </c>
      <c r="C72" s="170"/>
      <c r="D72" s="170"/>
      <c r="E72" s="106"/>
    </row>
    <row r="73" spans="1:5" s="178" customFormat="1" ht="12" customHeight="1" thickBot="1">
      <c r="A73" s="220" t="s">
        <v>220</v>
      </c>
      <c r="B73" s="109" t="s">
        <v>221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7" t="s">
        <v>222</v>
      </c>
      <c r="C74" s="170"/>
      <c r="D74" s="170"/>
      <c r="E74" s="106"/>
    </row>
    <row r="75" spans="1:5" s="178" customFormat="1" ht="12" customHeight="1">
      <c r="A75" s="12" t="s">
        <v>99</v>
      </c>
      <c r="B75" s="307" t="s">
        <v>490</v>
      </c>
      <c r="C75" s="170"/>
      <c r="D75" s="170"/>
      <c r="E75" s="106"/>
    </row>
    <row r="76" spans="1:5" s="178" customFormat="1" ht="12" customHeight="1">
      <c r="A76" s="12" t="s">
        <v>245</v>
      </c>
      <c r="B76" s="307" t="s">
        <v>223</v>
      </c>
      <c r="C76" s="170"/>
      <c r="D76" s="170"/>
      <c r="E76" s="106"/>
    </row>
    <row r="77" spans="1:5" s="178" customFormat="1" ht="12" customHeight="1" thickBot="1">
      <c r="A77" s="14" t="s">
        <v>246</v>
      </c>
      <c r="B77" s="308" t="s">
        <v>491</v>
      </c>
      <c r="C77" s="170"/>
      <c r="D77" s="170"/>
      <c r="E77" s="106"/>
    </row>
    <row r="78" spans="1:5" s="178" customFormat="1" ht="12" customHeight="1" thickBot="1">
      <c r="A78" s="220" t="s">
        <v>224</v>
      </c>
      <c r="B78" s="109" t="s">
        <v>225</v>
      </c>
      <c r="C78" s="166">
        <f>SUM(C79:C80)</f>
        <v>5500000</v>
      </c>
      <c r="D78" s="166">
        <f>SUM(D79:D80)</f>
        <v>15275190</v>
      </c>
      <c r="E78" s="102">
        <f>SUM(E79:E80)</f>
        <v>14914969</v>
      </c>
    </row>
    <row r="79" spans="1:5" s="178" customFormat="1" ht="12" customHeight="1">
      <c r="A79" s="13" t="s">
        <v>247</v>
      </c>
      <c r="B79" s="179" t="s">
        <v>226</v>
      </c>
      <c r="C79" s="170">
        <v>5500000</v>
      </c>
      <c r="D79" s="170">
        <v>15275190</v>
      </c>
      <c r="E79" s="106">
        <v>14914969</v>
      </c>
    </row>
    <row r="80" spans="1:5" s="178" customFormat="1" ht="12" customHeight="1" thickBot="1">
      <c r="A80" s="14" t="s">
        <v>248</v>
      </c>
      <c r="B80" s="111" t="s">
        <v>227</v>
      </c>
      <c r="C80" s="170"/>
      <c r="D80" s="170"/>
      <c r="E80" s="106"/>
    </row>
    <row r="81" spans="1:5" s="178" customFormat="1" ht="12" customHeight="1" thickBot="1">
      <c r="A81" s="220" t="s">
        <v>228</v>
      </c>
      <c r="B81" s="109" t="s">
        <v>229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249</v>
      </c>
      <c r="B82" s="179" t="s">
        <v>230</v>
      </c>
      <c r="C82" s="170"/>
      <c r="D82" s="170"/>
      <c r="E82" s="106"/>
    </row>
    <row r="83" spans="1:5" s="178" customFormat="1" ht="12" customHeight="1">
      <c r="A83" s="12" t="s">
        <v>250</v>
      </c>
      <c r="B83" s="180" t="s">
        <v>231</v>
      </c>
      <c r="C83" s="170"/>
      <c r="D83" s="170"/>
      <c r="E83" s="106"/>
    </row>
    <row r="84" spans="1:5" s="178" customFormat="1" ht="12" customHeight="1" thickBot="1">
      <c r="A84" s="14" t="s">
        <v>251</v>
      </c>
      <c r="B84" s="111" t="s">
        <v>492</v>
      </c>
      <c r="C84" s="170"/>
      <c r="D84" s="170"/>
      <c r="E84" s="106"/>
    </row>
    <row r="85" spans="1:5" s="178" customFormat="1" ht="12" customHeight="1" thickBot="1">
      <c r="A85" s="220" t="s">
        <v>232</v>
      </c>
      <c r="B85" s="109" t="s">
        <v>252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233</v>
      </c>
      <c r="B86" s="179" t="s">
        <v>234</v>
      </c>
      <c r="C86" s="170"/>
      <c r="D86" s="170"/>
      <c r="E86" s="106"/>
    </row>
    <row r="87" spans="1:5" s="178" customFormat="1" ht="12" customHeight="1">
      <c r="A87" s="184" t="s">
        <v>235</v>
      </c>
      <c r="B87" s="180" t="s">
        <v>236</v>
      </c>
      <c r="C87" s="170"/>
      <c r="D87" s="170"/>
      <c r="E87" s="106"/>
    </row>
    <row r="88" spans="1:5" s="178" customFormat="1" ht="12" customHeight="1">
      <c r="A88" s="184" t="s">
        <v>237</v>
      </c>
      <c r="B88" s="180" t="s">
        <v>238</v>
      </c>
      <c r="C88" s="170"/>
      <c r="D88" s="170"/>
      <c r="E88" s="106"/>
    </row>
    <row r="89" spans="1:5" s="178" customFormat="1" ht="12" customHeight="1" thickBot="1">
      <c r="A89" s="185" t="s">
        <v>239</v>
      </c>
      <c r="B89" s="111" t="s">
        <v>240</v>
      </c>
      <c r="C89" s="170"/>
      <c r="D89" s="170"/>
      <c r="E89" s="106"/>
    </row>
    <row r="90" spans="1:5" s="178" customFormat="1" ht="12" customHeight="1" thickBot="1">
      <c r="A90" s="220" t="s">
        <v>241</v>
      </c>
      <c r="B90" s="109" t="s">
        <v>376</v>
      </c>
      <c r="C90" s="222"/>
      <c r="D90" s="222"/>
      <c r="E90" s="223"/>
    </row>
    <row r="91" spans="1:5" s="178" customFormat="1" ht="13.5" customHeight="1" thickBot="1">
      <c r="A91" s="220" t="s">
        <v>243</v>
      </c>
      <c r="B91" s="109" t="s">
        <v>242</v>
      </c>
      <c r="C91" s="222"/>
      <c r="D91" s="222"/>
      <c r="E91" s="223"/>
    </row>
    <row r="92" spans="1:5" s="178" customFormat="1" ht="15.75" customHeight="1" thickBot="1">
      <c r="A92" s="220" t="s">
        <v>255</v>
      </c>
      <c r="B92" s="186" t="s">
        <v>379</v>
      </c>
      <c r="C92" s="172">
        <f>+C69+C73+C78+C81+C85+C91+C90</f>
        <v>5500000</v>
      </c>
      <c r="D92" s="172">
        <f>+D69+D73+D78+D81+D85+D91+D90</f>
        <v>15275190</v>
      </c>
      <c r="E92" s="208">
        <f>+E69+E73+E78+E81+E85+E91+E90</f>
        <v>14914969</v>
      </c>
    </row>
    <row r="93" spans="1:5" s="178" customFormat="1" ht="25.5" customHeight="1" thickBot="1">
      <c r="A93" s="221" t="s">
        <v>378</v>
      </c>
      <c r="B93" s="187" t="s">
        <v>380</v>
      </c>
      <c r="C93" s="172">
        <f>+C68+C92</f>
        <v>5500000</v>
      </c>
      <c r="D93" s="172">
        <f>+D68+D92</f>
        <v>40175190</v>
      </c>
      <c r="E93" s="208">
        <f>+E68+E92</f>
        <v>39814969</v>
      </c>
    </row>
    <row r="94" spans="1:3" s="178" customFormat="1" ht="15" customHeight="1">
      <c r="A94" s="3"/>
      <c r="B94" s="4"/>
      <c r="C94" s="113"/>
    </row>
    <row r="95" spans="1:5" ht="16.5" customHeight="1">
      <c r="A95" s="784" t="s">
        <v>34</v>
      </c>
      <c r="B95" s="784"/>
      <c r="C95" s="784"/>
      <c r="D95" s="784"/>
      <c r="E95" s="784"/>
    </row>
    <row r="96" spans="1:5" s="188" customFormat="1" ht="16.5" customHeight="1" thickBot="1">
      <c r="A96" s="786" t="s">
        <v>101</v>
      </c>
      <c r="B96" s="786"/>
      <c r="C96" s="60"/>
      <c r="E96" s="60" t="str">
        <f>E7</f>
        <v> Forintban!</v>
      </c>
    </row>
    <row r="97" spans="1:5" ht="15.75">
      <c r="A97" s="793" t="s">
        <v>51</v>
      </c>
      <c r="B97" s="795" t="s">
        <v>420</v>
      </c>
      <c r="C97" s="779" t="str">
        <f>+CONCATENATE(LEFT(Z_ÖSSZEFÜGGÉSEK!A6,4),". évi")</f>
        <v>2019. évi</v>
      </c>
      <c r="D97" s="780"/>
      <c r="E97" s="781"/>
    </row>
    <row r="98" spans="1:5" ht="24.75" thickBot="1">
      <c r="A98" s="794"/>
      <c r="B98" s="796"/>
      <c r="C98" s="249" t="s">
        <v>418</v>
      </c>
      <c r="D98" s="248" t="s">
        <v>419</v>
      </c>
      <c r="E98" s="309" t="str">
        <f>CONCATENATE(E9)</f>
        <v>2019. XII. 31.
teljesítés</v>
      </c>
    </row>
    <row r="99" spans="1:5" s="177" customFormat="1" ht="12" customHeight="1" thickBot="1">
      <c r="A99" s="25" t="s">
        <v>385</v>
      </c>
      <c r="B99" s="26" t="s">
        <v>386</v>
      </c>
      <c r="C99" s="26" t="s">
        <v>387</v>
      </c>
      <c r="D99" s="26" t="s">
        <v>389</v>
      </c>
      <c r="E99" s="260" t="s">
        <v>388</v>
      </c>
    </row>
    <row r="100" spans="1:5" ht="12" customHeight="1" thickBot="1">
      <c r="A100" s="20" t="s">
        <v>6</v>
      </c>
      <c r="B100" s="24" t="s">
        <v>338</v>
      </c>
      <c r="C100" s="165">
        <f>C101+C102+C103+C104+C105+C118</f>
        <v>5500000</v>
      </c>
      <c r="D100" s="165">
        <f>D101+D102+D103+D104+D105+D118</f>
        <v>5500000</v>
      </c>
      <c r="E100" s="235">
        <f>E101+E102+E103+E104+E105+E118</f>
        <v>5166619</v>
      </c>
    </row>
    <row r="101" spans="1:5" ht="12" customHeight="1">
      <c r="A101" s="15" t="s">
        <v>63</v>
      </c>
      <c r="B101" s="8" t="s">
        <v>35</v>
      </c>
      <c r="C101" s="242"/>
      <c r="D101" s="242"/>
      <c r="E101" s="236"/>
    </row>
    <row r="102" spans="1:5" ht="12" customHeight="1">
      <c r="A102" s="12" t="s">
        <v>64</v>
      </c>
      <c r="B102" s="6" t="s">
        <v>122</v>
      </c>
      <c r="C102" s="167"/>
      <c r="D102" s="167"/>
      <c r="E102" s="103"/>
    </row>
    <row r="103" spans="1:5" ht="12" customHeight="1">
      <c r="A103" s="12" t="s">
        <v>65</v>
      </c>
      <c r="B103" s="6" t="s">
        <v>90</v>
      </c>
      <c r="C103" s="169"/>
      <c r="D103" s="169"/>
      <c r="E103" s="105"/>
    </row>
    <row r="104" spans="1:5" ht="12" customHeight="1">
      <c r="A104" s="12" t="s">
        <v>66</v>
      </c>
      <c r="B104" s="9" t="s">
        <v>123</v>
      </c>
      <c r="C104" s="169">
        <v>5500000</v>
      </c>
      <c r="D104" s="169">
        <v>5500000</v>
      </c>
      <c r="E104" s="105">
        <v>5166619</v>
      </c>
    </row>
    <row r="105" spans="1:5" ht="12" customHeight="1">
      <c r="A105" s="12" t="s">
        <v>75</v>
      </c>
      <c r="B105" s="17" t="s">
        <v>124</v>
      </c>
      <c r="C105" s="169"/>
      <c r="D105" s="169"/>
      <c r="E105" s="105"/>
    </row>
    <row r="106" spans="1:5" ht="12" customHeight="1">
      <c r="A106" s="12" t="s">
        <v>67</v>
      </c>
      <c r="B106" s="6" t="s">
        <v>343</v>
      </c>
      <c r="C106" s="169"/>
      <c r="D106" s="169"/>
      <c r="E106" s="105"/>
    </row>
    <row r="107" spans="1:5" ht="12" customHeight="1">
      <c r="A107" s="12" t="s">
        <v>68</v>
      </c>
      <c r="B107" s="64" t="s">
        <v>342</v>
      </c>
      <c r="C107" s="169"/>
      <c r="D107" s="169"/>
      <c r="E107" s="105"/>
    </row>
    <row r="108" spans="1:5" ht="12" customHeight="1">
      <c r="A108" s="12" t="s">
        <v>76</v>
      </c>
      <c r="B108" s="64" t="s">
        <v>341</v>
      </c>
      <c r="C108" s="169"/>
      <c r="D108" s="169"/>
      <c r="E108" s="105"/>
    </row>
    <row r="109" spans="1:5" ht="12" customHeight="1">
      <c r="A109" s="12" t="s">
        <v>77</v>
      </c>
      <c r="B109" s="62" t="s">
        <v>258</v>
      </c>
      <c r="C109" s="169"/>
      <c r="D109" s="169"/>
      <c r="E109" s="105"/>
    </row>
    <row r="110" spans="1:5" ht="12" customHeight="1">
      <c r="A110" s="12" t="s">
        <v>78</v>
      </c>
      <c r="B110" s="63" t="s">
        <v>259</v>
      </c>
      <c r="C110" s="169"/>
      <c r="D110" s="169"/>
      <c r="E110" s="105"/>
    </row>
    <row r="111" spans="1:5" ht="12" customHeight="1">
      <c r="A111" s="12" t="s">
        <v>79</v>
      </c>
      <c r="B111" s="63" t="s">
        <v>260</v>
      </c>
      <c r="C111" s="169"/>
      <c r="D111" s="169"/>
      <c r="E111" s="105"/>
    </row>
    <row r="112" spans="1:5" ht="12" customHeight="1">
      <c r="A112" s="12" t="s">
        <v>81</v>
      </c>
      <c r="B112" s="62" t="s">
        <v>261</v>
      </c>
      <c r="C112" s="169"/>
      <c r="D112" s="169"/>
      <c r="E112" s="105"/>
    </row>
    <row r="113" spans="1:5" ht="12" customHeight="1">
      <c r="A113" s="12" t="s">
        <v>125</v>
      </c>
      <c r="B113" s="62" t="s">
        <v>262</v>
      </c>
      <c r="C113" s="169"/>
      <c r="D113" s="169"/>
      <c r="E113" s="105"/>
    </row>
    <row r="114" spans="1:5" ht="12" customHeight="1">
      <c r="A114" s="12" t="s">
        <v>256</v>
      </c>
      <c r="B114" s="63" t="s">
        <v>263</v>
      </c>
      <c r="C114" s="169"/>
      <c r="D114" s="169"/>
      <c r="E114" s="105"/>
    </row>
    <row r="115" spans="1:5" ht="12" customHeight="1">
      <c r="A115" s="11" t="s">
        <v>257</v>
      </c>
      <c r="B115" s="64" t="s">
        <v>264</v>
      </c>
      <c r="C115" s="169"/>
      <c r="D115" s="169"/>
      <c r="E115" s="105"/>
    </row>
    <row r="116" spans="1:5" ht="12" customHeight="1">
      <c r="A116" s="12" t="s">
        <v>339</v>
      </c>
      <c r="B116" s="64" t="s">
        <v>265</v>
      </c>
      <c r="C116" s="169"/>
      <c r="D116" s="169"/>
      <c r="E116" s="105"/>
    </row>
    <row r="117" spans="1:5" ht="12" customHeight="1">
      <c r="A117" s="14" t="s">
        <v>340</v>
      </c>
      <c r="B117" s="64" t="s">
        <v>266</v>
      </c>
      <c r="C117" s="169">
        <v>5500000</v>
      </c>
      <c r="D117" s="169">
        <v>5500000</v>
      </c>
      <c r="E117" s="105">
        <v>5166619</v>
      </c>
    </row>
    <row r="118" spans="1:5" ht="12" customHeight="1">
      <c r="A118" s="12" t="s">
        <v>344</v>
      </c>
      <c r="B118" s="9" t="s">
        <v>36</v>
      </c>
      <c r="C118" s="167"/>
      <c r="D118" s="167"/>
      <c r="E118" s="103"/>
    </row>
    <row r="119" spans="1:5" ht="12" customHeight="1">
      <c r="A119" s="12" t="s">
        <v>345</v>
      </c>
      <c r="B119" s="6" t="s">
        <v>347</v>
      </c>
      <c r="C119" s="167"/>
      <c r="D119" s="167"/>
      <c r="E119" s="103"/>
    </row>
    <row r="120" spans="1:5" ht="12" customHeight="1" thickBot="1">
      <c r="A120" s="16" t="s">
        <v>346</v>
      </c>
      <c r="B120" s="231" t="s">
        <v>348</v>
      </c>
      <c r="C120" s="243"/>
      <c r="D120" s="243"/>
      <c r="E120" s="237"/>
    </row>
    <row r="121" spans="1:5" ht="12" customHeight="1" thickBot="1">
      <c r="A121" s="229" t="s">
        <v>7</v>
      </c>
      <c r="B121" s="230" t="s">
        <v>267</v>
      </c>
      <c r="C121" s="244">
        <f>+C122+C124+C126</f>
        <v>0</v>
      </c>
      <c r="D121" s="166">
        <f>+D122+D124+D126</f>
        <v>34675190</v>
      </c>
      <c r="E121" s="238">
        <f>+E122+E124+E126</f>
        <v>34648350</v>
      </c>
    </row>
    <row r="122" spans="1:5" ht="12" customHeight="1">
      <c r="A122" s="13" t="s">
        <v>69</v>
      </c>
      <c r="B122" s="6" t="s">
        <v>143</v>
      </c>
      <c r="C122" s="168"/>
      <c r="D122" s="253"/>
      <c r="E122" s="104"/>
    </row>
    <row r="123" spans="1:5" ht="12" customHeight="1">
      <c r="A123" s="13" t="s">
        <v>70</v>
      </c>
      <c r="B123" s="10" t="s">
        <v>271</v>
      </c>
      <c r="C123" s="168"/>
      <c r="D123" s="253"/>
      <c r="E123" s="104"/>
    </row>
    <row r="124" spans="1:5" ht="12" customHeight="1">
      <c r="A124" s="13" t="s">
        <v>71</v>
      </c>
      <c r="B124" s="10" t="s">
        <v>126</v>
      </c>
      <c r="C124" s="167"/>
      <c r="D124" s="254"/>
      <c r="E124" s="103"/>
    </row>
    <row r="125" spans="1:5" ht="12" customHeight="1">
      <c r="A125" s="13" t="s">
        <v>72</v>
      </c>
      <c r="B125" s="10" t="s">
        <v>272</v>
      </c>
      <c r="C125" s="167"/>
      <c r="D125" s="254"/>
      <c r="E125" s="103"/>
    </row>
    <row r="126" spans="1:5" ht="12" customHeight="1">
      <c r="A126" s="13" t="s">
        <v>73</v>
      </c>
      <c r="B126" s="111" t="s">
        <v>145</v>
      </c>
      <c r="C126" s="167"/>
      <c r="D126" s="254">
        <v>34675190</v>
      </c>
      <c r="E126" s="103">
        <v>34648350</v>
      </c>
    </row>
    <row r="127" spans="1:5" ht="12" customHeight="1">
      <c r="A127" s="13" t="s">
        <v>80</v>
      </c>
      <c r="B127" s="110" t="s">
        <v>331</v>
      </c>
      <c r="C127" s="167"/>
      <c r="D127" s="254"/>
      <c r="E127" s="103"/>
    </row>
    <row r="128" spans="1:5" ht="12" customHeight="1">
      <c r="A128" s="13" t="s">
        <v>82</v>
      </c>
      <c r="B128" s="175" t="s">
        <v>277</v>
      </c>
      <c r="C128" s="167"/>
      <c r="D128" s="254"/>
      <c r="E128" s="103"/>
    </row>
    <row r="129" spans="1:5" ht="15.75">
      <c r="A129" s="13" t="s">
        <v>127</v>
      </c>
      <c r="B129" s="63" t="s">
        <v>260</v>
      </c>
      <c r="C129" s="167"/>
      <c r="D129" s="254"/>
      <c r="E129" s="103"/>
    </row>
    <row r="130" spans="1:5" ht="12" customHeight="1">
      <c r="A130" s="13" t="s">
        <v>128</v>
      </c>
      <c r="B130" s="63" t="s">
        <v>276</v>
      </c>
      <c r="C130" s="167"/>
      <c r="D130" s="254"/>
      <c r="E130" s="103"/>
    </row>
    <row r="131" spans="1:5" ht="12" customHeight="1">
      <c r="A131" s="13" t="s">
        <v>129</v>
      </c>
      <c r="B131" s="63" t="s">
        <v>275</v>
      </c>
      <c r="C131" s="167"/>
      <c r="D131" s="254"/>
      <c r="E131" s="103"/>
    </row>
    <row r="132" spans="1:5" ht="12" customHeight="1">
      <c r="A132" s="13" t="s">
        <v>268</v>
      </c>
      <c r="B132" s="63" t="s">
        <v>263</v>
      </c>
      <c r="C132" s="167"/>
      <c r="D132" s="254">
        <v>34558350</v>
      </c>
      <c r="E132" s="103">
        <v>34558350</v>
      </c>
    </row>
    <row r="133" spans="1:5" ht="12" customHeight="1">
      <c r="A133" s="13" t="s">
        <v>269</v>
      </c>
      <c r="B133" s="63" t="s">
        <v>274</v>
      </c>
      <c r="C133" s="167"/>
      <c r="D133" s="254"/>
      <c r="E133" s="103"/>
    </row>
    <row r="134" spans="1:5" ht="16.5" thickBot="1">
      <c r="A134" s="11" t="s">
        <v>270</v>
      </c>
      <c r="B134" s="63" t="s">
        <v>273</v>
      </c>
      <c r="C134" s="169"/>
      <c r="D134" s="255">
        <v>116840</v>
      </c>
      <c r="E134" s="105">
        <v>90000</v>
      </c>
    </row>
    <row r="135" spans="1:5" ht="12" customHeight="1" thickBot="1">
      <c r="A135" s="18" t="s">
        <v>8</v>
      </c>
      <c r="B135" s="56" t="s">
        <v>349</v>
      </c>
      <c r="C135" s="166">
        <f>+C100+C121</f>
        <v>5500000</v>
      </c>
      <c r="D135" s="252">
        <f>+D100+D121</f>
        <v>40175190</v>
      </c>
      <c r="E135" s="102">
        <f>+E100+E121</f>
        <v>39814969</v>
      </c>
    </row>
    <row r="136" spans="1:5" ht="12" customHeight="1" thickBot="1">
      <c r="A136" s="18" t="s">
        <v>9</v>
      </c>
      <c r="B136" s="56" t="s">
        <v>421</v>
      </c>
      <c r="C136" s="166">
        <f>+C137+C138+C139</f>
        <v>0</v>
      </c>
      <c r="D136" s="252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357</v>
      </c>
      <c r="C137" s="167"/>
      <c r="D137" s="254"/>
      <c r="E137" s="103"/>
    </row>
    <row r="138" spans="1:5" ht="12" customHeight="1">
      <c r="A138" s="13" t="s">
        <v>178</v>
      </c>
      <c r="B138" s="10" t="s">
        <v>358</v>
      </c>
      <c r="C138" s="167"/>
      <c r="D138" s="254"/>
      <c r="E138" s="103"/>
    </row>
    <row r="139" spans="1:5" ht="12" customHeight="1" thickBot="1">
      <c r="A139" s="11" t="s">
        <v>179</v>
      </c>
      <c r="B139" s="10" t="s">
        <v>359</v>
      </c>
      <c r="C139" s="167"/>
      <c r="D139" s="254"/>
      <c r="E139" s="103"/>
    </row>
    <row r="140" spans="1:5" ht="12" customHeight="1" thickBot="1">
      <c r="A140" s="18" t="s">
        <v>10</v>
      </c>
      <c r="B140" s="56" t="s">
        <v>351</v>
      </c>
      <c r="C140" s="166">
        <f>SUM(C141:C146)</f>
        <v>0</v>
      </c>
      <c r="D140" s="252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360</v>
      </c>
      <c r="C141" s="167"/>
      <c r="D141" s="254"/>
      <c r="E141" s="103"/>
    </row>
    <row r="142" spans="1:5" ht="12" customHeight="1">
      <c r="A142" s="13" t="s">
        <v>57</v>
      </c>
      <c r="B142" s="7" t="s">
        <v>352</v>
      </c>
      <c r="C142" s="167"/>
      <c r="D142" s="254"/>
      <c r="E142" s="103"/>
    </row>
    <row r="143" spans="1:5" ht="12" customHeight="1">
      <c r="A143" s="13" t="s">
        <v>58</v>
      </c>
      <c r="B143" s="7" t="s">
        <v>353</v>
      </c>
      <c r="C143" s="167"/>
      <c r="D143" s="254"/>
      <c r="E143" s="103"/>
    </row>
    <row r="144" spans="1:5" ht="12" customHeight="1">
      <c r="A144" s="13" t="s">
        <v>114</v>
      </c>
      <c r="B144" s="7" t="s">
        <v>354</v>
      </c>
      <c r="C144" s="167"/>
      <c r="D144" s="254"/>
      <c r="E144" s="103"/>
    </row>
    <row r="145" spans="1:5" ht="12" customHeight="1">
      <c r="A145" s="13" t="s">
        <v>115</v>
      </c>
      <c r="B145" s="7" t="s">
        <v>355</v>
      </c>
      <c r="C145" s="167"/>
      <c r="D145" s="254"/>
      <c r="E145" s="103"/>
    </row>
    <row r="146" spans="1:5" ht="12" customHeight="1" thickBot="1">
      <c r="A146" s="16" t="s">
        <v>116</v>
      </c>
      <c r="B146" s="315" t="s">
        <v>356</v>
      </c>
      <c r="C146" s="243"/>
      <c r="D146" s="292"/>
      <c r="E146" s="237"/>
    </row>
    <row r="147" spans="1:5" ht="12" customHeight="1" thickBot="1">
      <c r="A147" s="18" t="s">
        <v>11</v>
      </c>
      <c r="B147" s="56" t="s">
        <v>364</v>
      </c>
      <c r="C147" s="172">
        <f>+C148+C149+C150+C151</f>
        <v>0</v>
      </c>
      <c r="D147" s="256">
        <f>+D148+D149+D150+D151</f>
        <v>0</v>
      </c>
      <c r="E147" s="208">
        <f>+E148+E149+E150+E151</f>
        <v>0</v>
      </c>
    </row>
    <row r="148" spans="1:5" ht="12" customHeight="1">
      <c r="A148" s="13" t="s">
        <v>59</v>
      </c>
      <c r="B148" s="7" t="s">
        <v>278</v>
      </c>
      <c r="C148" s="167"/>
      <c r="D148" s="254"/>
      <c r="E148" s="103"/>
    </row>
    <row r="149" spans="1:5" ht="12" customHeight="1">
      <c r="A149" s="13" t="s">
        <v>60</v>
      </c>
      <c r="B149" s="7" t="s">
        <v>279</v>
      </c>
      <c r="C149" s="167"/>
      <c r="D149" s="254"/>
      <c r="E149" s="103"/>
    </row>
    <row r="150" spans="1:5" ht="12" customHeight="1">
      <c r="A150" s="13" t="s">
        <v>195</v>
      </c>
      <c r="B150" s="7" t="s">
        <v>365</v>
      </c>
      <c r="C150" s="167"/>
      <c r="D150" s="254"/>
      <c r="E150" s="103"/>
    </row>
    <row r="151" spans="1:5" ht="12" customHeight="1" thickBot="1">
      <c r="A151" s="11" t="s">
        <v>196</v>
      </c>
      <c r="B151" s="5" t="s">
        <v>295</v>
      </c>
      <c r="C151" s="167"/>
      <c r="D151" s="254"/>
      <c r="E151" s="103"/>
    </row>
    <row r="152" spans="1:5" ht="12" customHeight="1" thickBot="1">
      <c r="A152" s="18" t="s">
        <v>12</v>
      </c>
      <c r="B152" s="56" t="s">
        <v>366</v>
      </c>
      <c r="C152" s="245">
        <f>SUM(C153:C157)</f>
        <v>0</v>
      </c>
      <c r="D152" s="257">
        <f>SUM(D153:D157)</f>
        <v>0</v>
      </c>
      <c r="E152" s="239">
        <f>SUM(E153:E157)</f>
        <v>0</v>
      </c>
    </row>
    <row r="153" spans="1:5" ht="12" customHeight="1">
      <c r="A153" s="13" t="s">
        <v>61</v>
      </c>
      <c r="B153" s="7" t="s">
        <v>361</v>
      </c>
      <c r="C153" s="167"/>
      <c r="D153" s="254"/>
      <c r="E153" s="103"/>
    </row>
    <row r="154" spans="1:5" ht="12" customHeight="1">
      <c r="A154" s="13" t="s">
        <v>62</v>
      </c>
      <c r="B154" s="7" t="s">
        <v>368</v>
      </c>
      <c r="C154" s="167"/>
      <c r="D154" s="254"/>
      <c r="E154" s="103"/>
    </row>
    <row r="155" spans="1:5" ht="12" customHeight="1">
      <c r="A155" s="13" t="s">
        <v>207</v>
      </c>
      <c r="B155" s="7" t="s">
        <v>363</v>
      </c>
      <c r="C155" s="167"/>
      <c r="D155" s="254"/>
      <c r="E155" s="103"/>
    </row>
    <row r="156" spans="1:5" ht="12" customHeight="1">
      <c r="A156" s="13" t="s">
        <v>208</v>
      </c>
      <c r="B156" s="7" t="s">
        <v>369</v>
      </c>
      <c r="C156" s="167"/>
      <c r="D156" s="254"/>
      <c r="E156" s="103"/>
    </row>
    <row r="157" spans="1:5" ht="12" customHeight="1" thickBot="1">
      <c r="A157" s="13" t="s">
        <v>367</v>
      </c>
      <c r="B157" s="7" t="s">
        <v>370</v>
      </c>
      <c r="C157" s="167"/>
      <c r="D157" s="254"/>
      <c r="E157" s="103"/>
    </row>
    <row r="158" spans="1:5" ht="12" customHeight="1" thickBot="1">
      <c r="A158" s="18" t="s">
        <v>13</v>
      </c>
      <c r="B158" s="56" t="s">
        <v>371</v>
      </c>
      <c r="C158" s="246"/>
      <c r="D158" s="258"/>
      <c r="E158" s="240"/>
    </row>
    <row r="159" spans="1:5" ht="12" customHeight="1" thickBot="1">
      <c r="A159" s="18" t="s">
        <v>14</v>
      </c>
      <c r="B159" s="56" t="s">
        <v>372</v>
      </c>
      <c r="C159" s="246"/>
      <c r="D159" s="258"/>
      <c r="E159" s="240"/>
    </row>
    <row r="160" spans="1:9" ht="15" customHeight="1" thickBot="1">
      <c r="A160" s="18" t="s">
        <v>15</v>
      </c>
      <c r="B160" s="56" t="s">
        <v>374</v>
      </c>
      <c r="C160" s="247">
        <f>+C136+C140+C147+C152+C158+C159</f>
        <v>0</v>
      </c>
      <c r="D160" s="259">
        <f>+D136+D140+D147+D152+D158+D159</f>
        <v>0</v>
      </c>
      <c r="E160" s="241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373</v>
      </c>
      <c r="C161" s="247">
        <f>+C135+C160</f>
        <v>5500000</v>
      </c>
      <c r="D161" s="259">
        <f>+D135+D160</f>
        <v>40175190</v>
      </c>
      <c r="E161" s="241">
        <f>+E135+E160</f>
        <v>39814969</v>
      </c>
    </row>
    <row r="162" spans="3:4" ht="15.75">
      <c r="C162" s="589">
        <f>C93-C161</f>
        <v>0</v>
      </c>
      <c r="D162" s="589">
        <f>D93-D161</f>
        <v>0</v>
      </c>
    </row>
    <row r="163" spans="1:5" ht="15.75">
      <c r="A163" s="782" t="s">
        <v>280</v>
      </c>
      <c r="B163" s="782"/>
      <c r="C163" s="782"/>
      <c r="D163" s="782"/>
      <c r="E163" s="782"/>
    </row>
    <row r="164" spans="1:5" ht="15" customHeight="1" thickBot="1">
      <c r="A164" s="792" t="s">
        <v>102</v>
      </c>
      <c r="B164" s="792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375</v>
      </c>
      <c r="C165" s="251">
        <f>+C68-C135</f>
        <v>-5500000</v>
      </c>
      <c r="D165" s="166">
        <f>+D68-D135</f>
        <v>-15275190</v>
      </c>
      <c r="E165" s="102">
        <f>+E68-E135</f>
        <v>-14914969</v>
      </c>
    </row>
    <row r="166" spans="1:5" ht="32.25" customHeight="1" thickBot="1">
      <c r="A166" s="18" t="s">
        <v>7</v>
      </c>
      <c r="B166" s="23" t="s">
        <v>381</v>
      </c>
      <c r="C166" s="166">
        <f>+C92-C160</f>
        <v>5500000</v>
      </c>
      <c r="D166" s="166">
        <f>+D92-D160</f>
        <v>15275190</v>
      </c>
      <c r="E166" s="102">
        <f>+E92-E160</f>
        <v>14914969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G127" sqref="G127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16"/>
      <c r="B1" s="787" t="str">
        <f>CONCATENATE("1.4. melléklet ",Z_ALAPADATOK!A7," ",Z_ALAPADATOK!B7," ",Z_ALAPADATOK!C7," ",Z_ALAPADATOK!D7," ",Z_ALAPADATOK!E7," ",Z_ALAPADATOK!F7," ",Z_ALAPADATOK!G7," ",Z_ALAPADATOK!H7)</f>
        <v>1.4. melléklet a 9 / 2020. ( VII.10. ) önkormányzati rendelethez</v>
      </c>
      <c r="C1" s="788"/>
      <c r="D1" s="788"/>
      <c r="E1" s="788"/>
    </row>
    <row r="2" spans="1:5" ht="15.75">
      <c r="A2" s="789" t="str">
        <f>CONCATENATE(Z_ALAPADATOK!A3)</f>
        <v>Besenyszög Város Önkormányzata</v>
      </c>
      <c r="B2" s="790"/>
      <c r="C2" s="790"/>
      <c r="D2" s="790"/>
      <c r="E2" s="790"/>
    </row>
    <row r="3" spans="1:5" ht="15.75">
      <c r="A3" s="775" t="str">
        <f>CONCATENATE(Z_ALAPADATOK!B1,". ÉVI ZÁRSZÁMADÁS")</f>
        <v>2019. ÉVI ZÁRSZÁMADÁS</v>
      </c>
      <c r="B3" s="775"/>
      <c r="C3" s="775"/>
      <c r="D3" s="775"/>
      <c r="E3" s="775"/>
    </row>
    <row r="4" spans="1:5" ht="17.25" customHeight="1">
      <c r="A4" s="775" t="s">
        <v>813</v>
      </c>
      <c r="B4" s="775"/>
      <c r="C4" s="775"/>
      <c r="D4" s="775"/>
      <c r="E4" s="775"/>
    </row>
    <row r="5" spans="1:5" ht="15.75">
      <c r="A5" s="316"/>
      <c r="B5" s="316"/>
      <c r="C5" s="317"/>
      <c r="D5" s="318"/>
      <c r="E5" s="318"/>
    </row>
    <row r="6" spans="1:5" ht="15.75" customHeight="1">
      <c r="A6" s="783" t="s">
        <v>3</v>
      </c>
      <c r="B6" s="783"/>
      <c r="C6" s="783"/>
      <c r="D6" s="783"/>
      <c r="E6" s="783"/>
    </row>
    <row r="7" spans="1:5" ht="15.75" customHeight="1" thickBot="1">
      <c r="A7" s="785" t="s">
        <v>100</v>
      </c>
      <c r="B7" s="785"/>
      <c r="C7" s="319"/>
      <c r="D7" s="318"/>
      <c r="E7" s="319" t="str">
        <f>CONCATENATE('Z_1.3.sz.mell.'!E7)</f>
        <v> Forintban!</v>
      </c>
    </row>
    <row r="8" spans="1:5" ht="15.75">
      <c r="A8" s="793" t="s">
        <v>51</v>
      </c>
      <c r="B8" s="795" t="s">
        <v>5</v>
      </c>
      <c r="C8" s="779" t="str">
        <f>+CONCATENATE(LEFT(Z_ÖSSZEFÜGGÉSEK!A6,4),". évi")</f>
        <v>2019. évi</v>
      </c>
      <c r="D8" s="780"/>
      <c r="E8" s="781"/>
    </row>
    <row r="9" spans="1:5" ht="24.75" thickBot="1">
      <c r="A9" s="794"/>
      <c r="B9" s="796"/>
      <c r="C9" s="249" t="s">
        <v>418</v>
      </c>
      <c r="D9" s="248" t="s">
        <v>419</v>
      </c>
      <c r="E9" s="309" t="str">
        <f>CONCATENATE('Z_1.3.sz.mell.'!E9)</f>
        <v>2019. XII. 31.
teljesítés</v>
      </c>
    </row>
    <row r="10" spans="1:5" s="177" customFormat="1" ht="12" customHeight="1" thickBot="1">
      <c r="A10" s="173" t="s">
        <v>385</v>
      </c>
      <c r="B10" s="174" t="s">
        <v>386</v>
      </c>
      <c r="C10" s="174" t="s">
        <v>387</v>
      </c>
      <c r="D10" s="174" t="s">
        <v>389</v>
      </c>
      <c r="E10" s="250" t="s">
        <v>388</v>
      </c>
    </row>
    <row r="11" spans="1:5" s="178" customFormat="1" ht="12" customHeight="1" thickBot="1">
      <c r="A11" s="18" t="s">
        <v>6</v>
      </c>
      <c r="B11" s="19" t="s">
        <v>162</v>
      </c>
      <c r="C11" s="166">
        <f>+C12+C13+C14+C15+C16+C17</f>
        <v>45273200</v>
      </c>
      <c r="D11" s="166">
        <f>+D12+D13+D14+D15+D16+D17</f>
        <v>47149748</v>
      </c>
      <c r="E11" s="102">
        <f>+E12+E13+E14+E15+E16+E17</f>
        <v>47149748</v>
      </c>
    </row>
    <row r="12" spans="1:5" s="178" customFormat="1" ht="12" customHeight="1">
      <c r="A12" s="13" t="s">
        <v>63</v>
      </c>
      <c r="B12" s="179" t="s">
        <v>163</v>
      </c>
      <c r="C12" s="168">
        <v>45273200</v>
      </c>
      <c r="D12" s="168">
        <v>47149748</v>
      </c>
      <c r="E12" s="104">
        <v>47149748</v>
      </c>
    </row>
    <row r="13" spans="1:5" s="178" customFormat="1" ht="12" customHeight="1">
      <c r="A13" s="12" t="s">
        <v>64</v>
      </c>
      <c r="B13" s="180" t="s">
        <v>164</v>
      </c>
      <c r="C13" s="167"/>
      <c r="D13" s="167"/>
      <c r="E13" s="103"/>
    </row>
    <row r="14" spans="1:5" s="178" customFormat="1" ht="12" customHeight="1">
      <c r="A14" s="12" t="s">
        <v>65</v>
      </c>
      <c r="B14" s="180" t="s">
        <v>165</v>
      </c>
      <c r="C14" s="167"/>
      <c r="D14" s="167"/>
      <c r="E14" s="103"/>
    </row>
    <row r="15" spans="1:5" s="178" customFormat="1" ht="12" customHeight="1">
      <c r="A15" s="12" t="s">
        <v>66</v>
      </c>
      <c r="B15" s="180" t="s">
        <v>166</v>
      </c>
      <c r="C15" s="167"/>
      <c r="D15" s="167"/>
      <c r="E15" s="103"/>
    </row>
    <row r="16" spans="1:5" s="178" customFormat="1" ht="12" customHeight="1">
      <c r="A16" s="12" t="s">
        <v>97</v>
      </c>
      <c r="B16" s="110" t="s">
        <v>333</v>
      </c>
      <c r="C16" s="167"/>
      <c r="D16" s="167"/>
      <c r="E16" s="103"/>
    </row>
    <row r="17" spans="1:5" s="178" customFormat="1" ht="12" customHeight="1" thickBot="1">
      <c r="A17" s="14" t="s">
        <v>67</v>
      </c>
      <c r="B17" s="111" t="s">
        <v>334</v>
      </c>
      <c r="C17" s="167"/>
      <c r="D17" s="167"/>
      <c r="E17" s="103"/>
    </row>
    <row r="18" spans="1:5" s="178" customFormat="1" ht="12" customHeight="1" thickBot="1">
      <c r="A18" s="18" t="s">
        <v>7</v>
      </c>
      <c r="B18" s="109" t="s">
        <v>167</v>
      </c>
      <c r="C18" s="166">
        <f>+C19+C20+C21+C22+C23</f>
        <v>7546900</v>
      </c>
      <c r="D18" s="166">
        <f>+D19+D20+D21+D22+D23</f>
        <v>7041354</v>
      </c>
      <c r="E18" s="102">
        <f>+E19+E20+E21+E22+E23</f>
        <v>7497860</v>
      </c>
    </row>
    <row r="19" spans="1:5" s="178" customFormat="1" ht="12" customHeight="1">
      <c r="A19" s="13" t="s">
        <v>69</v>
      </c>
      <c r="B19" s="179" t="s">
        <v>168</v>
      </c>
      <c r="C19" s="168"/>
      <c r="D19" s="168"/>
      <c r="E19" s="104"/>
    </row>
    <row r="20" spans="1:5" s="178" customFormat="1" ht="12" customHeight="1">
      <c r="A20" s="12" t="s">
        <v>70</v>
      </c>
      <c r="B20" s="180" t="s">
        <v>169</v>
      </c>
      <c r="C20" s="167"/>
      <c r="D20" s="167"/>
      <c r="E20" s="103"/>
    </row>
    <row r="21" spans="1:5" s="178" customFormat="1" ht="12" customHeight="1">
      <c r="A21" s="12" t="s">
        <v>71</v>
      </c>
      <c r="B21" s="180" t="s">
        <v>325</v>
      </c>
      <c r="C21" s="167"/>
      <c r="D21" s="167"/>
      <c r="E21" s="103"/>
    </row>
    <row r="22" spans="1:5" s="178" customFormat="1" ht="12" customHeight="1">
      <c r="A22" s="12" t="s">
        <v>72</v>
      </c>
      <c r="B22" s="180" t="s">
        <v>326</v>
      </c>
      <c r="C22" s="167"/>
      <c r="D22" s="167"/>
      <c r="E22" s="103"/>
    </row>
    <row r="23" spans="1:5" s="178" customFormat="1" ht="12" customHeight="1">
      <c r="A23" s="12" t="s">
        <v>73</v>
      </c>
      <c r="B23" s="180" t="s">
        <v>170</v>
      </c>
      <c r="C23" s="167">
        <v>7546900</v>
      </c>
      <c r="D23" s="167">
        <v>7041354</v>
      </c>
      <c r="E23" s="103">
        <v>7497860</v>
      </c>
    </row>
    <row r="24" spans="1:5" s="178" customFormat="1" ht="12" customHeight="1" thickBot="1">
      <c r="A24" s="14" t="s">
        <v>80</v>
      </c>
      <c r="B24" s="111" t="s">
        <v>171</v>
      </c>
      <c r="C24" s="169"/>
      <c r="D24" s="169"/>
      <c r="E24" s="105"/>
    </row>
    <row r="25" spans="1:5" s="178" customFormat="1" ht="12" customHeight="1" thickBot="1">
      <c r="A25" s="18" t="s">
        <v>8</v>
      </c>
      <c r="B25" s="19" t="s">
        <v>172</v>
      </c>
      <c r="C25" s="166">
        <f>+C26+C27+C28+C29+C30</f>
        <v>0</v>
      </c>
      <c r="D25" s="166">
        <f>+D26+D27+D28+D29+D30</f>
        <v>0</v>
      </c>
      <c r="E25" s="102">
        <f>+E26+E27+E28+E29+E30</f>
        <v>0</v>
      </c>
    </row>
    <row r="26" spans="1:5" s="178" customFormat="1" ht="12" customHeight="1">
      <c r="A26" s="13" t="s">
        <v>52</v>
      </c>
      <c r="B26" s="179" t="s">
        <v>173</v>
      </c>
      <c r="C26" s="168"/>
      <c r="D26" s="168"/>
      <c r="E26" s="104"/>
    </row>
    <row r="27" spans="1:5" s="178" customFormat="1" ht="12" customHeight="1">
      <c r="A27" s="12" t="s">
        <v>53</v>
      </c>
      <c r="B27" s="180" t="s">
        <v>174</v>
      </c>
      <c r="C27" s="167"/>
      <c r="D27" s="167"/>
      <c r="E27" s="103"/>
    </row>
    <row r="28" spans="1:5" s="178" customFormat="1" ht="12" customHeight="1">
      <c r="A28" s="12" t="s">
        <v>54</v>
      </c>
      <c r="B28" s="180" t="s">
        <v>327</v>
      </c>
      <c r="C28" s="167"/>
      <c r="D28" s="167"/>
      <c r="E28" s="103"/>
    </row>
    <row r="29" spans="1:5" s="178" customFormat="1" ht="12" customHeight="1">
      <c r="A29" s="12" t="s">
        <v>55</v>
      </c>
      <c r="B29" s="180" t="s">
        <v>328</v>
      </c>
      <c r="C29" s="167"/>
      <c r="D29" s="167"/>
      <c r="E29" s="103"/>
    </row>
    <row r="30" spans="1:5" s="178" customFormat="1" ht="12" customHeight="1">
      <c r="A30" s="12" t="s">
        <v>110</v>
      </c>
      <c r="B30" s="180" t="s">
        <v>175</v>
      </c>
      <c r="C30" s="167"/>
      <c r="D30" s="167"/>
      <c r="E30" s="103"/>
    </row>
    <row r="31" spans="1:5" s="178" customFormat="1" ht="12" customHeight="1" thickBot="1">
      <c r="A31" s="14" t="s">
        <v>111</v>
      </c>
      <c r="B31" s="181" t="s">
        <v>176</v>
      </c>
      <c r="C31" s="169"/>
      <c r="D31" s="169"/>
      <c r="E31" s="105"/>
    </row>
    <row r="32" spans="1:5" s="178" customFormat="1" ht="12" customHeight="1" thickBot="1">
      <c r="A32" s="18" t="s">
        <v>112</v>
      </c>
      <c r="B32" s="19" t="s">
        <v>476</v>
      </c>
      <c r="C32" s="172">
        <f>SUM(C33:C39)</f>
        <v>0</v>
      </c>
      <c r="D32" s="172">
        <f>SUM(D33:D39)</f>
        <v>0</v>
      </c>
      <c r="E32" s="208">
        <f>SUM(E33:E39)</f>
        <v>0</v>
      </c>
    </row>
    <row r="33" spans="1:5" s="178" customFormat="1" ht="12" customHeight="1">
      <c r="A33" s="13" t="s">
        <v>177</v>
      </c>
      <c r="B33" s="179" t="str">
        <f>'Z_1.1.sz.mell.'!B33</f>
        <v>Építményadó</v>
      </c>
      <c r="C33" s="168"/>
      <c r="D33" s="168"/>
      <c r="E33" s="104"/>
    </row>
    <row r="34" spans="1:5" s="178" customFormat="1" ht="12" customHeight="1">
      <c r="A34" s="12" t="s">
        <v>178</v>
      </c>
      <c r="B34" s="179" t="str">
        <f>'Z_1.1.sz.mell.'!B34</f>
        <v>Telekadó</v>
      </c>
      <c r="C34" s="167"/>
      <c r="D34" s="167"/>
      <c r="E34" s="103"/>
    </row>
    <row r="35" spans="1:5" s="178" customFormat="1" ht="12" customHeight="1">
      <c r="A35" s="12" t="s">
        <v>179</v>
      </c>
      <c r="B35" s="179" t="str">
        <f>'Z_1.1.sz.mell.'!B35</f>
        <v>Iparűzési adó</v>
      </c>
      <c r="C35" s="167"/>
      <c r="D35" s="167"/>
      <c r="E35" s="103"/>
    </row>
    <row r="36" spans="1:5" s="178" customFormat="1" ht="12" customHeight="1">
      <c r="A36" s="12" t="s">
        <v>180</v>
      </c>
      <c r="B36" s="179" t="str">
        <f>'Z_1.1.sz.mell.'!B36</f>
        <v>Talajterhelési díj</v>
      </c>
      <c r="C36" s="167"/>
      <c r="D36" s="167"/>
      <c r="E36" s="103"/>
    </row>
    <row r="37" spans="1:5" s="178" customFormat="1" ht="12" customHeight="1">
      <c r="A37" s="12" t="s">
        <v>480</v>
      </c>
      <c r="B37" s="179" t="str">
        <f>'Z_1.1.sz.mell.'!B37</f>
        <v>Gépjárműadó</v>
      </c>
      <c r="C37" s="167"/>
      <c r="D37" s="167"/>
      <c r="E37" s="103"/>
    </row>
    <row r="38" spans="1:5" s="178" customFormat="1" ht="12" customHeight="1">
      <c r="A38" s="12" t="s">
        <v>481</v>
      </c>
      <c r="B38" s="179" t="str">
        <f>'Z_1.1.sz.mell.'!B38</f>
        <v>Kommunális adó</v>
      </c>
      <c r="C38" s="167"/>
      <c r="D38" s="167"/>
      <c r="E38" s="103"/>
    </row>
    <row r="39" spans="1:5" s="178" customFormat="1" ht="12" customHeight="1" thickBot="1">
      <c r="A39" s="14" t="s">
        <v>482</v>
      </c>
      <c r="B39" s="179" t="str">
        <f>'Z_1.1.sz.mell.'!B39</f>
        <v>Egyéb közhatalmi  bevételek</v>
      </c>
      <c r="C39" s="169"/>
      <c r="D39" s="169"/>
      <c r="E39" s="105"/>
    </row>
    <row r="40" spans="1:5" s="178" customFormat="1" ht="12" customHeight="1" thickBot="1">
      <c r="A40" s="18" t="s">
        <v>10</v>
      </c>
      <c r="B40" s="19" t="s">
        <v>335</v>
      </c>
      <c r="C40" s="166">
        <f>SUM(C41:C51)</f>
        <v>0</v>
      </c>
      <c r="D40" s="166">
        <f>SUM(D41:D51)</f>
        <v>0</v>
      </c>
      <c r="E40" s="102">
        <f>SUM(E41:E51)</f>
        <v>150101</v>
      </c>
    </row>
    <row r="41" spans="1:5" s="178" customFormat="1" ht="12" customHeight="1">
      <c r="A41" s="13" t="s">
        <v>56</v>
      </c>
      <c r="B41" s="179" t="s">
        <v>184</v>
      </c>
      <c r="C41" s="168"/>
      <c r="D41" s="168"/>
      <c r="E41" s="104"/>
    </row>
    <row r="42" spans="1:5" s="178" customFormat="1" ht="12" customHeight="1">
      <c r="A42" s="12" t="s">
        <v>57</v>
      </c>
      <c r="B42" s="180" t="s">
        <v>185</v>
      </c>
      <c r="C42" s="167"/>
      <c r="D42" s="167"/>
      <c r="E42" s="103">
        <v>134149</v>
      </c>
    </row>
    <row r="43" spans="1:5" s="178" customFormat="1" ht="12" customHeight="1">
      <c r="A43" s="12" t="s">
        <v>58</v>
      </c>
      <c r="B43" s="180" t="s">
        <v>186</v>
      </c>
      <c r="C43" s="167"/>
      <c r="D43" s="167"/>
      <c r="E43" s="103"/>
    </row>
    <row r="44" spans="1:5" s="178" customFormat="1" ht="12" customHeight="1">
      <c r="A44" s="12" t="s">
        <v>114</v>
      </c>
      <c r="B44" s="180" t="s">
        <v>187</v>
      </c>
      <c r="C44" s="167"/>
      <c r="D44" s="167"/>
      <c r="E44" s="103"/>
    </row>
    <row r="45" spans="1:5" s="178" customFormat="1" ht="12" customHeight="1">
      <c r="A45" s="12" t="s">
        <v>115</v>
      </c>
      <c r="B45" s="180" t="s">
        <v>188</v>
      </c>
      <c r="C45" s="167"/>
      <c r="D45" s="167"/>
      <c r="E45" s="103"/>
    </row>
    <row r="46" spans="1:5" s="178" customFormat="1" ht="12" customHeight="1">
      <c r="A46" s="12" t="s">
        <v>116</v>
      </c>
      <c r="B46" s="180" t="s">
        <v>189</v>
      </c>
      <c r="C46" s="167"/>
      <c r="D46" s="167"/>
      <c r="E46" s="103">
        <v>1661</v>
      </c>
    </row>
    <row r="47" spans="1:5" s="178" customFormat="1" ht="12" customHeight="1">
      <c r="A47" s="12" t="s">
        <v>117</v>
      </c>
      <c r="B47" s="180" t="s">
        <v>190</v>
      </c>
      <c r="C47" s="167"/>
      <c r="D47" s="167"/>
      <c r="E47" s="103"/>
    </row>
    <row r="48" spans="1:5" s="178" customFormat="1" ht="12" customHeight="1">
      <c r="A48" s="12" t="s">
        <v>118</v>
      </c>
      <c r="B48" s="180" t="s">
        <v>483</v>
      </c>
      <c r="C48" s="167"/>
      <c r="D48" s="167"/>
      <c r="E48" s="103"/>
    </row>
    <row r="49" spans="1:5" s="178" customFormat="1" ht="12" customHeight="1">
      <c r="A49" s="12" t="s">
        <v>182</v>
      </c>
      <c r="B49" s="180" t="s">
        <v>192</v>
      </c>
      <c r="C49" s="170"/>
      <c r="D49" s="170"/>
      <c r="E49" s="106"/>
    </row>
    <row r="50" spans="1:5" s="178" customFormat="1" ht="12" customHeight="1">
      <c r="A50" s="14" t="s">
        <v>183</v>
      </c>
      <c r="B50" s="181" t="s">
        <v>337</v>
      </c>
      <c r="C50" s="171"/>
      <c r="D50" s="171"/>
      <c r="E50" s="107"/>
    </row>
    <row r="51" spans="1:5" s="178" customFormat="1" ht="12" customHeight="1" thickBot="1">
      <c r="A51" s="14" t="s">
        <v>336</v>
      </c>
      <c r="B51" s="111" t="s">
        <v>193</v>
      </c>
      <c r="C51" s="171"/>
      <c r="D51" s="171"/>
      <c r="E51" s="107">
        <v>14291</v>
      </c>
    </row>
    <row r="52" spans="1:5" s="178" customFormat="1" ht="12" customHeight="1" thickBot="1">
      <c r="A52" s="18" t="s">
        <v>11</v>
      </c>
      <c r="B52" s="19" t="s">
        <v>194</v>
      </c>
      <c r="C52" s="166">
        <f>SUM(C53:C57)</f>
        <v>0</v>
      </c>
      <c r="D52" s="166">
        <f>SUM(D53:D57)</f>
        <v>0</v>
      </c>
      <c r="E52" s="102">
        <f>SUM(E53:E57)</f>
        <v>0</v>
      </c>
    </row>
    <row r="53" spans="1:5" s="178" customFormat="1" ht="12" customHeight="1">
      <c r="A53" s="13" t="s">
        <v>59</v>
      </c>
      <c r="B53" s="179" t="s">
        <v>198</v>
      </c>
      <c r="C53" s="219"/>
      <c r="D53" s="219"/>
      <c r="E53" s="108"/>
    </row>
    <row r="54" spans="1:5" s="178" customFormat="1" ht="12" customHeight="1">
      <c r="A54" s="12" t="s">
        <v>60</v>
      </c>
      <c r="B54" s="180" t="s">
        <v>199</v>
      </c>
      <c r="C54" s="170"/>
      <c r="D54" s="170"/>
      <c r="E54" s="106"/>
    </row>
    <row r="55" spans="1:5" s="178" customFormat="1" ht="12" customHeight="1">
      <c r="A55" s="12" t="s">
        <v>195</v>
      </c>
      <c r="B55" s="180" t="s">
        <v>200</v>
      </c>
      <c r="C55" s="170"/>
      <c r="D55" s="170"/>
      <c r="E55" s="106"/>
    </row>
    <row r="56" spans="1:5" s="178" customFormat="1" ht="12" customHeight="1">
      <c r="A56" s="12" t="s">
        <v>196</v>
      </c>
      <c r="B56" s="180" t="s">
        <v>201</v>
      </c>
      <c r="C56" s="170"/>
      <c r="D56" s="170"/>
      <c r="E56" s="106"/>
    </row>
    <row r="57" spans="1:5" s="178" customFormat="1" ht="12" customHeight="1" thickBot="1">
      <c r="A57" s="14" t="s">
        <v>197</v>
      </c>
      <c r="B57" s="111" t="s">
        <v>202</v>
      </c>
      <c r="C57" s="171"/>
      <c r="D57" s="171"/>
      <c r="E57" s="107"/>
    </row>
    <row r="58" spans="1:5" s="178" customFormat="1" ht="12" customHeight="1" thickBot="1">
      <c r="A58" s="18" t="s">
        <v>119</v>
      </c>
      <c r="B58" s="19" t="s">
        <v>203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8" customFormat="1" ht="12" customHeight="1">
      <c r="A59" s="13" t="s">
        <v>61</v>
      </c>
      <c r="B59" s="179" t="s">
        <v>204</v>
      </c>
      <c r="C59" s="168"/>
      <c r="D59" s="168"/>
      <c r="E59" s="104"/>
    </row>
    <row r="60" spans="1:5" s="178" customFormat="1" ht="12" customHeight="1">
      <c r="A60" s="12" t="s">
        <v>62</v>
      </c>
      <c r="B60" s="180" t="s">
        <v>329</v>
      </c>
      <c r="C60" s="167"/>
      <c r="D60" s="167"/>
      <c r="E60" s="103"/>
    </row>
    <row r="61" spans="1:5" s="178" customFormat="1" ht="12" customHeight="1">
      <c r="A61" s="12" t="s">
        <v>207</v>
      </c>
      <c r="B61" s="180" t="s">
        <v>205</v>
      </c>
      <c r="C61" s="167"/>
      <c r="D61" s="167"/>
      <c r="E61" s="103"/>
    </row>
    <row r="62" spans="1:5" s="178" customFormat="1" ht="12" customHeight="1" thickBot="1">
      <c r="A62" s="14" t="s">
        <v>208</v>
      </c>
      <c r="B62" s="111" t="s">
        <v>206</v>
      </c>
      <c r="C62" s="169"/>
      <c r="D62" s="169"/>
      <c r="E62" s="105"/>
    </row>
    <row r="63" spans="1:5" s="178" customFormat="1" ht="12" customHeight="1" thickBot="1">
      <c r="A63" s="18" t="s">
        <v>13</v>
      </c>
      <c r="B63" s="109" t="s">
        <v>209</v>
      </c>
      <c r="C63" s="166">
        <f>SUM(C64:C66)</f>
        <v>0</v>
      </c>
      <c r="D63" s="166">
        <f>SUM(D64:D66)</f>
        <v>0</v>
      </c>
      <c r="E63" s="102">
        <f>SUM(E64:E66)</f>
        <v>0</v>
      </c>
    </row>
    <row r="64" spans="1:5" s="178" customFormat="1" ht="12" customHeight="1">
      <c r="A64" s="13" t="s">
        <v>120</v>
      </c>
      <c r="B64" s="179" t="s">
        <v>211</v>
      </c>
      <c r="C64" s="170"/>
      <c r="D64" s="170"/>
      <c r="E64" s="106"/>
    </row>
    <row r="65" spans="1:5" s="178" customFormat="1" ht="12" customHeight="1">
      <c r="A65" s="12" t="s">
        <v>121</v>
      </c>
      <c r="B65" s="180" t="s">
        <v>330</v>
      </c>
      <c r="C65" s="170"/>
      <c r="D65" s="170"/>
      <c r="E65" s="106"/>
    </row>
    <row r="66" spans="1:5" s="178" customFormat="1" ht="12" customHeight="1">
      <c r="A66" s="12" t="s">
        <v>144</v>
      </c>
      <c r="B66" s="180" t="s">
        <v>212</v>
      </c>
      <c r="C66" s="170"/>
      <c r="D66" s="170"/>
      <c r="E66" s="106"/>
    </row>
    <row r="67" spans="1:5" s="178" customFormat="1" ht="12" customHeight="1" thickBot="1">
      <c r="A67" s="14" t="s">
        <v>210</v>
      </c>
      <c r="B67" s="111" t="s">
        <v>213</v>
      </c>
      <c r="C67" s="170"/>
      <c r="D67" s="170"/>
      <c r="E67" s="106"/>
    </row>
    <row r="68" spans="1:5" s="178" customFormat="1" ht="12" customHeight="1" thickBot="1">
      <c r="A68" s="232" t="s">
        <v>377</v>
      </c>
      <c r="B68" s="19" t="s">
        <v>214</v>
      </c>
      <c r="C68" s="172">
        <f>+C11+C18+C25+C32+C40+C52+C58+C63</f>
        <v>52820100</v>
      </c>
      <c r="D68" s="172">
        <f>+D11+D18+D25+D32+D40+D52+D58+D63</f>
        <v>54191102</v>
      </c>
      <c r="E68" s="208">
        <f>+E11+E18+E25+E32+E40+E52+E58+E63</f>
        <v>54797709</v>
      </c>
    </row>
    <row r="69" spans="1:5" s="178" customFormat="1" ht="12" customHeight="1" thickBot="1">
      <c r="A69" s="220" t="s">
        <v>215</v>
      </c>
      <c r="B69" s="109" t="s">
        <v>216</v>
      </c>
      <c r="C69" s="166">
        <f>SUM(C70:C72)</f>
        <v>0</v>
      </c>
      <c r="D69" s="166">
        <f>SUM(D70:D72)</f>
        <v>0</v>
      </c>
      <c r="E69" s="102">
        <f>SUM(E70:E72)</f>
        <v>0</v>
      </c>
    </row>
    <row r="70" spans="1:5" s="178" customFormat="1" ht="12" customHeight="1">
      <c r="A70" s="13" t="s">
        <v>244</v>
      </c>
      <c r="B70" s="179" t="s">
        <v>217</v>
      </c>
      <c r="C70" s="170"/>
      <c r="D70" s="170"/>
      <c r="E70" s="106"/>
    </row>
    <row r="71" spans="1:5" s="178" customFormat="1" ht="12" customHeight="1">
      <c r="A71" s="12" t="s">
        <v>253</v>
      </c>
      <c r="B71" s="180" t="s">
        <v>218</v>
      </c>
      <c r="C71" s="170"/>
      <c r="D71" s="170"/>
      <c r="E71" s="106"/>
    </row>
    <row r="72" spans="1:5" s="178" customFormat="1" ht="12" customHeight="1" thickBot="1">
      <c r="A72" s="14" t="s">
        <v>254</v>
      </c>
      <c r="B72" s="228" t="s">
        <v>362</v>
      </c>
      <c r="C72" s="170"/>
      <c r="D72" s="170"/>
      <c r="E72" s="106"/>
    </row>
    <row r="73" spans="1:5" s="178" customFormat="1" ht="12" customHeight="1" thickBot="1">
      <c r="A73" s="220" t="s">
        <v>220</v>
      </c>
      <c r="B73" s="109" t="s">
        <v>221</v>
      </c>
      <c r="C73" s="166">
        <f>SUM(C74:C77)</f>
        <v>0</v>
      </c>
      <c r="D73" s="166">
        <f>SUM(D74:D77)</f>
        <v>0</v>
      </c>
      <c r="E73" s="102">
        <f>SUM(E74:E77)</f>
        <v>0</v>
      </c>
    </row>
    <row r="74" spans="1:5" s="178" customFormat="1" ht="12" customHeight="1">
      <c r="A74" s="13" t="s">
        <v>98</v>
      </c>
      <c r="B74" s="307" t="s">
        <v>222</v>
      </c>
      <c r="C74" s="170"/>
      <c r="D74" s="170"/>
      <c r="E74" s="106"/>
    </row>
    <row r="75" spans="1:5" s="178" customFormat="1" ht="12" customHeight="1">
      <c r="A75" s="12" t="s">
        <v>99</v>
      </c>
      <c r="B75" s="307" t="s">
        <v>490</v>
      </c>
      <c r="C75" s="170"/>
      <c r="D75" s="170"/>
      <c r="E75" s="106"/>
    </row>
    <row r="76" spans="1:5" s="178" customFormat="1" ht="12" customHeight="1">
      <c r="A76" s="12" t="s">
        <v>245</v>
      </c>
      <c r="B76" s="307" t="s">
        <v>223</v>
      </c>
      <c r="C76" s="170"/>
      <c r="D76" s="170"/>
      <c r="E76" s="106"/>
    </row>
    <row r="77" spans="1:5" s="178" customFormat="1" ht="12" customHeight="1" thickBot="1">
      <c r="A77" s="14" t="s">
        <v>246</v>
      </c>
      <c r="B77" s="308" t="s">
        <v>491</v>
      </c>
      <c r="C77" s="170"/>
      <c r="D77" s="170"/>
      <c r="E77" s="106"/>
    </row>
    <row r="78" spans="1:5" s="178" customFormat="1" ht="12" customHeight="1" thickBot="1">
      <c r="A78" s="220" t="s">
        <v>224</v>
      </c>
      <c r="B78" s="109" t="s">
        <v>225</v>
      </c>
      <c r="C78" s="166">
        <f>SUM(C79:C80)</f>
        <v>0</v>
      </c>
      <c r="D78" s="166">
        <f>SUM(D79:D80)</f>
        <v>1383381</v>
      </c>
      <c r="E78" s="102">
        <f>SUM(E79:E80)</f>
        <v>1383381</v>
      </c>
    </row>
    <row r="79" spans="1:5" s="178" customFormat="1" ht="12" customHeight="1">
      <c r="A79" s="13" t="s">
        <v>247</v>
      </c>
      <c r="B79" s="179" t="s">
        <v>226</v>
      </c>
      <c r="C79" s="170"/>
      <c r="D79" s="170">
        <v>1383381</v>
      </c>
      <c r="E79" s="106">
        <v>1383381</v>
      </c>
    </row>
    <row r="80" spans="1:5" s="178" customFormat="1" ht="12" customHeight="1" thickBot="1">
      <c r="A80" s="14" t="s">
        <v>248</v>
      </c>
      <c r="B80" s="111" t="s">
        <v>227</v>
      </c>
      <c r="C80" s="170"/>
      <c r="D80" s="170"/>
      <c r="E80" s="106"/>
    </row>
    <row r="81" spans="1:5" s="178" customFormat="1" ht="12" customHeight="1" thickBot="1">
      <c r="A81" s="220" t="s">
        <v>228</v>
      </c>
      <c r="B81" s="109" t="s">
        <v>229</v>
      </c>
      <c r="C81" s="166">
        <f>SUM(C82:C84)</f>
        <v>0</v>
      </c>
      <c r="D81" s="166">
        <f>SUM(D82:D84)</f>
        <v>0</v>
      </c>
      <c r="E81" s="102">
        <f>SUM(E82:E84)</f>
        <v>0</v>
      </c>
    </row>
    <row r="82" spans="1:5" s="178" customFormat="1" ht="12" customHeight="1">
      <c r="A82" s="13" t="s">
        <v>249</v>
      </c>
      <c r="B82" s="179" t="s">
        <v>230</v>
      </c>
      <c r="C82" s="170"/>
      <c r="D82" s="170"/>
      <c r="E82" s="106"/>
    </row>
    <row r="83" spans="1:5" s="178" customFormat="1" ht="12" customHeight="1">
      <c r="A83" s="12" t="s">
        <v>250</v>
      </c>
      <c r="B83" s="180" t="s">
        <v>231</v>
      </c>
      <c r="C83" s="170"/>
      <c r="D83" s="170"/>
      <c r="E83" s="106"/>
    </row>
    <row r="84" spans="1:5" s="178" customFormat="1" ht="12" customHeight="1" thickBot="1">
      <c r="A84" s="14" t="s">
        <v>251</v>
      </c>
      <c r="B84" s="111" t="s">
        <v>492</v>
      </c>
      <c r="C84" s="170"/>
      <c r="D84" s="170"/>
      <c r="E84" s="106"/>
    </row>
    <row r="85" spans="1:5" s="178" customFormat="1" ht="12" customHeight="1" thickBot="1">
      <c r="A85" s="220" t="s">
        <v>232</v>
      </c>
      <c r="B85" s="109" t="s">
        <v>252</v>
      </c>
      <c r="C85" s="166">
        <f>SUM(C86:C89)</f>
        <v>0</v>
      </c>
      <c r="D85" s="166">
        <f>SUM(D86:D89)</f>
        <v>0</v>
      </c>
      <c r="E85" s="102">
        <f>SUM(E86:E89)</f>
        <v>0</v>
      </c>
    </row>
    <row r="86" spans="1:5" s="178" customFormat="1" ht="12" customHeight="1">
      <c r="A86" s="183" t="s">
        <v>233</v>
      </c>
      <c r="B86" s="179" t="s">
        <v>234</v>
      </c>
      <c r="C86" s="170"/>
      <c r="D86" s="170"/>
      <c r="E86" s="106"/>
    </row>
    <row r="87" spans="1:5" s="178" customFormat="1" ht="12" customHeight="1">
      <c r="A87" s="184" t="s">
        <v>235</v>
      </c>
      <c r="B87" s="180" t="s">
        <v>236</v>
      </c>
      <c r="C87" s="170"/>
      <c r="D87" s="170"/>
      <c r="E87" s="106"/>
    </row>
    <row r="88" spans="1:5" s="178" customFormat="1" ht="12" customHeight="1">
      <c r="A88" s="184" t="s">
        <v>237</v>
      </c>
      <c r="B88" s="180" t="s">
        <v>238</v>
      </c>
      <c r="C88" s="170"/>
      <c r="D88" s="170"/>
      <c r="E88" s="106"/>
    </row>
    <row r="89" spans="1:5" s="178" customFormat="1" ht="12" customHeight="1" thickBot="1">
      <c r="A89" s="185" t="s">
        <v>239</v>
      </c>
      <c r="B89" s="111" t="s">
        <v>240</v>
      </c>
      <c r="C89" s="170"/>
      <c r="D89" s="170"/>
      <c r="E89" s="106"/>
    </row>
    <row r="90" spans="1:5" s="178" customFormat="1" ht="12" customHeight="1" thickBot="1">
      <c r="A90" s="220" t="s">
        <v>241</v>
      </c>
      <c r="B90" s="109" t="s">
        <v>376</v>
      </c>
      <c r="C90" s="222"/>
      <c r="D90" s="222"/>
      <c r="E90" s="223"/>
    </row>
    <row r="91" spans="1:5" s="178" customFormat="1" ht="13.5" customHeight="1" thickBot="1">
      <c r="A91" s="220" t="s">
        <v>243</v>
      </c>
      <c r="B91" s="109" t="s">
        <v>242</v>
      </c>
      <c r="C91" s="222"/>
      <c r="D91" s="222"/>
      <c r="E91" s="223"/>
    </row>
    <row r="92" spans="1:5" s="178" customFormat="1" ht="15.75" customHeight="1" thickBot="1">
      <c r="A92" s="220" t="s">
        <v>255</v>
      </c>
      <c r="B92" s="186" t="s">
        <v>379</v>
      </c>
      <c r="C92" s="172">
        <f>+C69+C73+C78+C81+C85+C91+C90</f>
        <v>0</v>
      </c>
      <c r="D92" s="172">
        <f>+D69+D73+D78+D81+D85+D91+D90</f>
        <v>1383381</v>
      </c>
      <c r="E92" s="208">
        <f>+E69+E73+E78+E81+E85+E91+E90</f>
        <v>1383381</v>
      </c>
    </row>
    <row r="93" spans="1:5" s="178" customFormat="1" ht="25.5" customHeight="1" thickBot="1">
      <c r="A93" s="221" t="s">
        <v>378</v>
      </c>
      <c r="B93" s="187" t="s">
        <v>380</v>
      </c>
      <c r="C93" s="172">
        <f>+C68+C92</f>
        <v>52820100</v>
      </c>
      <c r="D93" s="172">
        <f>+D68+D92</f>
        <v>55574483</v>
      </c>
      <c r="E93" s="208">
        <f>+E68+E92</f>
        <v>56181090</v>
      </c>
    </row>
    <row r="94" spans="1:3" s="178" customFormat="1" ht="15" customHeight="1">
      <c r="A94" s="3"/>
      <c r="B94" s="4"/>
      <c r="C94" s="113"/>
    </row>
    <row r="95" spans="1:5" ht="16.5" customHeight="1">
      <c r="A95" s="784" t="s">
        <v>34</v>
      </c>
      <c r="B95" s="784"/>
      <c r="C95" s="784"/>
      <c r="D95" s="784"/>
      <c r="E95" s="784"/>
    </row>
    <row r="96" spans="1:5" s="188" customFormat="1" ht="16.5" customHeight="1" thickBot="1">
      <c r="A96" s="786" t="s">
        <v>101</v>
      </c>
      <c r="B96" s="786"/>
      <c r="C96" s="60"/>
      <c r="E96" s="60" t="str">
        <f>E7</f>
        <v> Forintban!</v>
      </c>
    </row>
    <row r="97" spans="1:5" ht="15.75">
      <c r="A97" s="793" t="s">
        <v>51</v>
      </c>
      <c r="B97" s="795" t="s">
        <v>420</v>
      </c>
      <c r="C97" s="779" t="str">
        <f>+CONCATENATE(LEFT(Z_ÖSSZEFÜGGÉSEK!A6,4),". évi")</f>
        <v>2019. évi</v>
      </c>
      <c r="D97" s="780"/>
      <c r="E97" s="781"/>
    </row>
    <row r="98" spans="1:5" ht="24.75" thickBot="1">
      <c r="A98" s="794"/>
      <c r="B98" s="796"/>
      <c r="C98" s="249" t="s">
        <v>418</v>
      </c>
      <c r="D98" s="248" t="s">
        <v>419</v>
      </c>
      <c r="E98" s="309" t="str">
        <f>CONCATENATE(E9)</f>
        <v>2019. XII. 31.
teljesítés</v>
      </c>
    </row>
    <row r="99" spans="1:5" s="177" customFormat="1" ht="12" customHeight="1" thickBot="1">
      <c r="A99" s="25" t="s">
        <v>385</v>
      </c>
      <c r="B99" s="26" t="s">
        <v>386</v>
      </c>
      <c r="C99" s="26" t="s">
        <v>387</v>
      </c>
      <c r="D99" s="26" t="s">
        <v>389</v>
      </c>
      <c r="E99" s="260" t="s">
        <v>388</v>
      </c>
    </row>
    <row r="100" spans="1:5" ht="12" customHeight="1" thickBot="1">
      <c r="A100" s="20" t="s">
        <v>6</v>
      </c>
      <c r="B100" s="24" t="s">
        <v>338</v>
      </c>
      <c r="C100" s="165">
        <f>C101+C102+C103+C104+C105+C118</f>
        <v>52820100</v>
      </c>
      <c r="D100" s="165">
        <f>D101+D102+D103+D104+D105+D118</f>
        <v>55429086</v>
      </c>
      <c r="E100" s="235">
        <f>E101+E102+E103+E104+E105+E118</f>
        <v>53418029</v>
      </c>
    </row>
    <row r="101" spans="1:5" ht="12" customHeight="1">
      <c r="A101" s="15" t="s">
        <v>63</v>
      </c>
      <c r="B101" s="8" t="s">
        <v>35</v>
      </c>
      <c r="C101" s="242">
        <v>39752600</v>
      </c>
      <c r="D101" s="242">
        <v>42048285</v>
      </c>
      <c r="E101" s="236">
        <v>41497704</v>
      </c>
    </row>
    <row r="102" spans="1:5" ht="12" customHeight="1">
      <c r="A102" s="12" t="s">
        <v>64</v>
      </c>
      <c r="B102" s="6" t="s">
        <v>122</v>
      </c>
      <c r="C102" s="167">
        <v>7965000</v>
      </c>
      <c r="D102" s="167">
        <v>8282782</v>
      </c>
      <c r="E102" s="103">
        <v>8032044</v>
      </c>
    </row>
    <row r="103" spans="1:5" ht="12" customHeight="1">
      <c r="A103" s="12" t="s">
        <v>65</v>
      </c>
      <c r="B103" s="6" t="s">
        <v>90</v>
      </c>
      <c r="C103" s="169">
        <v>5102500</v>
      </c>
      <c r="D103" s="169">
        <v>5098019</v>
      </c>
      <c r="E103" s="105">
        <v>3888281</v>
      </c>
    </row>
    <row r="104" spans="1:5" ht="12" customHeight="1">
      <c r="A104" s="12" t="s">
        <v>66</v>
      </c>
      <c r="B104" s="9" t="s">
        <v>123</v>
      </c>
      <c r="C104" s="169"/>
      <c r="D104" s="169"/>
      <c r="E104" s="105"/>
    </row>
    <row r="105" spans="1:5" ht="12" customHeight="1">
      <c r="A105" s="12" t="s">
        <v>75</v>
      </c>
      <c r="B105" s="17" t="s">
        <v>124</v>
      </c>
      <c r="C105" s="169"/>
      <c r="D105" s="169"/>
      <c r="E105" s="105"/>
    </row>
    <row r="106" spans="1:5" ht="12" customHeight="1">
      <c r="A106" s="12" t="s">
        <v>67</v>
      </c>
      <c r="B106" s="6" t="s">
        <v>343</v>
      </c>
      <c r="C106" s="169"/>
      <c r="D106" s="169"/>
      <c r="E106" s="105"/>
    </row>
    <row r="107" spans="1:5" ht="12" customHeight="1">
      <c r="A107" s="12" t="s">
        <v>68</v>
      </c>
      <c r="B107" s="64" t="s">
        <v>342</v>
      </c>
      <c r="C107" s="169"/>
      <c r="D107" s="169"/>
      <c r="E107" s="105"/>
    </row>
    <row r="108" spans="1:5" ht="12" customHeight="1">
      <c r="A108" s="12" t="s">
        <v>76</v>
      </c>
      <c r="B108" s="64" t="s">
        <v>341</v>
      </c>
      <c r="C108" s="169"/>
      <c r="D108" s="169"/>
      <c r="E108" s="105"/>
    </row>
    <row r="109" spans="1:5" ht="12" customHeight="1">
      <c r="A109" s="12" t="s">
        <v>77</v>
      </c>
      <c r="B109" s="62" t="s">
        <v>258</v>
      </c>
      <c r="C109" s="169"/>
      <c r="D109" s="169"/>
      <c r="E109" s="105"/>
    </row>
    <row r="110" spans="1:5" ht="12" customHeight="1">
      <c r="A110" s="12" t="s">
        <v>78</v>
      </c>
      <c r="B110" s="63" t="s">
        <v>259</v>
      </c>
      <c r="C110" s="169"/>
      <c r="D110" s="169"/>
      <c r="E110" s="105"/>
    </row>
    <row r="111" spans="1:5" ht="12" customHeight="1">
      <c r="A111" s="12" t="s">
        <v>79</v>
      </c>
      <c r="B111" s="63" t="s">
        <v>260</v>
      </c>
      <c r="C111" s="169"/>
      <c r="D111" s="169"/>
      <c r="E111" s="105"/>
    </row>
    <row r="112" spans="1:5" ht="12" customHeight="1">
      <c r="A112" s="12" t="s">
        <v>81</v>
      </c>
      <c r="B112" s="62" t="s">
        <v>261</v>
      </c>
      <c r="C112" s="169"/>
      <c r="D112" s="169"/>
      <c r="E112" s="105"/>
    </row>
    <row r="113" spans="1:5" ht="12" customHeight="1">
      <c r="A113" s="12" t="s">
        <v>125</v>
      </c>
      <c r="B113" s="62" t="s">
        <v>262</v>
      </c>
      <c r="C113" s="169"/>
      <c r="D113" s="169"/>
      <c r="E113" s="105"/>
    </row>
    <row r="114" spans="1:5" ht="12" customHeight="1">
      <c r="A114" s="12" t="s">
        <v>256</v>
      </c>
      <c r="B114" s="63" t="s">
        <v>263</v>
      </c>
      <c r="C114" s="169"/>
      <c r="D114" s="169"/>
      <c r="E114" s="105"/>
    </row>
    <row r="115" spans="1:5" ht="12" customHeight="1">
      <c r="A115" s="11" t="s">
        <v>257</v>
      </c>
      <c r="B115" s="64" t="s">
        <v>264</v>
      </c>
      <c r="C115" s="169"/>
      <c r="D115" s="169"/>
      <c r="E115" s="105"/>
    </row>
    <row r="116" spans="1:5" ht="12" customHeight="1">
      <c r="A116" s="12" t="s">
        <v>339</v>
      </c>
      <c r="B116" s="64" t="s">
        <v>265</v>
      </c>
      <c r="C116" s="169"/>
      <c r="D116" s="169"/>
      <c r="E116" s="105"/>
    </row>
    <row r="117" spans="1:5" ht="12" customHeight="1">
      <c r="A117" s="14" t="s">
        <v>340</v>
      </c>
      <c r="B117" s="64" t="s">
        <v>266</v>
      </c>
      <c r="C117" s="169"/>
      <c r="D117" s="169"/>
      <c r="E117" s="105"/>
    </row>
    <row r="118" spans="1:5" ht="12" customHeight="1">
      <c r="A118" s="12" t="s">
        <v>344</v>
      </c>
      <c r="B118" s="9" t="s">
        <v>36</v>
      </c>
      <c r="C118" s="167"/>
      <c r="D118" s="167"/>
      <c r="E118" s="103"/>
    </row>
    <row r="119" spans="1:5" ht="12" customHeight="1">
      <c r="A119" s="12" t="s">
        <v>345</v>
      </c>
      <c r="B119" s="6" t="s">
        <v>347</v>
      </c>
      <c r="C119" s="167"/>
      <c r="D119" s="167"/>
      <c r="E119" s="103"/>
    </row>
    <row r="120" spans="1:5" ht="12" customHeight="1" thickBot="1">
      <c r="A120" s="16" t="s">
        <v>346</v>
      </c>
      <c r="B120" s="231" t="s">
        <v>348</v>
      </c>
      <c r="C120" s="243"/>
      <c r="D120" s="243"/>
      <c r="E120" s="237"/>
    </row>
    <row r="121" spans="1:5" ht="12" customHeight="1" thickBot="1">
      <c r="A121" s="229" t="s">
        <v>7</v>
      </c>
      <c r="B121" s="230" t="s">
        <v>267</v>
      </c>
      <c r="C121" s="244">
        <f>+C122+C124+C126</f>
        <v>0</v>
      </c>
      <c r="D121" s="166">
        <f>+D122+D124+D126</f>
        <v>145397</v>
      </c>
      <c r="E121" s="238">
        <f>+E122+E124+E126</f>
        <v>135137</v>
      </c>
    </row>
    <row r="122" spans="1:5" ht="12" customHeight="1">
      <c r="A122" s="13" t="s">
        <v>69</v>
      </c>
      <c r="B122" s="6" t="s">
        <v>143</v>
      </c>
      <c r="C122" s="168"/>
      <c r="D122" s="253">
        <v>145397</v>
      </c>
      <c r="E122" s="104">
        <v>135137</v>
      </c>
    </row>
    <row r="123" spans="1:5" ht="12" customHeight="1">
      <c r="A123" s="13" t="s">
        <v>70</v>
      </c>
      <c r="B123" s="10" t="s">
        <v>271</v>
      </c>
      <c r="C123" s="168"/>
      <c r="D123" s="253"/>
      <c r="E123" s="104"/>
    </row>
    <row r="124" spans="1:5" ht="12" customHeight="1">
      <c r="A124" s="13" t="s">
        <v>71</v>
      </c>
      <c r="B124" s="10" t="s">
        <v>126</v>
      </c>
      <c r="C124" s="167"/>
      <c r="D124" s="254"/>
      <c r="E124" s="103"/>
    </row>
    <row r="125" spans="1:5" ht="12" customHeight="1">
      <c r="A125" s="13" t="s">
        <v>72</v>
      </c>
      <c r="B125" s="10" t="s">
        <v>272</v>
      </c>
      <c r="C125" s="167"/>
      <c r="D125" s="254"/>
      <c r="E125" s="103"/>
    </row>
    <row r="126" spans="1:5" ht="12" customHeight="1">
      <c r="A126" s="13" t="s">
        <v>73</v>
      </c>
      <c r="B126" s="111" t="s">
        <v>145</v>
      </c>
      <c r="C126" s="167"/>
      <c r="D126" s="254"/>
      <c r="E126" s="103"/>
    </row>
    <row r="127" spans="1:5" ht="12" customHeight="1">
      <c r="A127" s="13" t="s">
        <v>80</v>
      </c>
      <c r="B127" s="110" t="s">
        <v>331</v>
      </c>
      <c r="C127" s="167"/>
      <c r="D127" s="254"/>
      <c r="E127" s="103"/>
    </row>
    <row r="128" spans="1:5" ht="12" customHeight="1">
      <c r="A128" s="13" t="s">
        <v>82</v>
      </c>
      <c r="B128" s="175" t="s">
        <v>277</v>
      </c>
      <c r="C128" s="167"/>
      <c r="D128" s="254"/>
      <c r="E128" s="103"/>
    </row>
    <row r="129" spans="1:5" ht="15.75">
      <c r="A129" s="13" t="s">
        <v>127</v>
      </c>
      <c r="B129" s="63" t="s">
        <v>260</v>
      </c>
      <c r="C129" s="167"/>
      <c r="D129" s="254"/>
      <c r="E129" s="103"/>
    </row>
    <row r="130" spans="1:5" ht="12" customHeight="1">
      <c r="A130" s="13" t="s">
        <v>128</v>
      </c>
      <c r="B130" s="63" t="s">
        <v>276</v>
      </c>
      <c r="C130" s="167"/>
      <c r="D130" s="254"/>
      <c r="E130" s="103"/>
    </row>
    <row r="131" spans="1:5" ht="12" customHeight="1">
      <c r="A131" s="13" t="s">
        <v>129</v>
      </c>
      <c r="B131" s="63" t="s">
        <v>275</v>
      </c>
      <c r="C131" s="167"/>
      <c r="D131" s="254"/>
      <c r="E131" s="103"/>
    </row>
    <row r="132" spans="1:5" ht="12" customHeight="1">
      <c r="A132" s="13" t="s">
        <v>268</v>
      </c>
      <c r="B132" s="63" t="s">
        <v>263</v>
      </c>
      <c r="C132" s="167"/>
      <c r="D132" s="254"/>
      <c r="E132" s="103"/>
    </row>
    <row r="133" spans="1:5" ht="12" customHeight="1">
      <c r="A133" s="13" t="s">
        <v>269</v>
      </c>
      <c r="B133" s="63" t="s">
        <v>274</v>
      </c>
      <c r="C133" s="167"/>
      <c r="D133" s="254"/>
      <c r="E133" s="103"/>
    </row>
    <row r="134" spans="1:5" ht="16.5" thickBot="1">
      <c r="A134" s="11" t="s">
        <v>270</v>
      </c>
      <c r="B134" s="63" t="s">
        <v>273</v>
      </c>
      <c r="C134" s="169"/>
      <c r="D134" s="255"/>
      <c r="E134" s="105"/>
    </row>
    <row r="135" spans="1:5" ht="12" customHeight="1" thickBot="1">
      <c r="A135" s="18" t="s">
        <v>8</v>
      </c>
      <c r="B135" s="56" t="s">
        <v>349</v>
      </c>
      <c r="C135" s="166">
        <f>+C100+C121</f>
        <v>52820100</v>
      </c>
      <c r="D135" s="252">
        <f>+D100+D121</f>
        <v>55574483</v>
      </c>
      <c r="E135" s="102">
        <f>+E100+E121</f>
        <v>53553166</v>
      </c>
    </row>
    <row r="136" spans="1:5" ht="12" customHeight="1" thickBot="1">
      <c r="A136" s="18" t="s">
        <v>9</v>
      </c>
      <c r="B136" s="56" t="s">
        <v>421</v>
      </c>
      <c r="C136" s="166">
        <f>+C137+C138+C139</f>
        <v>0</v>
      </c>
      <c r="D136" s="252">
        <f>+D137+D138+D139</f>
        <v>0</v>
      </c>
      <c r="E136" s="102">
        <f>+E137+E138+E139</f>
        <v>0</v>
      </c>
    </row>
    <row r="137" spans="1:5" ht="12" customHeight="1">
      <c r="A137" s="13" t="s">
        <v>177</v>
      </c>
      <c r="B137" s="10" t="s">
        <v>357</v>
      </c>
      <c r="C137" s="167"/>
      <c r="D137" s="254"/>
      <c r="E137" s="103"/>
    </row>
    <row r="138" spans="1:5" ht="12" customHeight="1">
      <c r="A138" s="13" t="s">
        <v>178</v>
      </c>
      <c r="B138" s="10" t="s">
        <v>358</v>
      </c>
      <c r="C138" s="167"/>
      <c r="D138" s="254"/>
      <c r="E138" s="103"/>
    </row>
    <row r="139" spans="1:5" ht="12" customHeight="1" thickBot="1">
      <c r="A139" s="11" t="s">
        <v>179</v>
      </c>
      <c r="B139" s="10" t="s">
        <v>359</v>
      </c>
      <c r="C139" s="167"/>
      <c r="D139" s="254"/>
      <c r="E139" s="103"/>
    </row>
    <row r="140" spans="1:5" ht="12" customHeight="1" thickBot="1">
      <c r="A140" s="18" t="s">
        <v>10</v>
      </c>
      <c r="B140" s="56" t="s">
        <v>351</v>
      </c>
      <c r="C140" s="166">
        <f>SUM(C141:C146)</f>
        <v>0</v>
      </c>
      <c r="D140" s="252">
        <f>SUM(D141:D146)</f>
        <v>0</v>
      </c>
      <c r="E140" s="102">
        <f>SUM(E141:E146)</f>
        <v>0</v>
      </c>
    </row>
    <row r="141" spans="1:5" ht="12" customHeight="1">
      <c r="A141" s="13" t="s">
        <v>56</v>
      </c>
      <c r="B141" s="7" t="s">
        <v>360</v>
      </c>
      <c r="C141" s="167"/>
      <c r="D141" s="254"/>
      <c r="E141" s="103"/>
    </row>
    <row r="142" spans="1:5" ht="12" customHeight="1">
      <c r="A142" s="13" t="s">
        <v>57</v>
      </c>
      <c r="B142" s="7" t="s">
        <v>352</v>
      </c>
      <c r="C142" s="167"/>
      <c r="D142" s="254"/>
      <c r="E142" s="103"/>
    </row>
    <row r="143" spans="1:5" ht="12" customHeight="1">
      <c r="A143" s="13" t="s">
        <v>58</v>
      </c>
      <c r="B143" s="7" t="s">
        <v>353</v>
      </c>
      <c r="C143" s="167"/>
      <c r="D143" s="254"/>
      <c r="E143" s="103"/>
    </row>
    <row r="144" spans="1:5" ht="12" customHeight="1">
      <c r="A144" s="13" t="s">
        <v>114</v>
      </c>
      <c r="B144" s="7" t="s">
        <v>354</v>
      </c>
      <c r="C144" s="167"/>
      <c r="D144" s="254"/>
      <c r="E144" s="103"/>
    </row>
    <row r="145" spans="1:5" ht="12" customHeight="1">
      <c r="A145" s="13" t="s">
        <v>115</v>
      </c>
      <c r="B145" s="7" t="s">
        <v>355</v>
      </c>
      <c r="C145" s="167"/>
      <c r="D145" s="254"/>
      <c r="E145" s="103"/>
    </row>
    <row r="146" spans="1:5" ht="12" customHeight="1" thickBot="1">
      <c r="A146" s="16" t="s">
        <v>116</v>
      </c>
      <c r="B146" s="315" t="s">
        <v>356</v>
      </c>
      <c r="C146" s="243"/>
      <c r="D146" s="292"/>
      <c r="E146" s="237"/>
    </row>
    <row r="147" spans="1:5" ht="12" customHeight="1" thickBot="1">
      <c r="A147" s="18" t="s">
        <v>11</v>
      </c>
      <c r="B147" s="56" t="s">
        <v>364</v>
      </c>
      <c r="C147" s="172">
        <f>+C148+C149+C150+C151</f>
        <v>0</v>
      </c>
      <c r="D147" s="256">
        <f>+D148+D149+D150+D151</f>
        <v>0</v>
      </c>
      <c r="E147" s="208">
        <f>+E148+E149+E150+E151</f>
        <v>0</v>
      </c>
    </row>
    <row r="148" spans="1:5" ht="12" customHeight="1">
      <c r="A148" s="13" t="s">
        <v>59</v>
      </c>
      <c r="B148" s="7" t="s">
        <v>278</v>
      </c>
      <c r="C148" s="167"/>
      <c r="D148" s="254"/>
      <c r="E148" s="103"/>
    </row>
    <row r="149" spans="1:5" ht="12" customHeight="1">
      <c r="A149" s="13" t="s">
        <v>60</v>
      </c>
      <c r="B149" s="7" t="s">
        <v>279</v>
      </c>
      <c r="C149" s="167"/>
      <c r="D149" s="254"/>
      <c r="E149" s="103"/>
    </row>
    <row r="150" spans="1:5" ht="12" customHeight="1">
      <c r="A150" s="13" t="s">
        <v>195</v>
      </c>
      <c r="B150" s="7" t="s">
        <v>365</v>
      </c>
      <c r="C150" s="167"/>
      <c r="D150" s="254"/>
      <c r="E150" s="103"/>
    </row>
    <row r="151" spans="1:5" ht="12" customHeight="1" thickBot="1">
      <c r="A151" s="11" t="s">
        <v>196</v>
      </c>
      <c r="B151" s="5" t="s">
        <v>295</v>
      </c>
      <c r="C151" s="167"/>
      <c r="D151" s="254"/>
      <c r="E151" s="103"/>
    </row>
    <row r="152" spans="1:5" ht="12" customHeight="1" thickBot="1">
      <c r="A152" s="18" t="s">
        <v>12</v>
      </c>
      <c r="B152" s="56" t="s">
        <v>366</v>
      </c>
      <c r="C152" s="245">
        <f>SUM(C153:C157)</f>
        <v>0</v>
      </c>
      <c r="D152" s="257">
        <f>SUM(D153:D157)</f>
        <v>0</v>
      </c>
      <c r="E152" s="239">
        <f>SUM(E153:E157)</f>
        <v>0</v>
      </c>
    </row>
    <row r="153" spans="1:5" ht="12" customHeight="1">
      <c r="A153" s="13" t="s">
        <v>61</v>
      </c>
      <c r="B153" s="7" t="s">
        <v>361</v>
      </c>
      <c r="C153" s="167"/>
      <c r="D153" s="254"/>
      <c r="E153" s="103"/>
    </row>
    <row r="154" spans="1:5" ht="12" customHeight="1">
      <c r="A154" s="13" t="s">
        <v>62</v>
      </c>
      <c r="B154" s="7" t="s">
        <v>368</v>
      </c>
      <c r="C154" s="167"/>
      <c r="D154" s="254"/>
      <c r="E154" s="103"/>
    </row>
    <row r="155" spans="1:5" ht="12" customHeight="1">
      <c r="A155" s="13" t="s">
        <v>207</v>
      </c>
      <c r="B155" s="7" t="s">
        <v>363</v>
      </c>
      <c r="C155" s="167"/>
      <c r="D155" s="254"/>
      <c r="E155" s="103"/>
    </row>
    <row r="156" spans="1:5" ht="12" customHeight="1">
      <c r="A156" s="13" t="s">
        <v>208</v>
      </c>
      <c r="B156" s="7" t="s">
        <v>369</v>
      </c>
      <c r="C156" s="167"/>
      <c r="D156" s="254"/>
      <c r="E156" s="103"/>
    </row>
    <row r="157" spans="1:5" ht="12" customHeight="1" thickBot="1">
      <c r="A157" s="13" t="s">
        <v>367</v>
      </c>
      <c r="B157" s="7" t="s">
        <v>370</v>
      </c>
      <c r="C157" s="167"/>
      <c r="D157" s="254"/>
      <c r="E157" s="103"/>
    </row>
    <row r="158" spans="1:5" ht="12" customHeight="1" thickBot="1">
      <c r="A158" s="18" t="s">
        <v>13</v>
      </c>
      <c r="B158" s="56" t="s">
        <v>371</v>
      </c>
      <c r="C158" s="246"/>
      <c r="D158" s="258"/>
      <c r="E158" s="240"/>
    </row>
    <row r="159" spans="1:5" ht="12" customHeight="1" thickBot="1">
      <c r="A159" s="18" t="s">
        <v>14</v>
      </c>
      <c r="B159" s="56" t="s">
        <v>372</v>
      </c>
      <c r="C159" s="246"/>
      <c r="D159" s="258"/>
      <c r="E159" s="240"/>
    </row>
    <row r="160" spans="1:9" ht="15" customHeight="1" thickBot="1">
      <c r="A160" s="18" t="s">
        <v>15</v>
      </c>
      <c r="B160" s="56" t="s">
        <v>374</v>
      </c>
      <c r="C160" s="247">
        <f>+C136+C140+C147+C152+C158+C159</f>
        <v>0</v>
      </c>
      <c r="D160" s="259">
        <f>+D136+D140+D147+D152+D158+D159</f>
        <v>0</v>
      </c>
      <c r="E160" s="241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2" t="s">
        <v>16</v>
      </c>
      <c r="B161" s="153" t="s">
        <v>373</v>
      </c>
      <c r="C161" s="247">
        <f>+C135+C160</f>
        <v>52820100</v>
      </c>
      <c r="D161" s="259">
        <f>+D135+D160</f>
        <v>55574483</v>
      </c>
      <c r="E161" s="241">
        <f>+E135+E160</f>
        <v>53553166</v>
      </c>
    </row>
    <row r="162" spans="3:4" ht="15.75">
      <c r="C162" s="589">
        <f>C93-C161</f>
        <v>0</v>
      </c>
      <c r="D162" s="589">
        <f>D93-D161</f>
        <v>0</v>
      </c>
    </row>
    <row r="163" spans="1:5" ht="15.75">
      <c r="A163" s="782" t="s">
        <v>280</v>
      </c>
      <c r="B163" s="782"/>
      <c r="C163" s="782"/>
      <c r="D163" s="782"/>
      <c r="E163" s="782"/>
    </row>
    <row r="164" spans="1:5" ht="15" customHeight="1" thickBot="1">
      <c r="A164" s="792" t="s">
        <v>102</v>
      </c>
      <c r="B164" s="792"/>
      <c r="C164" s="114"/>
      <c r="E164" s="114" t="str">
        <f>E96</f>
        <v> Forintban!</v>
      </c>
    </row>
    <row r="165" spans="1:5" ht="25.5" customHeight="1" thickBot="1">
      <c r="A165" s="18">
        <v>1</v>
      </c>
      <c r="B165" s="23" t="s">
        <v>375</v>
      </c>
      <c r="C165" s="251">
        <f>+C68-C135</f>
        <v>0</v>
      </c>
      <c r="D165" s="166">
        <f>+D68-D135</f>
        <v>-1383381</v>
      </c>
      <c r="E165" s="102">
        <f>+E68-E135</f>
        <v>1244543</v>
      </c>
    </row>
    <row r="166" spans="1:5" ht="32.25" customHeight="1" thickBot="1">
      <c r="A166" s="18" t="s">
        <v>7</v>
      </c>
      <c r="B166" s="23" t="s">
        <v>381</v>
      </c>
      <c r="C166" s="166">
        <f>+C92-C160</f>
        <v>0</v>
      </c>
      <c r="D166" s="166">
        <f>+D92-D160</f>
        <v>1383381</v>
      </c>
      <c r="E166" s="102">
        <f>+E92-E160</f>
        <v>1383381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7">
      <selection activeCell="F35" sqref="F35"/>
    </sheetView>
  </sheetViews>
  <sheetFormatPr defaultColWidth="9.00390625" defaultRowHeight="12.75"/>
  <cols>
    <col min="1" max="1" width="6.875" style="33" customWidth="1"/>
    <col min="2" max="2" width="48.00390625" style="71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40"/>
      <c r="B1" s="346" t="s">
        <v>106</v>
      </c>
      <c r="C1" s="347"/>
      <c r="D1" s="347"/>
      <c r="E1" s="347"/>
      <c r="F1" s="347"/>
      <c r="G1" s="347"/>
      <c r="H1" s="347"/>
      <c r="I1" s="347"/>
      <c r="J1" s="800" t="str">
        <f>CONCATENATE("2.1. melléklet ",Z_ALAPADATOK!A7," ",Z_ALAPADATOK!B7," ",Z_ALAPADATOK!C7," ",Z_ALAPADATOK!D7," ",Z_ALAPADATOK!E7," ",Z_ALAPADATOK!F7," ",Z_ALAPADATOK!G7," ",Z_ALAPADATOK!H7)</f>
        <v>2.1. melléklet a 9 / 2020. ( VII.10. ) önkormányzati rendelethez</v>
      </c>
    </row>
    <row r="2" spans="1:10" ht="14.25" thickBot="1">
      <c r="A2" s="340"/>
      <c r="B2" s="339"/>
      <c r="C2" s="340"/>
      <c r="D2" s="340"/>
      <c r="E2" s="340"/>
      <c r="F2" s="340"/>
      <c r="G2" s="348"/>
      <c r="H2" s="348"/>
      <c r="I2" s="348" t="str">
        <f>CONCATENATE('Z_1.4.sz.mell.'!E7)</f>
        <v> Forintban!</v>
      </c>
      <c r="J2" s="800"/>
    </row>
    <row r="3" spans="1:10" ht="18" customHeight="1" thickBot="1">
      <c r="A3" s="797" t="s">
        <v>51</v>
      </c>
      <c r="B3" s="349" t="s">
        <v>39</v>
      </c>
      <c r="C3" s="350"/>
      <c r="D3" s="351"/>
      <c r="E3" s="351"/>
      <c r="F3" s="349" t="s">
        <v>40</v>
      </c>
      <c r="G3" s="352"/>
      <c r="H3" s="353"/>
      <c r="I3" s="354"/>
      <c r="J3" s="800"/>
    </row>
    <row r="4" spans="1:10" s="122" customFormat="1" ht="35.25" customHeight="1" thickBot="1">
      <c r="A4" s="798"/>
      <c r="B4" s="342" t="s">
        <v>44</v>
      </c>
      <c r="C4" s="312" t="str">
        <f>+CONCATENATE('Z_1.1.sz.mell.'!C8," eredeti előirányzat")</f>
        <v>2019. évi eredeti előirányzat</v>
      </c>
      <c r="D4" s="310" t="str">
        <f>+CONCATENATE('Z_1.1.sz.mell.'!C8," módosított előirányzat")</f>
        <v>2019. évi módosított előirányzat</v>
      </c>
      <c r="E4" s="310" t="str">
        <f>CONCATENATE('Z_1.4.sz.mell.'!E9)</f>
        <v>2019. XII. 31.
teljesítés</v>
      </c>
      <c r="F4" s="342" t="s">
        <v>44</v>
      </c>
      <c r="G4" s="312" t="str">
        <f>+C4</f>
        <v>2019. évi eredeti előirányzat</v>
      </c>
      <c r="H4" s="312" t="str">
        <f>+D4</f>
        <v>2019. évi módosított előirányzat</v>
      </c>
      <c r="I4" s="311" t="str">
        <f>+E4</f>
        <v>2019. XII. 31.
teljesítés</v>
      </c>
      <c r="J4" s="800"/>
    </row>
    <row r="5" spans="1:10" s="123" customFormat="1" ht="12" customHeight="1" thickBot="1">
      <c r="A5" s="355" t="s">
        <v>385</v>
      </c>
      <c r="B5" s="356" t="s">
        <v>386</v>
      </c>
      <c r="C5" s="357" t="s">
        <v>387</v>
      </c>
      <c r="D5" s="360" t="s">
        <v>389</v>
      </c>
      <c r="E5" s="360" t="s">
        <v>388</v>
      </c>
      <c r="F5" s="356" t="s">
        <v>422</v>
      </c>
      <c r="G5" s="357" t="s">
        <v>391</v>
      </c>
      <c r="H5" s="357" t="s">
        <v>392</v>
      </c>
      <c r="I5" s="361" t="s">
        <v>423</v>
      </c>
      <c r="J5" s="800"/>
    </row>
    <row r="6" spans="1:10" ht="12.75" customHeight="1">
      <c r="A6" s="124" t="s">
        <v>6</v>
      </c>
      <c r="B6" s="125" t="s">
        <v>281</v>
      </c>
      <c r="C6" s="115">
        <v>271817051</v>
      </c>
      <c r="D6" s="115">
        <v>264266581</v>
      </c>
      <c r="E6" s="115">
        <v>264266581</v>
      </c>
      <c r="F6" s="125" t="s">
        <v>45</v>
      </c>
      <c r="G6" s="115">
        <v>226134593</v>
      </c>
      <c r="H6" s="115">
        <v>242765014</v>
      </c>
      <c r="I6" s="265">
        <v>240676124</v>
      </c>
      <c r="J6" s="800"/>
    </row>
    <row r="7" spans="1:10" ht="12.75" customHeight="1">
      <c r="A7" s="126" t="s">
        <v>7</v>
      </c>
      <c r="B7" s="127" t="s">
        <v>282</v>
      </c>
      <c r="C7" s="116">
        <v>76824325</v>
      </c>
      <c r="D7" s="116">
        <v>184566100</v>
      </c>
      <c r="E7" s="116">
        <v>198757284</v>
      </c>
      <c r="F7" s="127" t="s">
        <v>122</v>
      </c>
      <c r="G7" s="116">
        <v>40914339</v>
      </c>
      <c r="H7" s="116">
        <v>43083403</v>
      </c>
      <c r="I7" s="266">
        <v>42111384</v>
      </c>
      <c r="J7" s="800"/>
    </row>
    <row r="8" spans="1:10" ht="12.75" customHeight="1">
      <c r="A8" s="126" t="s">
        <v>8</v>
      </c>
      <c r="B8" s="127" t="s">
        <v>300</v>
      </c>
      <c r="C8" s="116">
        <v>2742525</v>
      </c>
      <c r="D8" s="116">
        <v>99454067</v>
      </c>
      <c r="E8" s="116">
        <v>99454967</v>
      </c>
      <c r="F8" s="127" t="s">
        <v>148</v>
      </c>
      <c r="G8" s="116">
        <v>189430477</v>
      </c>
      <c r="H8" s="116">
        <v>291118819</v>
      </c>
      <c r="I8" s="266">
        <v>234235266</v>
      </c>
      <c r="J8" s="800"/>
    </row>
    <row r="9" spans="1:10" ht="12.75" customHeight="1">
      <c r="A9" s="126" t="s">
        <v>9</v>
      </c>
      <c r="B9" s="127" t="s">
        <v>113</v>
      </c>
      <c r="C9" s="116">
        <v>75500000</v>
      </c>
      <c r="D9" s="116">
        <v>75500000</v>
      </c>
      <c r="E9" s="116">
        <v>104503497</v>
      </c>
      <c r="F9" s="127" t="s">
        <v>123</v>
      </c>
      <c r="G9" s="116">
        <v>11784000</v>
      </c>
      <c r="H9" s="116">
        <v>16937241</v>
      </c>
      <c r="I9" s="266">
        <v>14472091</v>
      </c>
      <c r="J9" s="800"/>
    </row>
    <row r="10" spans="1:10" ht="12.75" customHeight="1">
      <c r="A10" s="126" t="s">
        <v>10</v>
      </c>
      <c r="B10" s="128" t="s">
        <v>324</v>
      </c>
      <c r="C10" s="116">
        <v>33000000</v>
      </c>
      <c r="D10" s="116">
        <v>49434975</v>
      </c>
      <c r="E10" s="116">
        <v>62412277</v>
      </c>
      <c r="F10" s="127" t="s">
        <v>124</v>
      </c>
      <c r="G10" s="116">
        <v>115193414</v>
      </c>
      <c r="H10" s="116">
        <v>106530145</v>
      </c>
      <c r="I10" s="266">
        <v>103235141</v>
      </c>
      <c r="J10" s="800"/>
    </row>
    <row r="11" spans="1:10" ht="12.75" customHeight="1">
      <c r="A11" s="126" t="s">
        <v>11</v>
      </c>
      <c r="B11" s="127" t="s">
        <v>283</v>
      </c>
      <c r="C11" s="117"/>
      <c r="D11" s="117">
        <v>1464615</v>
      </c>
      <c r="E11" s="117">
        <v>3082418</v>
      </c>
      <c r="F11" s="127" t="s">
        <v>36</v>
      </c>
      <c r="G11" s="116"/>
      <c r="H11" s="116"/>
      <c r="I11" s="266"/>
      <c r="J11" s="800"/>
    </row>
    <row r="12" spans="1:10" ht="12.75" customHeight="1">
      <c r="A12" s="126" t="s">
        <v>12</v>
      </c>
      <c r="B12" s="127" t="s">
        <v>382</v>
      </c>
      <c r="C12" s="116"/>
      <c r="D12" s="116"/>
      <c r="E12" s="116"/>
      <c r="F12" s="30"/>
      <c r="G12" s="116"/>
      <c r="H12" s="116"/>
      <c r="I12" s="266"/>
      <c r="J12" s="800"/>
    </row>
    <row r="13" spans="1:10" ht="12.75" customHeight="1">
      <c r="A13" s="126" t="s">
        <v>13</v>
      </c>
      <c r="B13" s="30"/>
      <c r="C13" s="116"/>
      <c r="D13" s="116"/>
      <c r="E13" s="116"/>
      <c r="F13" s="30"/>
      <c r="G13" s="116"/>
      <c r="H13" s="116"/>
      <c r="I13" s="266"/>
      <c r="J13" s="800"/>
    </row>
    <row r="14" spans="1:10" ht="12.75" customHeight="1">
      <c r="A14" s="126" t="s">
        <v>14</v>
      </c>
      <c r="B14" s="191"/>
      <c r="C14" s="117"/>
      <c r="D14" s="117"/>
      <c r="E14" s="117"/>
      <c r="F14" s="30"/>
      <c r="G14" s="116"/>
      <c r="H14" s="116"/>
      <c r="I14" s="266"/>
      <c r="J14" s="800"/>
    </row>
    <row r="15" spans="1:10" ht="12.75" customHeight="1">
      <c r="A15" s="126" t="s">
        <v>15</v>
      </c>
      <c r="B15" s="30"/>
      <c r="C15" s="116"/>
      <c r="D15" s="116"/>
      <c r="E15" s="116"/>
      <c r="F15" s="30"/>
      <c r="G15" s="116"/>
      <c r="H15" s="116"/>
      <c r="I15" s="266"/>
      <c r="J15" s="800"/>
    </row>
    <row r="16" spans="1:10" ht="12.75" customHeight="1">
      <c r="A16" s="126" t="s">
        <v>16</v>
      </c>
      <c r="B16" s="30"/>
      <c r="C16" s="116"/>
      <c r="D16" s="116"/>
      <c r="E16" s="116"/>
      <c r="F16" s="30"/>
      <c r="G16" s="116"/>
      <c r="H16" s="116"/>
      <c r="I16" s="266"/>
      <c r="J16" s="800"/>
    </row>
    <row r="17" spans="1:10" ht="12.75" customHeight="1" thickBot="1">
      <c r="A17" s="126" t="s">
        <v>17</v>
      </c>
      <c r="B17" s="34"/>
      <c r="C17" s="118"/>
      <c r="D17" s="118"/>
      <c r="E17" s="118"/>
      <c r="F17" s="30"/>
      <c r="G17" s="118"/>
      <c r="H17" s="118"/>
      <c r="I17" s="267"/>
      <c r="J17" s="800"/>
    </row>
    <row r="18" spans="1:10" ht="21.75" thickBot="1">
      <c r="A18" s="129" t="s">
        <v>18</v>
      </c>
      <c r="B18" s="57" t="s">
        <v>383</v>
      </c>
      <c r="C18" s="119">
        <f>C6+C7+C9+C10+C11+C13+C14+C15+C16+C17</f>
        <v>457141376</v>
      </c>
      <c r="D18" s="119">
        <f>D6+D7+D9+D10+D11+D13+D14+D15+D16+D17</f>
        <v>575232271</v>
      </c>
      <c r="E18" s="119">
        <f>E6+E7+E9+E10+E11+E13+E14+E15+E16+E17</f>
        <v>633022057</v>
      </c>
      <c r="F18" s="57" t="s">
        <v>286</v>
      </c>
      <c r="G18" s="119">
        <f>SUM(G6:G17)</f>
        <v>583456823</v>
      </c>
      <c r="H18" s="119">
        <f>SUM(H6:H17)</f>
        <v>700434622</v>
      </c>
      <c r="I18" s="147">
        <f>SUM(I6:I17)</f>
        <v>634730006</v>
      </c>
      <c r="J18" s="800"/>
    </row>
    <row r="19" spans="1:10" ht="12.75" customHeight="1">
      <c r="A19" s="130" t="s">
        <v>19</v>
      </c>
      <c r="B19" s="131" t="s">
        <v>815</v>
      </c>
      <c r="C19" s="233">
        <f>+C20+C21+C22+C23</f>
        <v>134898478</v>
      </c>
      <c r="D19" s="233">
        <f>+D20+D21+D22+D23</f>
        <v>133785382</v>
      </c>
      <c r="E19" s="233">
        <f>+E20+E21+E22+E23</f>
        <v>6227734</v>
      </c>
      <c r="F19" s="132" t="s">
        <v>130</v>
      </c>
      <c r="G19" s="120"/>
      <c r="H19" s="120"/>
      <c r="I19" s="268"/>
      <c r="J19" s="800"/>
    </row>
    <row r="20" spans="1:10" ht="12.75" customHeight="1">
      <c r="A20" s="133" t="s">
        <v>20</v>
      </c>
      <c r="B20" s="132" t="s">
        <v>141</v>
      </c>
      <c r="C20" s="47">
        <v>134898478</v>
      </c>
      <c r="D20" s="47">
        <v>133785382</v>
      </c>
      <c r="E20" s="47">
        <v>6227734</v>
      </c>
      <c r="F20" s="132" t="s">
        <v>285</v>
      </c>
      <c r="G20" s="47"/>
      <c r="H20" s="47">
        <v>21508775</v>
      </c>
      <c r="I20" s="269">
        <v>21508775</v>
      </c>
      <c r="J20" s="800"/>
    </row>
    <row r="21" spans="1:10" ht="12.75" customHeight="1">
      <c r="A21" s="133" t="s">
        <v>21</v>
      </c>
      <c r="B21" s="132" t="s">
        <v>142</v>
      </c>
      <c r="C21" s="47"/>
      <c r="D21" s="47"/>
      <c r="E21" s="47"/>
      <c r="F21" s="132" t="s">
        <v>104</v>
      </c>
      <c r="G21" s="47"/>
      <c r="H21" s="47"/>
      <c r="I21" s="269"/>
      <c r="J21" s="800"/>
    </row>
    <row r="22" spans="1:10" ht="12.75" customHeight="1">
      <c r="A22" s="133" t="s">
        <v>22</v>
      </c>
      <c r="B22" s="132" t="s">
        <v>146</v>
      </c>
      <c r="C22" s="47"/>
      <c r="D22" s="47"/>
      <c r="E22" s="47"/>
      <c r="F22" s="132" t="s">
        <v>105</v>
      </c>
      <c r="G22" s="47"/>
      <c r="H22" s="47"/>
      <c r="I22" s="269"/>
      <c r="J22" s="800"/>
    </row>
    <row r="23" spans="1:10" ht="12.75" customHeight="1">
      <c r="A23" s="133" t="s">
        <v>23</v>
      </c>
      <c r="B23" s="132" t="s">
        <v>147</v>
      </c>
      <c r="C23" s="47"/>
      <c r="D23" s="47"/>
      <c r="E23" s="47"/>
      <c r="F23" s="131" t="s">
        <v>149</v>
      </c>
      <c r="G23" s="47"/>
      <c r="H23" s="47"/>
      <c r="I23" s="269"/>
      <c r="J23" s="800"/>
    </row>
    <row r="24" spans="1:10" ht="12.75" customHeight="1">
      <c r="A24" s="126" t="s">
        <v>24</v>
      </c>
      <c r="B24" s="132" t="s">
        <v>284</v>
      </c>
      <c r="C24" s="47"/>
      <c r="D24" s="47"/>
      <c r="E24" s="47"/>
      <c r="F24" s="132" t="s">
        <v>131</v>
      </c>
      <c r="G24" s="47"/>
      <c r="H24" s="47"/>
      <c r="I24" s="269"/>
      <c r="J24" s="800"/>
    </row>
    <row r="25" spans="1:10" ht="12.75" customHeight="1">
      <c r="A25" s="126" t="s">
        <v>25</v>
      </c>
      <c r="B25" s="132" t="s">
        <v>814</v>
      </c>
      <c r="C25" s="134">
        <f>C26+C27+C28</f>
        <v>0</v>
      </c>
      <c r="D25" s="134">
        <f>D26+D27+D28</f>
        <v>21508775</v>
      </c>
      <c r="E25" s="134">
        <f>E26+E27+E28</f>
        <v>30992411</v>
      </c>
      <c r="F25" s="125" t="s">
        <v>365</v>
      </c>
      <c r="G25" s="47"/>
      <c r="H25" s="47"/>
      <c r="I25" s="269"/>
      <c r="J25" s="800"/>
    </row>
    <row r="26" spans="1:10" ht="12.75" customHeight="1">
      <c r="A26" s="162" t="s">
        <v>26</v>
      </c>
      <c r="B26" s="131" t="s">
        <v>157</v>
      </c>
      <c r="C26" s="120"/>
      <c r="D26" s="120">
        <v>21508775</v>
      </c>
      <c r="E26" s="120">
        <v>21508775</v>
      </c>
      <c r="F26" s="127" t="s">
        <v>371</v>
      </c>
      <c r="G26" s="120"/>
      <c r="H26" s="120"/>
      <c r="I26" s="268"/>
      <c r="J26" s="800"/>
    </row>
    <row r="27" spans="1:10" ht="12.75" customHeight="1">
      <c r="A27" s="126" t="s">
        <v>27</v>
      </c>
      <c r="B27" s="132" t="s">
        <v>376</v>
      </c>
      <c r="C27" s="47"/>
      <c r="D27" s="47"/>
      <c r="E27" s="47"/>
      <c r="F27" s="127" t="s">
        <v>372</v>
      </c>
      <c r="G27" s="47"/>
      <c r="H27" s="47"/>
      <c r="I27" s="269"/>
      <c r="J27" s="800"/>
    </row>
    <row r="28" spans="1:10" ht="12.75" customHeight="1" thickBot="1">
      <c r="A28" s="162" t="s">
        <v>28</v>
      </c>
      <c r="B28" s="193" t="s">
        <v>230</v>
      </c>
      <c r="C28" s="120"/>
      <c r="D28" s="120"/>
      <c r="E28" s="120">
        <v>9483636</v>
      </c>
      <c r="F28" s="193" t="s">
        <v>974</v>
      </c>
      <c r="G28" s="120">
        <v>8583031</v>
      </c>
      <c r="H28" s="120">
        <v>8583031</v>
      </c>
      <c r="I28" s="268">
        <v>8583031</v>
      </c>
      <c r="J28" s="800"/>
    </row>
    <row r="29" spans="1:10" ht="24" customHeight="1" thickBot="1">
      <c r="A29" s="129" t="s">
        <v>29</v>
      </c>
      <c r="B29" s="57" t="s">
        <v>817</v>
      </c>
      <c r="C29" s="119">
        <f>+C19+C25</f>
        <v>134898478</v>
      </c>
      <c r="D29" s="119">
        <f>+D19+D25</f>
        <v>155294157</v>
      </c>
      <c r="E29" s="263">
        <f>+E19+E25</f>
        <v>37220145</v>
      </c>
      <c r="F29" s="57" t="s">
        <v>816</v>
      </c>
      <c r="G29" s="119">
        <f>SUM(G19:G28)</f>
        <v>8583031</v>
      </c>
      <c r="H29" s="119">
        <f>SUM(H19:H28)</f>
        <v>30091806</v>
      </c>
      <c r="I29" s="147">
        <f>SUM(I19:I28)</f>
        <v>30091806</v>
      </c>
      <c r="J29" s="800"/>
    </row>
    <row r="30" spans="1:10" ht="13.5" thickBot="1">
      <c r="A30" s="129" t="s">
        <v>30</v>
      </c>
      <c r="B30" s="135" t="s">
        <v>384</v>
      </c>
      <c r="C30" s="305">
        <f>+C18+C29</f>
        <v>592039854</v>
      </c>
      <c r="D30" s="305">
        <f>+D18+D29</f>
        <v>730526428</v>
      </c>
      <c r="E30" s="306">
        <f>+E18+E29</f>
        <v>670242202</v>
      </c>
      <c r="F30" s="135" t="s">
        <v>998</v>
      </c>
      <c r="G30" s="305">
        <f>+G18+G29</f>
        <v>592039854</v>
      </c>
      <c r="H30" s="305">
        <f>+H18+H29</f>
        <v>730526428</v>
      </c>
      <c r="I30" s="306">
        <f>+I18+I29</f>
        <v>664821812</v>
      </c>
      <c r="J30" s="800"/>
    </row>
    <row r="31" spans="1:10" ht="13.5" thickBot="1">
      <c r="A31" s="129" t="s">
        <v>31</v>
      </c>
      <c r="B31" s="135" t="s">
        <v>108</v>
      </c>
      <c r="C31" s="305">
        <f>IF(C18-G18&lt;0,G18-C18,"-")</f>
        <v>126315447</v>
      </c>
      <c r="D31" s="305">
        <f>IF(D18-H18&lt;0,H18-D18,"-")</f>
        <v>125202351</v>
      </c>
      <c r="E31" s="306">
        <f>IF(E18-I18&lt;0,I18-E18,"-")</f>
        <v>1707949</v>
      </c>
      <c r="F31" s="135" t="s">
        <v>109</v>
      </c>
      <c r="G31" s="305" t="str">
        <f>IF(C18-G18&gt;0,C18-G18,"-")</f>
        <v>-</v>
      </c>
      <c r="H31" s="305" t="str">
        <f>IF(D18-H18&gt;0,D18-H18,"-")</f>
        <v>-</v>
      </c>
      <c r="I31" s="306" t="str">
        <f>IF(E18-I18&gt;0,E18-I18,"-")</f>
        <v>-</v>
      </c>
      <c r="J31" s="800"/>
    </row>
    <row r="32" spans="1:10" ht="13.5" thickBot="1">
      <c r="A32" s="129" t="s">
        <v>32</v>
      </c>
      <c r="B32" s="135" t="s">
        <v>488</v>
      </c>
      <c r="C32" s="305" t="str">
        <f>IF(C30-G30&lt;0,G30-C30,"-")</f>
        <v>-</v>
      </c>
      <c r="D32" s="305" t="str">
        <f>IF(D30-H30&lt;0,H30-D30,"-")</f>
        <v>-</v>
      </c>
      <c r="E32" s="305" t="str">
        <f>IF(E30-I30&lt;0,I30-E30,"-")</f>
        <v>-</v>
      </c>
      <c r="F32" s="135" t="s">
        <v>489</v>
      </c>
      <c r="G32" s="305" t="str">
        <f>IF(C30-G30&gt;0,C30-G30,"-")</f>
        <v>-</v>
      </c>
      <c r="H32" s="305" t="str">
        <f>IF(D30-H30&gt;0,D30-H30,"-")</f>
        <v>-</v>
      </c>
      <c r="I32" s="305">
        <f>IF(E30-I30&gt;0,E30-I30,"-")</f>
        <v>5420390</v>
      </c>
      <c r="J32" s="800"/>
    </row>
    <row r="33" spans="2:10" ht="18.75">
      <c r="B33" s="799"/>
      <c r="C33" s="799"/>
      <c r="D33" s="799"/>
      <c r="E33" s="799"/>
      <c r="F33" s="799"/>
      <c r="J33" s="800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3">
      <selection activeCell="F40" sqref="F40"/>
    </sheetView>
  </sheetViews>
  <sheetFormatPr defaultColWidth="9.00390625" defaultRowHeight="12.75"/>
  <cols>
    <col min="1" max="1" width="6.875" style="33" customWidth="1"/>
    <col min="2" max="2" width="49.875" style="71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40"/>
      <c r="B1" s="346" t="s">
        <v>107</v>
      </c>
      <c r="C1" s="347"/>
      <c r="D1" s="347"/>
      <c r="E1" s="347"/>
      <c r="F1" s="347"/>
      <c r="G1" s="347"/>
      <c r="H1" s="347"/>
      <c r="I1" s="347"/>
      <c r="J1" s="800" t="str">
        <f>CONCATENATE("2.2. melléklet ",Z_ALAPADATOK!A7," ",Z_ALAPADATOK!B7," ",Z_ALAPADATOK!C7," ",Z_ALAPADATOK!D7," ",Z_ALAPADATOK!E7," ",Z_ALAPADATOK!F7," ",Z_ALAPADATOK!G7," ",Z_ALAPADATOK!H7)</f>
        <v>2.2. melléklet a 9 / 2020. ( VII.10. ) önkormányzati rendelethez</v>
      </c>
    </row>
    <row r="2" spans="1:10" ht="14.25" thickBot="1">
      <c r="A2" s="340"/>
      <c r="B2" s="339"/>
      <c r="C2" s="340"/>
      <c r="D2" s="340"/>
      <c r="E2" s="340"/>
      <c r="F2" s="340"/>
      <c r="G2" s="348"/>
      <c r="H2" s="348"/>
      <c r="I2" s="348" t="str">
        <f>'Z_2.1.sz.mell'!I2</f>
        <v> Forintban!</v>
      </c>
      <c r="J2" s="800"/>
    </row>
    <row r="3" spans="1:10" ht="13.5" customHeight="1" thickBot="1">
      <c r="A3" s="797" t="s">
        <v>51</v>
      </c>
      <c r="B3" s="349" t="s">
        <v>39</v>
      </c>
      <c r="C3" s="350"/>
      <c r="D3" s="351"/>
      <c r="E3" s="351"/>
      <c r="F3" s="349" t="s">
        <v>40</v>
      </c>
      <c r="G3" s="352"/>
      <c r="H3" s="353"/>
      <c r="I3" s="354"/>
      <c r="J3" s="800"/>
    </row>
    <row r="4" spans="1:10" s="122" customFormat="1" ht="36.75" thickBot="1">
      <c r="A4" s="798"/>
      <c r="B4" s="342" t="s">
        <v>44</v>
      </c>
      <c r="C4" s="312" t="str">
        <f>+CONCATENATE('Z_1.1.sz.mell.'!C8," eredeti előirányzat")</f>
        <v>2019. évi eredeti előirányzat</v>
      </c>
      <c r="D4" s="310" t="str">
        <f>+CONCATENATE('Z_1.1.sz.mell.'!C8," módosított előirányzat")</f>
        <v>2019. évi módosított előirányzat</v>
      </c>
      <c r="E4" s="310" t="str">
        <f>CONCATENATE('Z_2.1.sz.mell'!E4)</f>
        <v>2019. XII. 31.
teljesítés</v>
      </c>
      <c r="F4" s="342" t="s">
        <v>44</v>
      </c>
      <c r="G4" s="312" t="str">
        <f>+C4</f>
        <v>2019. évi eredeti előirányzat</v>
      </c>
      <c r="H4" s="312" t="str">
        <f>+D4</f>
        <v>2019. évi módosított előirányzat</v>
      </c>
      <c r="I4" s="311" t="str">
        <f>+E4</f>
        <v>2019. XII. 31.
teljesítés</v>
      </c>
      <c r="J4" s="800"/>
    </row>
    <row r="5" spans="1:10" s="122" customFormat="1" ht="13.5" thickBot="1">
      <c r="A5" s="355" t="s">
        <v>385</v>
      </c>
      <c r="B5" s="356" t="s">
        <v>386</v>
      </c>
      <c r="C5" s="357" t="s">
        <v>387</v>
      </c>
      <c r="D5" s="357" t="s">
        <v>389</v>
      </c>
      <c r="E5" s="357" t="s">
        <v>388</v>
      </c>
      <c r="F5" s="356" t="s">
        <v>390</v>
      </c>
      <c r="G5" s="357" t="s">
        <v>391</v>
      </c>
      <c r="H5" s="358" t="s">
        <v>392</v>
      </c>
      <c r="I5" s="359" t="s">
        <v>423</v>
      </c>
      <c r="J5" s="800"/>
    </row>
    <row r="6" spans="1:10" ht="12.75" customHeight="1">
      <c r="A6" s="124" t="s">
        <v>6</v>
      </c>
      <c r="B6" s="125" t="s">
        <v>287</v>
      </c>
      <c r="C6" s="115"/>
      <c r="D6" s="115">
        <v>297668709</v>
      </c>
      <c r="E6" s="115">
        <v>297668709</v>
      </c>
      <c r="F6" s="125" t="s">
        <v>143</v>
      </c>
      <c r="G6" s="115">
        <v>1021875591</v>
      </c>
      <c r="H6" s="274">
        <v>849064923</v>
      </c>
      <c r="I6" s="145">
        <v>131096425</v>
      </c>
      <c r="J6" s="800"/>
    </row>
    <row r="7" spans="1:10" ht="12.75">
      <c r="A7" s="126" t="s">
        <v>7</v>
      </c>
      <c r="B7" s="127" t="s">
        <v>288</v>
      </c>
      <c r="C7" s="116"/>
      <c r="D7" s="116"/>
      <c r="E7" s="116"/>
      <c r="F7" s="127" t="s">
        <v>293</v>
      </c>
      <c r="G7" s="116">
        <v>983055591</v>
      </c>
      <c r="H7" s="116">
        <v>789731783</v>
      </c>
      <c r="I7" s="266">
        <v>77826441</v>
      </c>
      <c r="J7" s="800"/>
    </row>
    <row r="8" spans="1:10" ht="12.75" customHeight="1">
      <c r="A8" s="126" t="s">
        <v>8</v>
      </c>
      <c r="B8" s="127" t="s">
        <v>1</v>
      </c>
      <c r="C8" s="116"/>
      <c r="D8" s="116">
        <v>4900000</v>
      </c>
      <c r="E8" s="116">
        <v>13889915</v>
      </c>
      <c r="F8" s="127" t="s">
        <v>126</v>
      </c>
      <c r="G8" s="116">
        <v>140900800</v>
      </c>
      <c r="H8" s="116">
        <v>121525579</v>
      </c>
      <c r="I8" s="266">
        <v>94559285</v>
      </c>
      <c r="J8" s="800"/>
    </row>
    <row r="9" spans="1:10" ht="12.75" customHeight="1">
      <c r="A9" s="126" t="s">
        <v>9</v>
      </c>
      <c r="B9" s="127" t="s">
        <v>289</v>
      </c>
      <c r="C9" s="116">
        <v>21351678</v>
      </c>
      <c r="D9" s="116">
        <v>30212440</v>
      </c>
      <c r="E9" s="116">
        <v>34270135</v>
      </c>
      <c r="F9" s="127" t="s">
        <v>294</v>
      </c>
      <c r="G9" s="116">
        <v>123591800</v>
      </c>
      <c r="H9" s="116">
        <v>97316378</v>
      </c>
      <c r="I9" s="266">
        <v>75079679</v>
      </c>
      <c r="J9" s="800"/>
    </row>
    <row r="10" spans="1:10" ht="12.75" customHeight="1">
      <c r="A10" s="126" t="s">
        <v>10</v>
      </c>
      <c r="B10" s="127" t="s">
        <v>290</v>
      </c>
      <c r="C10" s="116"/>
      <c r="D10" s="116"/>
      <c r="E10" s="116"/>
      <c r="F10" s="127" t="s">
        <v>145</v>
      </c>
      <c r="G10" s="116">
        <v>6000000</v>
      </c>
      <c r="H10" s="116">
        <v>34675190</v>
      </c>
      <c r="I10" s="266">
        <v>34648350</v>
      </c>
      <c r="J10" s="800"/>
    </row>
    <row r="11" spans="1:10" ht="12.75" customHeight="1">
      <c r="A11" s="126" t="s">
        <v>11</v>
      </c>
      <c r="B11" s="127" t="s">
        <v>291</v>
      </c>
      <c r="C11" s="117"/>
      <c r="D11" s="117"/>
      <c r="E11" s="117"/>
      <c r="F11" s="194"/>
      <c r="G11" s="116"/>
      <c r="H11" s="116"/>
      <c r="I11" s="266"/>
      <c r="J11" s="800"/>
    </row>
    <row r="12" spans="1:10" ht="12.75" customHeight="1">
      <c r="A12" s="126" t="s">
        <v>12</v>
      </c>
      <c r="B12" s="30"/>
      <c r="C12" s="116"/>
      <c r="D12" s="116"/>
      <c r="E12" s="116"/>
      <c r="F12" s="194"/>
      <c r="G12" s="116"/>
      <c r="H12" s="116"/>
      <c r="I12" s="266"/>
      <c r="J12" s="800"/>
    </row>
    <row r="13" spans="1:10" ht="12.75" customHeight="1">
      <c r="A13" s="126" t="s">
        <v>13</v>
      </c>
      <c r="B13" s="30"/>
      <c r="C13" s="116"/>
      <c r="D13" s="116"/>
      <c r="E13" s="116"/>
      <c r="F13" s="195"/>
      <c r="G13" s="116"/>
      <c r="H13" s="116"/>
      <c r="I13" s="266"/>
      <c r="J13" s="800"/>
    </row>
    <row r="14" spans="1:10" ht="12.75" customHeight="1">
      <c r="A14" s="126" t="s">
        <v>14</v>
      </c>
      <c r="B14" s="192"/>
      <c r="C14" s="117"/>
      <c r="D14" s="117"/>
      <c r="E14" s="117"/>
      <c r="F14" s="194"/>
      <c r="G14" s="116"/>
      <c r="H14" s="116"/>
      <c r="I14" s="266"/>
      <c r="J14" s="800"/>
    </row>
    <row r="15" spans="1:10" ht="12.75">
      <c r="A15" s="126" t="s">
        <v>15</v>
      </c>
      <c r="B15" s="30"/>
      <c r="C15" s="117"/>
      <c r="D15" s="117"/>
      <c r="E15" s="117"/>
      <c r="F15" s="194"/>
      <c r="G15" s="116"/>
      <c r="H15" s="116"/>
      <c r="I15" s="266"/>
      <c r="J15" s="800"/>
    </row>
    <row r="16" spans="1:10" ht="12.75" customHeight="1" thickBot="1">
      <c r="A16" s="162" t="s">
        <v>16</v>
      </c>
      <c r="B16" s="193"/>
      <c r="C16" s="164"/>
      <c r="D16" s="164"/>
      <c r="E16" s="164"/>
      <c r="F16" s="163" t="s">
        <v>36</v>
      </c>
      <c r="G16" s="272"/>
      <c r="H16" s="272">
        <v>65181919</v>
      </c>
      <c r="I16" s="270"/>
      <c r="J16" s="800"/>
    </row>
    <row r="17" spans="1:10" ht="15.75" customHeight="1" thickBot="1">
      <c r="A17" s="129" t="s">
        <v>17</v>
      </c>
      <c r="B17" s="57" t="s">
        <v>301</v>
      </c>
      <c r="C17" s="119">
        <f>+C6+C8+C9+C11+C12+C13+C14+C15+C16</f>
        <v>21351678</v>
      </c>
      <c r="D17" s="119">
        <f>+D6+D8+D9+D11+D12+D13+D14+D15+D16</f>
        <v>332781149</v>
      </c>
      <c r="E17" s="119">
        <f>+E6+E8+E9+E11+E12+E13+E14+E15+E16</f>
        <v>345828759</v>
      </c>
      <c r="F17" s="57" t="s">
        <v>302</v>
      </c>
      <c r="G17" s="119">
        <f>+G6+G8+G10+G11+G12+G13+G14+G15+G16</f>
        <v>1168776391</v>
      </c>
      <c r="H17" s="119">
        <f>+H6+H8+H10+H11+H12+H13+H14+H15+H16</f>
        <v>1070447611</v>
      </c>
      <c r="I17" s="147">
        <f>+I6+I8+I10+I11+I12+I13+I14+I15+I16</f>
        <v>260304060</v>
      </c>
      <c r="J17" s="800"/>
    </row>
    <row r="18" spans="1:10" ht="12.75" customHeight="1">
      <c r="A18" s="124" t="s">
        <v>18</v>
      </c>
      <c r="B18" s="137" t="s">
        <v>161</v>
      </c>
      <c r="C18" s="144">
        <f>+C19+C20+C21+C22+C23</f>
        <v>937657309</v>
      </c>
      <c r="D18" s="144">
        <f>+D19+D20+D21+D22+D23</f>
        <v>1001922914</v>
      </c>
      <c r="E18" s="144">
        <f>+E19+E20+E21+E22+E23</f>
        <v>1129480562</v>
      </c>
      <c r="F18" s="132" t="s">
        <v>130</v>
      </c>
      <c r="G18" s="273"/>
      <c r="H18" s="273">
        <v>280699998</v>
      </c>
      <c r="I18" s="271">
        <v>280699998</v>
      </c>
      <c r="J18" s="800"/>
    </row>
    <row r="19" spans="1:10" ht="12.75" customHeight="1">
      <c r="A19" s="126" t="s">
        <v>19</v>
      </c>
      <c r="B19" s="138" t="s">
        <v>150</v>
      </c>
      <c r="C19" s="47">
        <v>937657309</v>
      </c>
      <c r="D19" s="47">
        <v>1001922914</v>
      </c>
      <c r="E19" s="47">
        <v>1129480562</v>
      </c>
      <c r="F19" s="132" t="s">
        <v>133</v>
      </c>
      <c r="G19" s="47"/>
      <c r="H19" s="47"/>
      <c r="I19" s="269"/>
      <c r="J19" s="800"/>
    </row>
    <row r="20" spans="1:10" ht="12.75" customHeight="1">
      <c r="A20" s="124" t="s">
        <v>20</v>
      </c>
      <c r="B20" s="138" t="s">
        <v>151</v>
      </c>
      <c r="C20" s="47"/>
      <c r="D20" s="47"/>
      <c r="E20" s="47"/>
      <c r="F20" s="132" t="s">
        <v>104</v>
      </c>
      <c r="G20" s="47"/>
      <c r="H20" s="47"/>
      <c r="I20" s="269"/>
      <c r="J20" s="800"/>
    </row>
    <row r="21" spans="1:10" ht="12.75" customHeight="1">
      <c r="A21" s="126" t="s">
        <v>21</v>
      </c>
      <c r="B21" s="138" t="s">
        <v>152</v>
      </c>
      <c r="C21" s="47"/>
      <c r="D21" s="47"/>
      <c r="E21" s="47"/>
      <c r="F21" s="132" t="s">
        <v>105</v>
      </c>
      <c r="G21" s="47"/>
      <c r="H21" s="47"/>
      <c r="I21" s="269"/>
      <c r="J21" s="800"/>
    </row>
    <row r="22" spans="1:10" ht="12.75" customHeight="1">
      <c r="A22" s="124" t="s">
        <v>22</v>
      </c>
      <c r="B22" s="138" t="s">
        <v>153</v>
      </c>
      <c r="C22" s="47"/>
      <c r="D22" s="47"/>
      <c r="E22" s="47"/>
      <c r="F22" s="131" t="s">
        <v>149</v>
      </c>
      <c r="G22" s="47"/>
      <c r="H22" s="47"/>
      <c r="I22" s="269"/>
      <c r="J22" s="800"/>
    </row>
    <row r="23" spans="1:10" ht="12.75" customHeight="1">
      <c r="A23" s="126" t="s">
        <v>23</v>
      </c>
      <c r="B23" s="139" t="s">
        <v>154</v>
      </c>
      <c r="C23" s="47"/>
      <c r="D23" s="47"/>
      <c r="E23" s="47"/>
      <c r="F23" s="132" t="s">
        <v>134</v>
      </c>
      <c r="G23" s="47"/>
      <c r="H23" s="47"/>
      <c r="I23" s="269"/>
      <c r="J23" s="800"/>
    </row>
    <row r="24" spans="1:10" ht="12.75" customHeight="1">
      <c r="A24" s="124" t="s">
        <v>24</v>
      </c>
      <c r="B24" s="140" t="s">
        <v>155</v>
      </c>
      <c r="C24" s="134">
        <f>+C25+C26+C27+C28+C29</f>
        <v>209767404</v>
      </c>
      <c r="D24" s="134">
        <f>+D25+D26+D27+D28+D29</f>
        <v>16443546</v>
      </c>
      <c r="E24" s="134">
        <f>+E25+E26+E27+E28+E29</f>
        <v>16443546</v>
      </c>
      <c r="F24" s="141" t="s">
        <v>132</v>
      </c>
      <c r="G24" s="47"/>
      <c r="H24" s="47"/>
      <c r="I24" s="269"/>
      <c r="J24" s="800"/>
    </row>
    <row r="25" spans="1:10" ht="12.75" customHeight="1">
      <c r="A25" s="126" t="s">
        <v>25</v>
      </c>
      <c r="B25" s="139" t="s">
        <v>156</v>
      </c>
      <c r="C25" s="47">
        <v>209767404</v>
      </c>
      <c r="D25" s="47">
        <v>16443546</v>
      </c>
      <c r="E25" s="47">
        <v>16443546</v>
      </c>
      <c r="F25" s="141" t="s">
        <v>295</v>
      </c>
      <c r="G25" s="47"/>
      <c r="H25" s="47"/>
      <c r="I25" s="269"/>
      <c r="J25" s="800"/>
    </row>
    <row r="26" spans="1:10" ht="12.75" customHeight="1">
      <c r="A26" s="124" t="s">
        <v>26</v>
      </c>
      <c r="B26" s="139" t="s">
        <v>157</v>
      </c>
      <c r="C26" s="47"/>
      <c r="D26" s="47"/>
      <c r="E26" s="47"/>
      <c r="F26" s="136"/>
      <c r="G26" s="47"/>
      <c r="H26" s="47"/>
      <c r="I26" s="269"/>
      <c r="J26" s="800"/>
    </row>
    <row r="27" spans="1:10" ht="12.75" customHeight="1">
      <c r="A27" s="126" t="s">
        <v>27</v>
      </c>
      <c r="B27" s="138" t="s">
        <v>158</v>
      </c>
      <c r="C27" s="47"/>
      <c r="D27" s="47"/>
      <c r="E27" s="47"/>
      <c r="F27" s="55"/>
      <c r="G27" s="47"/>
      <c r="H27" s="47"/>
      <c r="I27" s="269"/>
      <c r="J27" s="800"/>
    </row>
    <row r="28" spans="1:10" ht="12.75" customHeight="1">
      <c r="A28" s="124" t="s">
        <v>28</v>
      </c>
      <c r="B28" s="142" t="s">
        <v>159</v>
      </c>
      <c r="C28" s="47"/>
      <c r="D28" s="47"/>
      <c r="E28" s="47"/>
      <c r="F28" s="30"/>
      <c r="G28" s="47"/>
      <c r="H28" s="47"/>
      <c r="I28" s="269"/>
      <c r="J28" s="800"/>
    </row>
    <row r="29" spans="1:10" ht="12.75" customHeight="1" thickBot="1">
      <c r="A29" s="126" t="s">
        <v>29</v>
      </c>
      <c r="B29" s="143" t="s">
        <v>160</v>
      </c>
      <c r="C29" s="47"/>
      <c r="D29" s="47"/>
      <c r="E29" s="47"/>
      <c r="F29" s="55"/>
      <c r="G29" s="47"/>
      <c r="H29" s="47"/>
      <c r="I29" s="269"/>
      <c r="J29" s="800"/>
    </row>
    <row r="30" spans="1:10" ht="21.75" customHeight="1" thickBot="1">
      <c r="A30" s="129" t="s">
        <v>30</v>
      </c>
      <c r="B30" s="57" t="s">
        <v>292</v>
      </c>
      <c r="C30" s="119">
        <f>+C18+C24</f>
        <v>1147424713</v>
      </c>
      <c r="D30" s="119">
        <f>+D18+D24</f>
        <v>1018366460</v>
      </c>
      <c r="E30" s="119">
        <f>+E18+E24</f>
        <v>1145924108</v>
      </c>
      <c r="F30" s="57" t="s">
        <v>296</v>
      </c>
      <c r="G30" s="119">
        <f>SUM(G18:G29)</f>
        <v>0</v>
      </c>
      <c r="H30" s="119">
        <f>SUM(H18:H29)</f>
        <v>280699998</v>
      </c>
      <c r="I30" s="147">
        <f>SUM(I18:I29)</f>
        <v>280699998</v>
      </c>
      <c r="J30" s="800"/>
    </row>
    <row r="31" spans="1:10" ht="13.5" thickBot="1">
      <c r="A31" s="129" t="s">
        <v>31</v>
      </c>
      <c r="B31" s="135" t="s">
        <v>297</v>
      </c>
      <c r="C31" s="305">
        <f>+C17+C30</f>
        <v>1168776391</v>
      </c>
      <c r="D31" s="305">
        <f>+D17+D30</f>
        <v>1351147609</v>
      </c>
      <c r="E31" s="306">
        <f>+E17+E30</f>
        <v>1491752867</v>
      </c>
      <c r="F31" s="135" t="s">
        <v>298</v>
      </c>
      <c r="G31" s="305">
        <f>+G17+G30</f>
        <v>1168776391</v>
      </c>
      <c r="H31" s="305">
        <f>+H17+H30</f>
        <v>1351147609</v>
      </c>
      <c r="I31" s="306">
        <f>+I17+I30</f>
        <v>541004058</v>
      </c>
      <c r="J31" s="800"/>
    </row>
    <row r="32" spans="1:10" ht="13.5" thickBot="1">
      <c r="A32" s="129" t="s">
        <v>32</v>
      </c>
      <c r="B32" s="135" t="s">
        <v>108</v>
      </c>
      <c r="C32" s="305">
        <f>IF(C17-G17&lt;0,G17-C17,"-")</f>
        <v>1147424713</v>
      </c>
      <c r="D32" s="305">
        <f>IF(D17-H17&lt;0,H17-D17,"-")</f>
        <v>737666462</v>
      </c>
      <c r="E32" s="306" t="str">
        <f>IF(E17-I17&lt;0,I17-E17,"-")</f>
        <v>-</v>
      </c>
      <c r="F32" s="135" t="s">
        <v>109</v>
      </c>
      <c r="G32" s="305" t="str">
        <f>IF(C17-G17&gt;0,C17-G17,"-")</f>
        <v>-</v>
      </c>
      <c r="H32" s="305" t="str">
        <f>IF(D17-H17&gt;0,D17-H17,"-")</f>
        <v>-</v>
      </c>
      <c r="I32" s="306">
        <f>IF(E17-I17&gt;0,E17-I17,"-")</f>
        <v>85524699</v>
      </c>
      <c r="J32" s="800"/>
    </row>
    <row r="33" spans="1:10" ht="13.5" thickBot="1">
      <c r="A33" s="129" t="s">
        <v>33</v>
      </c>
      <c r="B33" s="135" t="s">
        <v>488</v>
      </c>
      <c r="C33" s="305" t="str">
        <f>IF(C31-G31&lt;0,G31-C31,"-")</f>
        <v>-</v>
      </c>
      <c r="D33" s="305" t="str">
        <f>IF(D31-H31&lt;0,H31-D31,"-")</f>
        <v>-</v>
      </c>
      <c r="E33" s="305" t="str">
        <f>IF(E31-I31&lt;0,I31-E31,"-")</f>
        <v>-</v>
      </c>
      <c r="F33" s="135" t="s">
        <v>489</v>
      </c>
      <c r="G33" s="305" t="str">
        <f>IF(C31-G31&gt;0,C31-G31,"-")</f>
        <v>-</v>
      </c>
      <c r="H33" s="305" t="str">
        <f>IF(D31-H31&gt;0,D31-H31,"-")</f>
        <v>-</v>
      </c>
      <c r="I33" s="305">
        <f>IF(E31-I31&gt;0,E31-I31,"-")</f>
        <v>950748809</v>
      </c>
      <c r="J33" s="800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2020-07-14T11:25:06Z</cp:lastPrinted>
  <dcterms:created xsi:type="dcterms:W3CDTF">1999-10-30T10:30:45Z</dcterms:created>
  <dcterms:modified xsi:type="dcterms:W3CDTF">2020-07-14T11:30:58Z</dcterms:modified>
  <cp:category/>
  <cp:version/>
  <cp:contentType/>
  <cp:contentStatus/>
</cp:coreProperties>
</file>