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000" tabRatio="803" activeTab="5"/>
  </bookViews>
  <sheets>
    <sheet name="önként2018." sheetId="1" r:id="rId1"/>
    <sheet name="kötelező2018." sheetId="2" r:id="rId2"/>
    <sheet name="önként2018.felh." sheetId="3" r:id="rId3"/>
    <sheet name="kötelező2018.felh." sheetId="4" r:id="rId4"/>
    <sheet name="önkét2018.finansz." sheetId="5" r:id="rId5"/>
    <sheet name="kötelező2018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'kötelező2018.'!$A$1:$M$45</definedName>
    <definedName name="_xlnm.Print_Area" localSheetId="3">'kötelező2018.felh.'!$A$1:$M$29</definedName>
    <definedName name="_xlnm.Print_Area" localSheetId="5">'kötelező2018.finansz.'!$A$1:$M$17</definedName>
    <definedName name="_xlnm.Print_Area" localSheetId="0">'önként2018.'!$A$1:$L$30</definedName>
    <definedName name="_xlnm.Print_Area" localSheetId="2">'önként2018.felh.'!$A$1:$L$46</definedName>
    <definedName name="_xlnm.Print_Area" localSheetId="4">'önkét2018.finansz.'!$A$1:$L$31</definedName>
  </definedNames>
  <calcPr fullCalcOnLoad="1"/>
</workbook>
</file>

<file path=xl/sharedStrings.xml><?xml version="1.0" encoding="utf-8"?>
<sst xmlns="http://schemas.openxmlformats.org/spreadsheetml/2006/main" count="228" uniqueCount="111">
  <si>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</si>
  <si>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</si>
  <si>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</si>
  <si>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</si>
  <si>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</si>
  <si>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</si>
  <si>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</si>
  <si>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</si>
  <si>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</si>
  <si>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Szociális étkeztetés</t>
  </si>
  <si>
    <t>Közcélú foglalkoztatás</t>
  </si>
  <si>
    <t>Családsegítő és gyermekjóléti szolgálat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</si>
  <si>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</si>
  <si>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</si>
  <si>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</si>
  <si>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</si>
  <si>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</si>
  <si>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</si>
  <si>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</si>
  <si>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</si>
  <si>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</si>
  <si>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</si>
  <si>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</si>
  <si>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</si>
  <si>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</si>
  <si>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</si>
  <si>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</si>
  <si>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</si>
  <si>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</si>
  <si>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</si>
  <si>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</si>
  <si>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</si>
  <si>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</si>
  <si>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</si>
  <si>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</si>
  <si>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</si>
  <si>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</si>
  <si>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</si>
  <si>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</si>
  <si>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</si>
  <si>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</si>
  <si>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</si>
  <si>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</si>
  <si>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</si>
  <si>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</si>
  <si>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</si>
  <si>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</si>
  <si>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</si>
  <si>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</si>
  <si>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</si>
  <si>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</si>
  <si>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</si>
  <si>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</si>
  <si>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</si>
  <si>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</si>
  <si>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</si>
  <si>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</si>
  <si>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</si>
  <si>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</si>
  <si>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</si>
  <si>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</si>
  <si>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</si>
  <si>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</si>
  <si>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</si>
  <si>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</si>
  <si>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</si>
  <si>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</si>
  <si>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</si>
  <si>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</si>
  <si>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</si>
  <si>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</si>
  <si>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</si>
  <si>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</si>
  <si>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</si>
  <si>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</si>
  <si>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</si>
  <si>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</si>
  <si>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</si>
  <si>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</si>
  <si>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</si>
  <si>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</si>
  <si>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</si>
  <si>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</si>
  <si>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</si>
  <si>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</si>
  <si>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</si>
  <si>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</si>
  <si>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</si>
  <si>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</si>
  <si>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</si>
  <si>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</si>
  <si>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</si>
  <si>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Belföldi értékpapírok kiadásai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</si>
  <si>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</si>
  <si>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</si>
  <si>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</si>
  <si>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</si>
  <si>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</si>
  <si>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</si>
  <si>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2018. Működési költségvetés  -  Kötelezően előírt feladatkörök</t>
  </si>
  <si>
    <t>Házi segítségnyújtás</t>
  </si>
  <si>
    <t>Időskorúak átmeneti ellátása</t>
  </si>
  <si>
    <t>Pszichiátriai betegek közösségi ellátása</t>
  </si>
  <si>
    <t>NEAK fin. +átvett pe.</t>
  </si>
  <si>
    <t>Támogatás ÁH-n belülről</t>
  </si>
  <si>
    <t>tárgyévi tervezett kiadás</t>
  </si>
  <si>
    <t>2018. Működési költségvetés -  Önként vállalt feladatkörök</t>
  </si>
  <si>
    <t>2018. Finanszírozási kiadások  -  Kötelezően előírt feladatkörök</t>
  </si>
  <si>
    <t>2018. Finanszírozási kiadások -  Önként vállalt feladatkörök</t>
  </si>
  <si>
    <t>2018. Felhalmozási költségvetés  -  Kötelezően előírt feladatkörök</t>
  </si>
  <si>
    <t>2018. Felhalmozási költségvetés -  Önként vállalt feladatkörök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</si>
</sst>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shrinkToFit="1"/>
    </xf>
    <xf numFmtId="2" fontId="9" fillId="0" borderId="19" xfId="0" applyNumberFormat="1" applyFont="1" applyFill="1" applyBorder="1" applyAlignment="1">
      <alignment/>
    </xf>
    <xf numFmtId="2" fontId="12" fillId="0" borderId="19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3" fillId="0" borderId="21" xfId="0" applyFont="1" applyFill="1" applyBorder="1" applyAlignment="1">
      <alignment shrinkToFit="1"/>
    </xf>
    <xf numFmtId="3" fontId="10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shrinkToFit="1"/>
    </xf>
    <xf numFmtId="2" fontId="3" fillId="0" borderId="20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7" xfId="0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9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28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0" fillId="0" borderId="17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shrinkToFit="1"/>
    </xf>
    <xf numFmtId="3" fontId="10" fillId="0" borderId="30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2" fillId="0" borderId="21" xfId="0" applyFont="1" applyFill="1" applyBorder="1" applyAlignment="1">
      <alignment shrinkToFit="1"/>
    </xf>
    <xf numFmtId="2" fontId="9" fillId="0" borderId="32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14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12" fillId="0" borderId="18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0" fontId="12" fillId="0" borderId="33" xfId="0" applyFont="1" applyFill="1" applyBorder="1" applyAlignment="1">
      <alignment shrinkToFit="1"/>
    </xf>
    <xf numFmtId="4" fontId="9" fillId="0" borderId="30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12" fillId="0" borderId="16" xfId="0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0" fontId="12" fillId="0" borderId="24" xfId="0" applyFont="1" applyFill="1" applyBorder="1" applyAlignment="1">
      <alignment shrinkToFit="1"/>
    </xf>
    <xf numFmtId="0" fontId="3" fillId="0" borderId="34" xfId="0" applyFont="1" applyFill="1" applyBorder="1" applyAlignment="1">
      <alignment shrinkToFit="1"/>
    </xf>
    <xf numFmtId="172" fontId="10" fillId="0" borderId="11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172" fontId="10" fillId="0" borderId="17" xfId="0" applyNumberFormat="1" applyFont="1" applyFill="1" applyBorder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shrinkToFit="1"/>
    </xf>
    <xf numFmtId="172" fontId="10" fillId="0" borderId="22" xfId="0" applyNumberFormat="1" applyFont="1" applyFill="1" applyBorder="1" applyAlignment="1">
      <alignment horizontal="right"/>
    </xf>
    <xf numFmtId="172" fontId="10" fillId="0" borderId="2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0" fontId="12" fillId="0" borderId="21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172" fontId="10" fillId="0" borderId="22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172" fontId="10" fillId="0" borderId="20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172" fontId="9" fillId="0" borderId="30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72" fontId="9" fillId="0" borderId="32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2" fontId="9" fillId="0" borderId="25" xfId="0" applyNumberFormat="1" applyFont="1" applyFill="1" applyBorder="1" applyAlignment="1">
      <alignment/>
    </xf>
    <xf numFmtId="172" fontId="9" fillId="0" borderId="22" xfId="0" applyNumberFormat="1" applyFont="1" applyFill="1" applyBorder="1" applyAlignment="1">
      <alignment/>
    </xf>
    <xf numFmtId="172" fontId="9" fillId="0" borderId="20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8" xfId="0" applyNumberFormat="1" applyFont="1" applyFill="1" applyBorder="1" applyAlignment="1">
      <alignment/>
    </xf>
    <xf numFmtId="0" fontId="9" fillId="0" borderId="18" xfId="0" applyFont="1" applyFill="1" applyBorder="1" applyAlignment="1">
      <alignment shrinkToFit="1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4" fontId="9" fillId="0" borderId="19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2" fontId="12" fillId="0" borderId="26" xfId="0" applyNumberFormat="1" applyFont="1" applyFill="1" applyBorder="1" applyAlignment="1">
      <alignment/>
    </xf>
    <xf numFmtId="0" fontId="3" fillId="0" borderId="18" xfId="0" applyFont="1" applyFill="1" applyBorder="1" applyAlignment="1">
      <alignment shrinkToFit="1"/>
    </xf>
    <xf numFmtId="3" fontId="12" fillId="0" borderId="22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/>
    </xf>
    <xf numFmtId="2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2" fontId="12" fillId="0" borderId="37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80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43"/>
      <c r="B1" s="43"/>
      <c r="C1" s="43"/>
      <c r="D1" s="77"/>
      <c r="E1" s="43"/>
      <c r="F1" s="43"/>
      <c r="G1" s="43"/>
      <c r="H1" s="43"/>
      <c r="I1" s="43"/>
      <c r="J1" s="43"/>
      <c r="K1" s="207" t="s">
        <v>31</v>
      </c>
      <c r="L1" s="207"/>
    </row>
    <row r="2" spans="1:12" ht="12.75">
      <c r="A2" s="208" t="s">
        <v>106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2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3.5" thickBot="1">
      <c r="A4" s="64"/>
      <c r="B4" s="64"/>
      <c r="C4" s="64"/>
      <c r="D4" s="78"/>
      <c r="E4" s="49"/>
      <c r="F4" s="50"/>
      <c r="G4" s="49"/>
      <c r="H4" s="50"/>
      <c r="I4" s="50"/>
      <c r="J4" s="50"/>
      <c r="K4" s="51"/>
      <c r="L4" s="60" t="s">
        <v>0</v>
      </c>
    </row>
    <row r="5" spans="1:12" ht="92.25" customHeight="1" thickBot="1">
      <c r="A5" s="44" t="s">
        <v>3</v>
      </c>
      <c r="B5" s="52" t="s">
        <v>69</v>
      </c>
      <c r="C5" s="52" t="s">
        <v>64</v>
      </c>
      <c r="D5" s="53" t="s">
        <v>70</v>
      </c>
      <c r="E5" s="52" t="s">
        <v>60</v>
      </c>
      <c r="F5" s="53" t="s">
        <v>71</v>
      </c>
      <c r="G5" s="52" t="s">
        <v>72</v>
      </c>
      <c r="H5" s="53" t="s">
        <v>73</v>
      </c>
      <c r="I5" s="53" t="s">
        <v>76</v>
      </c>
      <c r="J5" s="53" t="s">
        <v>48</v>
      </c>
      <c r="K5" s="54" t="s">
        <v>74</v>
      </c>
      <c r="L5" s="61" t="s">
        <v>75</v>
      </c>
    </row>
    <row r="6" spans="1:12" ht="12.75">
      <c r="A6" s="14" t="s">
        <v>18</v>
      </c>
      <c r="B6" s="15">
        <f>86113+14820+3400+26800+4000+266029</f>
        <v>401162</v>
      </c>
      <c r="C6" s="15"/>
      <c r="D6" s="124">
        <f>SUM(C6/B6)*100</f>
        <v>0</v>
      </c>
      <c r="E6" s="16"/>
      <c r="F6" s="17">
        <f aca="true" t="shared" si="0" ref="F6:F15">SUM(E6/B6)*100</f>
        <v>0</v>
      </c>
      <c r="G6" s="16"/>
      <c r="H6" s="17">
        <f>SUM(G6/B6*100)</f>
        <v>0</v>
      </c>
      <c r="I6" s="16"/>
      <c r="J6" s="17">
        <f>SUM(I6/B6*100)</f>
        <v>0</v>
      </c>
      <c r="K6" s="21">
        <f>SUM(B6-C6-E6-G6-I6)</f>
        <v>401162</v>
      </c>
      <c r="L6" s="18">
        <f>SUM(K6/B6)*100</f>
        <v>100</v>
      </c>
    </row>
    <row r="7" spans="1:12" ht="12.75">
      <c r="A7" s="14" t="s">
        <v>19</v>
      </c>
      <c r="B7" s="20">
        <f>3457102-'kötelező2018.'!C11</f>
        <v>1296492</v>
      </c>
      <c r="C7" s="20"/>
      <c r="D7" s="125">
        <f>SUM(C7/B7)*100</f>
        <v>0</v>
      </c>
      <c r="E7" s="21"/>
      <c r="F7" s="22">
        <f t="shared" si="0"/>
        <v>0</v>
      </c>
      <c r="G7" s="21"/>
      <c r="H7" s="22">
        <f>SUM(G7/B7*100)</f>
        <v>0</v>
      </c>
      <c r="I7" s="21"/>
      <c r="J7" s="17">
        <f aca="true" t="shared" si="1" ref="J7:J27">SUM(I7/B7*100)</f>
        <v>0</v>
      </c>
      <c r="K7" s="21">
        <f aca="true" t="shared" si="2" ref="K7:K15">SUM(B7-C7-E7-G7-I7)</f>
        <v>1296492</v>
      </c>
      <c r="L7" s="23">
        <f>SUM(K7/B7)*100</f>
        <v>100</v>
      </c>
    </row>
    <row r="8" spans="1:12" ht="12.75">
      <c r="A8" s="14" t="s">
        <v>1</v>
      </c>
      <c r="B8" s="20">
        <v>100000</v>
      </c>
      <c r="C8" s="20"/>
      <c r="D8" s="125">
        <f>SUM(C8/B8)*100</f>
        <v>0</v>
      </c>
      <c r="E8" s="21"/>
      <c r="F8" s="22">
        <f t="shared" si="0"/>
        <v>0</v>
      </c>
      <c r="G8" s="21"/>
      <c r="H8" s="22">
        <f>SUM(G8/B8*100)</f>
        <v>0</v>
      </c>
      <c r="I8" s="21"/>
      <c r="J8" s="17">
        <f t="shared" si="1"/>
        <v>0</v>
      </c>
      <c r="K8" s="21">
        <f t="shared" si="2"/>
        <v>100000</v>
      </c>
      <c r="L8" s="23">
        <f>SUM(K8/B8)*100</f>
        <v>100</v>
      </c>
    </row>
    <row r="9" spans="1:12" ht="12.75">
      <c r="A9" s="19" t="s">
        <v>23</v>
      </c>
      <c r="B9" s="20">
        <f>19000+2500+8000+8200+11934+155000+45000+5950+7650+3600+5000+151725+9180+20000+50000-7000</f>
        <v>495739</v>
      </c>
      <c r="C9" s="20"/>
      <c r="D9" s="125">
        <f aca="true" t="shared" si="3" ref="D9:D16">SUM(C9/B9)*100</f>
        <v>0</v>
      </c>
      <c r="E9" s="21"/>
      <c r="F9" s="22">
        <f t="shared" si="0"/>
        <v>0</v>
      </c>
      <c r="G9" s="21"/>
      <c r="H9" s="22">
        <f aca="true" t="shared" si="4" ref="H9:H16">SUM(G9/B9*100)</f>
        <v>0</v>
      </c>
      <c r="I9" s="21"/>
      <c r="J9" s="17">
        <f t="shared" si="1"/>
        <v>0</v>
      </c>
      <c r="K9" s="21">
        <f t="shared" si="2"/>
        <v>495739</v>
      </c>
      <c r="L9" s="23">
        <f aca="true" t="shared" si="5" ref="L9:L16">SUM(K9/B9)*100</f>
        <v>100</v>
      </c>
    </row>
    <row r="10" spans="1:12" ht="12.75">
      <c r="A10" s="19" t="s">
        <v>58</v>
      </c>
      <c r="B10" s="25">
        <f>675357-'kötelező2018.'!C12-B30</f>
        <v>369768</v>
      </c>
      <c r="C10" s="20"/>
      <c r="D10" s="125">
        <f t="shared" si="3"/>
        <v>0</v>
      </c>
      <c r="E10" s="21"/>
      <c r="F10" s="22">
        <f t="shared" si="0"/>
        <v>0</v>
      </c>
      <c r="G10" s="21"/>
      <c r="H10" s="22">
        <f t="shared" si="4"/>
        <v>0</v>
      </c>
      <c r="I10" s="21"/>
      <c r="J10" s="17">
        <f t="shared" si="1"/>
        <v>0</v>
      </c>
      <c r="K10" s="21">
        <f t="shared" si="2"/>
        <v>369768</v>
      </c>
      <c r="L10" s="23">
        <f t="shared" si="5"/>
        <v>100</v>
      </c>
    </row>
    <row r="11" spans="1:14" ht="12.75">
      <c r="A11" s="19" t="s">
        <v>14</v>
      </c>
      <c r="B11" s="20">
        <v>85000</v>
      </c>
      <c r="C11" s="20"/>
      <c r="D11" s="125">
        <f>SUM(C11/B11)*100</f>
        <v>0</v>
      </c>
      <c r="E11" s="21"/>
      <c r="F11" s="22">
        <f>SUM(E11/B11)*100</f>
        <v>0</v>
      </c>
      <c r="G11" s="21"/>
      <c r="H11" s="22">
        <f>SUM(G11/B11*100)</f>
        <v>0</v>
      </c>
      <c r="I11" s="21"/>
      <c r="J11" s="17">
        <f>SUM(I11/B11*100)</f>
        <v>0</v>
      </c>
      <c r="K11" s="21">
        <f>SUM(B11-C11-E11-G11-I11)</f>
        <v>85000</v>
      </c>
      <c r="L11" s="23">
        <f>SUM(K11/B11)*100</f>
        <v>100</v>
      </c>
      <c r="N11" s="3"/>
    </row>
    <row r="12" spans="1:12" ht="12.75">
      <c r="A12" s="19" t="s">
        <v>15</v>
      </c>
      <c r="B12" s="20">
        <f>508758-'kötelező2018.'!C10</f>
        <v>70786</v>
      </c>
      <c r="C12" s="20"/>
      <c r="D12" s="125">
        <f>SUM(C12/B12)*100</f>
        <v>0</v>
      </c>
      <c r="E12" s="21"/>
      <c r="F12" s="22">
        <f>SUM(E12/B12)*100</f>
        <v>0</v>
      </c>
      <c r="G12" s="21"/>
      <c r="H12" s="22">
        <f>SUM(G12/B12*100)</f>
        <v>0</v>
      </c>
      <c r="I12" s="21"/>
      <c r="J12" s="17">
        <f>SUM(I12/B12*100)</f>
        <v>0</v>
      </c>
      <c r="K12" s="21">
        <f>SUM(B12-C12-E12-G12-I12)</f>
        <v>70786</v>
      </c>
      <c r="L12" s="23">
        <f>SUM(K12/B12)*100</f>
        <v>100</v>
      </c>
    </row>
    <row r="13" spans="1:12" ht="12.75">
      <c r="A13" s="19" t="s">
        <v>2</v>
      </c>
      <c r="B13" s="20">
        <v>15000</v>
      </c>
      <c r="C13" s="20"/>
      <c r="D13" s="125">
        <f t="shared" si="3"/>
        <v>0</v>
      </c>
      <c r="E13" s="21"/>
      <c r="F13" s="22">
        <f t="shared" si="0"/>
        <v>0</v>
      </c>
      <c r="G13" s="21"/>
      <c r="H13" s="22">
        <f t="shared" si="4"/>
        <v>0</v>
      </c>
      <c r="I13" s="21"/>
      <c r="J13" s="17">
        <f t="shared" si="1"/>
        <v>0</v>
      </c>
      <c r="K13" s="21">
        <f t="shared" si="2"/>
        <v>15000</v>
      </c>
      <c r="L13" s="23">
        <f t="shared" si="5"/>
        <v>100</v>
      </c>
    </row>
    <row r="14" spans="1:12" ht="12.75">
      <c r="A14" s="19" t="s">
        <v>24</v>
      </c>
      <c r="B14" s="20">
        <v>66180</v>
      </c>
      <c r="C14" s="20"/>
      <c r="D14" s="125">
        <f t="shared" si="3"/>
        <v>0</v>
      </c>
      <c r="E14" s="21"/>
      <c r="F14" s="22">
        <f t="shared" si="0"/>
        <v>0</v>
      </c>
      <c r="G14" s="21"/>
      <c r="H14" s="22">
        <f t="shared" si="4"/>
        <v>0</v>
      </c>
      <c r="I14" s="21"/>
      <c r="J14" s="17">
        <f t="shared" si="1"/>
        <v>0</v>
      </c>
      <c r="K14" s="21">
        <f t="shared" si="2"/>
        <v>66180</v>
      </c>
      <c r="L14" s="23">
        <f t="shared" si="5"/>
        <v>100</v>
      </c>
    </row>
    <row r="15" spans="1:12" ht="13.5" thickBot="1">
      <c r="A15" s="19" t="s">
        <v>25</v>
      </c>
      <c r="B15" s="20">
        <f>547888-'kötelező2018.'!C6</f>
        <v>291634</v>
      </c>
      <c r="C15" s="20"/>
      <c r="D15" s="125">
        <f t="shared" si="3"/>
        <v>0</v>
      </c>
      <c r="E15" s="21"/>
      <c r="F15" s="22">
        <f t="shared" si="0"/>
        <v>0</v>
      </c>
      <c r="G15" s="21"/>
      <c r="H15" s="22">
        <f t="shared" si="4"/>
        <v>0</v>
      </c>
      <c r="I15" s="21"/>
      <c r="J15" s="17">
        <f t="shared" si="1"/>
        <v>0</v>
      </c>
      <c r="K15" s="21">
        <f t="shared" si="2"/>
        <v>291634</v>
      </c>
      <c r="L15" s="23">
        <f t="shared" si="5"/>
        <v>100</v>
      </c>
    </row>
    <row r="16" spans="1:12" s="35" customFormat="1" ht="13.5" thickBot="1">
      <c r="A16" s="32" t="s">
        <v>39</v>
      </c>
      <c r="B16" s="29">
        <f>SUM(B6:B15)</f>
        <v>3191761</v>
      </c>
      <c r="C16" s="29">
        <f>SUM(C6:C15)</f>
        <v>0</v>
      </c>
      <c r="D16" s="126">
        <f t="shared" si="3"/>
        <v>0</v>
      </c>
      <c r="E16" s="29">
        <f>SUM(E6:E15)</f>
        <v>0</v>
      </c>
      <c r="F16" s="63">
        <f>SUM(E16/B16*100)</f>
        <v>0</v>
      </c>
      <c r="G16" s="29">
        <f>SUM(G6:G15)</f>
        <v>0</v>
      </c>
      <c r="H16" s="33">
        <f t="shared" si="4"/>
        <v>0</v>
      </c>
      <c r="I16" s="29">
        <f>SUM(I6:I15)</f>
        <v>0</v>
      </c>
      <c r="J16" s="33">
        <f t="shared" si="1"/>
        <v>0</v>
      </c>
      <c r="K16" s="29">
        <f>SUM(K6:K15)</f>
        <v>3191761</v>
      </c>
      <c r="L16" s="48">
        <f t="shared" si="5"/>
        <v>100</v>
      </c>
    </row>
    <row r="17" spans="1:12" ht="12.75">
      <c r="A17" s="119" t="s">
        <v>20</v>
      </c>
      <c r="B17" s="15">
        <v>89552</v>
      </c>
      <c r="C17" s="15">
        <v>702</v>
      </c>
      <c r="D17" s="124">
        <f aca="true" t="shared" si="6" ref="D17:D27">SUM(C17/B17)*100</f>
        <v>0.7839020904055743</v>
      </c>
      <c r="E17" s="86"/>
      <c r="F17" s="17">
        <f aca="true" t="shared" si="7" ref="F17:F27">SUM(E17/B17)*100</f>
        <v>0</v>
      </c>
      <c r="G17" s="86">
        <v>97641</v>
      </c>
      <c r="H17" s="17">
        <f aca="true" t="shared" si="8" ref="H17:H23">SUM(G17/B17*100)</f>
        <v>109.03274075397536</v>
      </c>
      <c r="I17" s="16"/>
      <c r="J17" s="17">
        <f t="shared" si="1"/>
        <v>0</v>
      </c>
      <c r="K17" s="16">
        <f aca="true" t="shared" si="9" ref="K17:K22">SUM(B17-C17-E17-G17-I17)</f>
        <v>-8791</v>
      </c>
      <c r="L17" s="18">
        <f aca="true" t="shared" si="10" ref="L17:L25">SUM(K17/B17)*100</f>
        <v>-9.816642844380919</v>
      </c>
    </row>
    <row r="18" spans="1:12" ht="12.75">
      <c r="A18" s="120" t="s">
        <v>33</v>
      </c>
      <c r="B18" s="20">
        <v>963072</v>
      </c>
      <c r="C18" s="20">
        <v>57750</v>
      </c>
      <c r="D18" s="125">
        <f t="shared" si="6"/>
        <v>5.996436403508771</v>
      </c>
      <c r="E18" s="83"/>
      <c r="F18" s="22">
        <f t="shared" si="7"/>
        <v>0</v>
      </c>
      <c r="G18" s="83">
        <v>583874</v>
      </c>
      <c r="H18" s="22">
        <f t="shared" si="8"/>
        <v>60.626204479000535</v>
      </c>
      <c r="I18" s="16">
        <v>11531</v>
      </c>
      <c r="J18" s="17">
        <f t="shared" si="1"/>
        <v>1.197314427166401</v>
      </c>
      <c r="K18" s="16">
        <f t="shared" si="9"/>
        <v>309917</v>
      </c>
      <c r="L18" s="23">
        <f t="shared" si="10"/>
        <v>32.180044690324294</v>
      </c>
    </row>
    <row r="19" spans="1:12" ht="12.75">
      <c r="A19" s="120" t="s">
        <v>21</v>
      </c>
      <c r="B19" s="20">
        <v>128272</v>
      </c>
      <c r="C19" s="20">
        <v>14039</v>
      </c>
      <c r="D19" s="125">
        <f t="shared" si="6"/>
        <v>10.944711238617936</v>
      </c>
      <c r="E19" s="83"/>
      <c r="F19" s="22">
        <f t="shared" si="7"/>
        <v>0</v>
      </c>
      <c r="G19" s="83">
        <v>86617</v>
      </c>
      <c r="H19" s="22">
        <f t="shared" si="8"/>
        <v>67.52603841836098</v>
      </c>
      <c r="I19" s="16"/>
      <c r="J19" s="17">
        <f t="shared" si="1"/>
        <v>0</v>
      </c>
      <c r="K19" s="16">
        <f t="shared" si="9"/>
        <v>27616</v>
      </c>
      <c r="L19" s="23">
        <f t="shared" si="10"/>
        <v>21.52925034302108</v>
      </c>
    </row>
    <row r="20" spans="1:12" ht="12.75">
      <c r="A20" s="120" t="s">
        <v>22</v>
      </c>
      <c r="B20" s="20">
        <v>68176</v>
      </c>
      <c r="C20" s="20">
        <v>10319</v>
      </c>
      <c r="D20" s="125">
        <f t="shared" si="6"/>
        <v>15.135824923726823</v>
      </c>
      <c r="E20" s="83"/>
      <c r="F20" s="22">
        <f t="shared" si="7"/>
        <v>0</v>
      </c>
      <c r="G20" s="83">
        <v>66764</v>
      </c>
      <c r="H20" s="22">
        <f t="shared" si="8"/>
        <v>97.92888993194086</v>
      </c>
      <c r="I20" s="16"/>
      <c r="J20" s="17">
        <f t="shared" si="1"/>
        <v>0</v>
      </c>
      <c r="K20" s="16">
        <f t="shared" si="9"/>
        <v>-8907</v>
      </c>
      <c r="L20" s="23">
        <f t="shared" si="10"/>
        <v>-13.064714855667683</v>
      </c>
    </row>
    <row r="21" spans="1:12" ht="12.75">
      <c r="A21" s="120" t="s">
        <v>34</v>
      </c>
      <c r="B21" s="20">
        <v>24735</v>
      </c>
      <c r="C21" s="20">
        <v>37720</v>
      </c>
      <c r="D21" s="125">
        <f t="shared" si="6"/>
        <v>152.49646250252678</v>
      </c>
      <c r="E21" s="83"/>
      <c r="F21" s="22">
        <f t="shared" si="7"/>
        <v>0</v>
      </c>
      <c r="G21" s="83">
        <v>3773</v>
      </c>
      <c r="H21" s="22">
        <f t="shared" si="8"/>
        <v>15.253689104507783</v>
      </c>
      <c r="I21" s="16"/>
      <c r="J21" s="17">
        <f t="shared" si="1"/>
        <v>0</v>
      </c>
      <c r="K21" s="16">
        <f t="shared" si="9"/>
        <v>-16758</v>
      </c>
      <c r="L21" s="23">
        <f t="shared" si="10"/>
        <v>-67.75015160703457</v>
      </c>
    </row>
    <row r="22" spans="1:12" ht="13.5" thickBot="1">
      <c r="A22" s="121" t="s">
        <v>35</v>
      </c>
      <c r="B22" s="25">
        <v>90852</v>
      </c>
      <c r="C22" s="25">
        <v>920</v>
      </c>
      <c r="D22" s="127">
        <f t="shared" si="6"/>
        <v>1.0126359353674108</v>
      </c>
      <c r="E22" s="89"/>
      <c r="F22" s="27">
        <f t="shared" si="7"/>
        <v>0</v>
      </c>
      <c r="G22" s="89">
        <v>23251</v>
      </c>
      <c r="H22" s="27">
        <f t="shared" si="8"/>
        <v>25.592171883943116</v>
      </c>
      <c r="I22" s="38"/>
      <c r="J22" s="17">
        <f t="shared" si="1"/>
        <v>0</v>
      </c>
      <c r="K22" s="16">
        <f t="shared" si="9"/>
        <v>66681</v>
      </c>
      <c r="L22" s="81">
        <f t="shared" si="10"/>
        <v>73.39519218068948</v>
      </c>
    </row>
    <row r="23" spans="1:12" s="35" customFormat="1" ht="13.5" thickBot="1">
      <c r="A23" s="28" t="s">
        <v>43</v>
      </c>
      <c r="B23" s="29">
        <f>SUM(B17:B22)</f>
        <v>1364659</v>
      </c>
      <c r="C23" s="29">
        <f aca="true" t="shared" si="11" ref="C23:K23">SUM(C17:C22)</f>
        <v>121450</v>
      </c>
      <c r="D23" s="128">
        <f t="shared" si="6"/>
        <v>8.899659182257253</v>
      </c>
      <c r="E23" s="29">
        <f t="shared" si="11"/>
        <v>0</v>
      </c>
      <c r="F23" s="33">
        <f t="shared" si="7"/>
        <v>0</v>
      </c>
      <c r="G23" s="29">
        <f t="shared" si="11"/>
        <v>861920</v>
      </c>
      <c r="H23" s="33">
        <f t="shared" si="8"/>
        <v>63.16010080173875</v>
      </c>
      <c r="I23" s="29">
        <f>SUM(I17:I22)</f>
        <v>11531</v>
      </c>
      <c r="J23" s="33">
        <f t="shared" si="1"/>
        <v>0.8449729932532596</v>
      </c>
      <c r="K23" s="29">
        <f t="shared" si="11"/>
        <v>369758</v>
      </c>
      <c r="L23" s="48">
        <f t="shared" si="10"/>
        <v>27.09526702275074</v>
      </c>
    </row>
    <row r="24" spans="1:12" s="99" customFormat="1" ht="12.75">
      <c r="A24" s="129" t="s">
        <v>55</v>
      </c>
      <c r="B24" s="37">
        <f>2440572-'kötelező2018.'!C25-'kötelező2018.'!C26-B25</f>
        <v>774500</v>
      </c>
      <c r="C24" s="37"/>
      <c r="D24" s="130">
        <f t="shared" si="6"/>
        <v>0</v>
      </c>
      <c r="E24" s="37"/>
      <c r="F24" s="39">
        <f t="shared" si="7"/>
        <v>0</v>
      </c>
      <c r="G24" s="37"/>
      <c r="H24" s="39">
        <f>SUM(G24/B24*100)</f>
        <v>0</v>
      </c>
      <c r="I24" s="37"/>
      <c r="J24" s="39">
        <f t="shared" si="1"/>
        <v>0</v>
      </c>
      <c r="K24" s="38">
        <f>SUM(B24-C24-E24-G24-I24)</f>
        <v>774500</v>
      </c>
      <c r="L24" s="40">
        <f t="shared" si="10"/>
        <v>100</v>
      </c>
    </row>
    <row r="25" spans="1:13" ht="13.5" thickBot="1">
      <c r="A25" s="45" t="s">
        <v>36</v>
      </c>
      <c r="B25" s="30">
        <v>2550</v>
      </c>
      <c r="C25" s="30"/>
      <c r="D25" s="131">
        <f t="shared" si="6"/>
        <v>0</v>
      </c>
      <c r="E25" s="31"/>
      <c r="F25" s="46">
        <f t="shared" si="7"/>
        <v>0</v>
      </c>
      <c r="G25" s="31"/>
      <c r="H25" s="46">
        <f>SUM(G25/B25*100)</f>
        <v>0</v>
      </c>
      <c r="I25" s="31"/>
      <c r="J25" s="46">
        <f t="shared" si="1"/>
        <v>0</v>
      </c>
      <c r="K25" s="31">
        <f>SUM(B25-C25-E25-G25-I25)</f>
        <v>2550</v>
      </c>
      <c r="L25" s="47">
        <f t="shared" si="10"/>
        <v>100</v>
      </c>
      <c r="M25" s="3"/>
    </row>
    <row r="26" spans="1:13" s="35" customFormat="1" ht="13.5" thickBot="1">
      <c r="A26" s="32" t="s">
        <v>40</v>
      </c>
      <c r="B26" s="29">
        <f>SUM(B24:B25)</f>
        <v>777050</v>
      </c>
      <c r="C26" s="29">
        <f>SUM(C24:C25)</f>
        <v>0</v>
      </c>
      <c r="D26" s="128">
        <f t="shared" si="6"/>
        <v>0</v>
      </c>
      <c r="E26" s="29">
        <f>SUM(E25)</f>
        <v>0</v>
      </c>
      <c r="F26" s="33">
        <f t="shared" si="7"/>
        <v>0</v>
      </c>
      <c r="G26" s="29">
        <f>SUM(G24:G25)</f>
        <v>0</v>
      </c>
      <c r="H26" s="33">
        <f>SUM(H25)</f>
        <v>0</v>
      </c>
      <c r="I26" s="29">
        <f>SUM(I24:I25)</f>
        <v>0</v>
      </c>
      <c r="J26" s="33">
        <f t="shared" si="1"/>
        <v>0</v>
      </c>
      <c r="K26" s="29">
        <f>SUM(K24:K25)</f>
        <v>777050</v>
      </c>
      <c r="L26" s="48">
        <f>SUM(L25)</f>
        <v>100</v>
      </c>
      <c r="M26" s="42"/>
    </row>
    <row r="27" spans="1:12" s="35" customFormat="1" ht="13.5" thickBot="1">
      <c r="A27" s="28" t="s">
        <v>17</v>
      </c>
      <c r="B27" s="29">
        <f>SUM(B26,B23,B16)</f>
        <v>5333470</v>
      </c>
      <c r="C27" s="29">
        <f>SUM(C26,C23,C16)</f>
        <v>121450</v>
      </c>
      <c r="D27" s="128">
        <f t="shared" si="6"/>
        <v>2.2771291485655683</v>
      </c>
      <c r="E27" s="29">
        <f>SUM(E26,E23,E16)</f>
        <v>0</v>
      </c>
      <c r="F27" s="33">
        <f t="shared" si="7"/>
        <v>0</v>
      </c>
      <c r="G27" s="29">
        <f>SUM(G26,G23,G16)</f>
        <v>861920</v>
      </c>
      <c r="H27" s="33">
        <f>SUM(G27/B27*100)</f>
        <v>16.1605858849867</v>
      </c>
      <c r="I27" s="29">
        <f>SUM(I26,I23,I16)</f>
        <v>11531</v>
      </c>
      <c r="J27" s="33">
        <f t="shared" si="1"/>
        <v>0.21620070985680992</v>
      </c>
      <c r="K27" s="29">
        <f>SUM(K26,K23,K16)</f>
        <v>4338569</v>
      </c>
      <c r="L27" s="48">
        <f>SUM(K27/B27)*100</f>
        <v>81.34608425659093</v>
      </c>
    </row>
    <row r="28" spans="3:11" ht="12.75">
      <c r="C28" s="6"/>
      <c r="D28" s="79"/>
      <c r="E28" s="3"/>
      <c r="F28" s="2"/>
      <c r="G28" s="3"/>
      <c r="H28" s="2"/>
      <c r="I28" s="2"/>
      <c r="J28" s="2"/>
      <c r="K28" s="6"/>
    </row>
    <row r="29" spans="1:7" s="3" customFormat="1" ht="13.5" thickBot="1">
      <c r="A29" s="68" t="s">
        <v>56</v>
      </c>
      <c r="D29" s="132"/>
      <c r="G29" s="55"/>
    </row>
    <row r="30" spans="1:12" s="3" customFormat="1" ht="13.5" thickBot="1">
      <c r="A30" s="133" t="s">
        <v>57</v>
      </c>
      <c r="B30" s="134">
        <v>36000</v>
      </c>
      <c r="C30" s="134">
        <v>60000</v>
      </c>
      <c r="D30" s="135">
        <f>SUM(C30/B30)*100</f>
        <v>166.66666666666669</v>
      </c>
      <c r="E30" s="134"/>
      <c r="F30" s="134">
        <f>SUM(E30/B30)*100</f>
        <v>0</v>
      </c>
      <c r="G30" s="136"/>
      <c r="H30" s="134">
        <f>SUM(G30/B30*100)</f>
        <v>0</v>
      </c>
      <c r="I30" s="134"/>
      <c r="J30" s="134">
        <f>SUM(I30/B30*100)</f>
        <v>0</v>
      </c>
      <c r="K30" s="134">
        <f>SUM(B30-C30-E30-G30-I30)</f>
        <v>-24000</v>
      </c>
      <c r="L30" s="137">
        <f>SUM(K30/B30)*100</f>
        <v>-66.66666666666666</v>
      </c>
    </row>
    <row r="31" spans="4:7" s="3" customFormat="1" ht="12.75">
      <c r="D31" s="132"/>
      <c r="G31" s="55"/>
    </row>
    <row r="32" s="3" customFormat="1" ht="12.75"/>
    <row r="33" s="3" customFormat="1" ht="12.75">
      <c r="D33" s="132"/>
    </row>
    <row r="35" ht="12.75">
      <c r="B35" s="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PageLayoutView="0" workbookViewId="0" topLeftCell="B1">
      <selection activeCell="B47" sqref="A47:IV61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375" style="3" customWidth="1"/>
    <col min="4" max="4" width="9.7539062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5" customWidth="1"/>
    <col min="9" max="9" width="8.375" style="69" customWidth="1"/>
    <col min="10" max="10" width="9.75390625" style="5" customWidth="1"/>
    <col min="11" max="11" width="10.00390625" style="74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210" t="s">
        <v>30</v>
      </c>
      <c r="M1" s="210"/>
    </row>
    <row r="2" spans="2:13" ht="14.25" customHeight="1">
      <c r="B2" s="209" t="s">
        <v>99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2:13" ht="12" customHeight="1" thickBot="1">
      <c r="B3" s="43"/>
      <c r="C3" s="55"/>
      <c r="D3" s="55"/>
      <c r="E3" s="56"/>
      <c r="F3" s="55"/>
      <c r="G3" s="57"/>
      <c r="H3" s="66"/>
      <c r="I3" s="70"/>
      <c r="J3" s="58"/>
      <c r="K3" s="75"/>
      <c r="L3" s="59"/>
      <c r="M3" s="60" t="s">
        <v>0</v>
      </c>
    </row>
    <row r="4" spans="2:13" s="62" customFormat="1" ht="41.25" customHeight="1" thickBot="1">
      <c r="B4" s="44" t="s">
        <v>3</v>
      </c>
      <c r="C4" s="52" t="s">
        <v>65</v>
      </c>
      <c r="D4" s="52" t="s">
        <v>64</v>
      </c>
      <c r="E4" s="53" t="s">
        <v>63</v>
      </c>
      <c r="F4" s="52" t="s">
        <v>62</v>
      </c>
      <c r="G4" s="193" t="s">
        <v>61</v>
      </c>
      <c r="H4" s="52" t="s">
        <v>103</v>
      </c>
      <c r="I4" s="193" t="s">
        <v>66</v>
      </c>
      <c r="J4" s="53" t="s">
        <v>59</v>
      </c>
      <c r="K4" s="53" t="s">
        <v>48</v>
      </c>
      <c r="L4" s="54" t="s">
        <v>67</v>
      </c>
      <c r="M4" s="61" t="s">
        <v>68</v>
      </c>
    </row>
    <row r="5" spans="2:13" ht="12" customHeight="1">
      <c r="B5" s="19" t="s">
        <v>37</v>
      </c>
      <c r="C5" s="20">
        <v>25000</v>
      </c>
      <c r="D5" s="21"/>
      <c r="E5" s="22">
        <f>SUM(D5/C5)*100</f>
        <v>0</v>
      </c>
      <c r="F5" s="21"/>
      <c r="G5" s="17">
        <f>SUM(F5/C5)*100</f>
        <v>0</v>
      </c>
      <c r="H5" s="21"/>
      <c r="I5" s="71">
        <f aca="true" t="shared" si="0" ref="I5:I20">SUM(H5/C5)*100</f>
        <v>0</v>
      </c>
      <c r="J5" s="16"/>
      <c r="K5" s="17">
        <f aca="true" t="shared" si="1" ref="K5:K20">SUM(J5/C5)*100</f>
        <v>0</v>
      </c>
      <c r="L5" s="16">
        <f aca="true" t="shared" si="2" ref="L5:L14">SUM(C5-D5-F5-H5-J5)</f>
        <v>25000</v>
      </c>
      <c r="M5" s="23">
        <f>SUM(L5/C5)*100</f>
        <v>100</v>
      </c>
    </row>
    <row r="6" spans="2:13" ht="12" customHeight="1">
      <c r="B6" s="19" t="s">
        <v>5</v>
      </c>
      <c r="C6" s="20">
        <v>256254</v>
      </c>
      <c r="D6" s="21"/>
      <c r="E6" s="22">
        <f>SUM(D6/C6)*100</f>
        <v>0</v>
      </c>
      <c r="F6" s="21"/>
      <c r="G6" s="17">
        <f>SUM(F6/C6)*100</f>
        <v>0</v>
      </c>
      <c r="H6" s="21"/>
      <c r="I6" s="71">
        <f t="shared" si="0"/>
        <v>0</v>
      </c>
      <c r="J6" s="16"/>
      <c r="K6" s="17">
        <f t="shared" si="1"/>
        <v>0</v>
      </c>
      <c r="L6" s="16">
        <f t="shared" si="2"/>
        <v>256254</v>
      </c>
      <c r="M6" s="23">
        <f>SUM(L6/C6)*100</f>
        <v>100</v>
      </c>
    </row>
    <row r="7" spans="2:13" ht="12" customHeight="1">
      <c r="B7" s="19" t="s">
        <v>6</v>
      </c>
      <c r="C7" s="20">
        <v>265000</v>
      </c>
      <c r="D7" s="21"/>
      <c r="E7" s="22">
        <f>SUM(D7/C7)*100</f>
        <v>0</v>
      </c>
      <c r="F7" s="21">
        <v>10524</v>
      </c>
      <c r="G7" s="17">
        <f>SUM(F7/C7)*100</f>
        <v>3.971320754716981</v>
      </c>
      <c r="H7" s="21"/>
      <c r="I7" s="71">
        <f t="shared" si="0"/>
        <v>0</v>
      </c>
      <c r="J7" s="16"/>
      <c r="K7" s="17">
        <f t="shared" si="1"/>
        <v>0</v>
      </c>
      <c r="L7" s="16">
        <f t="shared" si="2"/>
        <v>254476</v>
      </c>
      <c r="M7" s="23">
        <f>SUM(L7/C7)*100</f>
        <v>96.02867924528302</v>
      </c>
    </row>
    <row r="8" spans="2:13" ht="12" customHeight="1">
      <c r="B8" s="19" t="s">
        <v>13</v>
      </c>
      <c r="C8" s="20">
        <v>207818</v>
      </c>
      <c r="D8" s="21"/>
      <c r="E8" s="22">
        <f aca="true" t="shared" si="3" ref="E8:E15">SUM(D8/C8)*100</f>
        <v>0</v>
      </c>
      <c r="F8" s="21"/>
      <c r="G8" s="22">
        <f aca="true" t="shared" si="4" ref="G8:G15">SUM(F8/C8)*100</f>
        <v>0</v>
      </c>
      <c r="H8" s="21"/>
      <c r="I8" s="71">
        <f t="shared" si="0"/>
        <v>0</v>
      </c>
      <c r="J8" s="16"/>
      <c r="K8" s="17">
        <f t="shared" si="1"/>
        <v>0</v>
      </c>
      <c r="L8" s="16">
        <f t="shared" si="2"/>
        <v>207818</v>
      </c>
      <c r="M8" s="23">
        <f aca="true" t="shared" si="5" ref="M8:M15">SUM(L8/C8)*100</f>
        <v>100</v>
      </c>
    </row>
    <row r="9" spans="2:13" ht="12" customHeight="1">
      <c r="B9" s="19" t="s">
        <v>14</v>
      </c>
      <c r="C9" s="20">
        <f>907158-85000</f>
        <v>822158</v>
      </c>
      <c r="D9" s="21"/>
      <c r="E9" s="22">
        <f t="shared" si="3"/>
        <v>0</v>
      </c>
      <c r="F9" s="21"/>
      <c r="G9" s="22">
        <f t="shared" si="4"/>
        <v>0</v>
      </c>
      <c r="H9" s="21"/>
      <c r="I9" s="71">
        <f t="shared" si="0"/>
        <v>0</v>
      </c>
      <c r="J9" s="16">
        <v>372672</v>
      </c>
      <c r="K9" s="17">
        <f t="shared" si="1"/>
        <v>45.32851349740561</v>
      </c>
      <c r="L9" s="16">
        <f t="shared" si="2"/>
        <v>449486</v>
      </c>
      <c r="M9" s="23">
        <f t="shared" si="5"/>
        <v>54.67148650259439</v>
      </c>
    </row>
    <row r="10" spans="2:13" ht="12" customHeight="1">
      <c r="B10" s="19" t="s">
        <v>15</v>
      </c>
      <c r="C10" s="20">
        <v>437972</v>
      </c>
      <c r="D10" s="21"/>
      <c r="E10" s="22">
        <f t="shared" si="3"/>
        <v>0</v>
      </c>
      <c r="F10" s="21"/>
      <c r="G10" s="22">
        <f t="shared" si="4"/>
        <v>0</v>
      </c>
      <c r="H10" s="21"/>
      <c r="I10" s="71">
        <f t="shared" si="0"/>
        <v>0</v>
      </c>
      <c r="J10" s="16"/>
      <c r="K10" s="17">
        <f t="shared" si="1"/>
        <v>0</v>
      </c>
      <c r="L10" s="16">
        <f t="shared" si="2"/>
        <v>437972</v>
      </c>
      <c r="M10" s="23">
        <f t="shared" si="5"/>
        <v>100</v>
      </c>
    </row>
    <row r="11" spans="2:13" ht="12" customHeight="1">
      <c r="B11" s="19" t="s">
        <v>16</v>
      </c>
      <c r="C11" s="20">
        <v>2160610</v>
      </c>
      <c r="D11" s="21">
        <f>98+739+1917330+167655</f>
        <v>2085822</v>
      </c>
      <c r="E11" s="22">
        <f t="shared" si="3"/>
        <v>96.53857012602923</v>
      </c>
      <c r="F11" s="21"/>
      <c r="G11" s="22">
        <f t="shared" si="4"/>
        <v>0</v>
      </c>
      <c r="H11" s="21"/>
      <c r="I11" s="71">
        <f t="shared" si="0"/>
        <v>0</v>
      </c>
      <c r="J11" s="16">
        <v>40000</v>
      </c>
      <c r="K11" s="17">
        <f t="shared" si="1"/>
        <v>1.8513290228222585</v>
      </c>
      <c r="L11" s="16">
        <f>SUM(C11-D11-F11-H11-J11)</f>
        <v>34788</v>
      </c>
      <c r="M11" s="23">
        <f t="shared" si="5"/>
        <v>1.6101008511485184</v>
      </c>
    </row>
    <row r="12" spans="2:13" ht="12" customHeight="1">
      <c r="B12" s="19" t="s">
        <v>58</v>
      </c>
      <c r="C12" s="25">
        <f>266919+2670</f>
        <v>269589</v>
      </c>
      <c r="D12" s="26">
        <v>20000</v>
      </c>
      <c r="E12" s="22">
        <f t="shared" si="3"/>
        <v>7.418700317891308</v>
      </c>
      <c r="F12" s="26"/>
      <c r="G12" s="22">
        <f t="shared" si="4"/>
        <v>0</v>
      </c>
      <c r="H12" s="26"/>
      <c r="I12" s="71">
        <f t="shared" si="0"/>
        <v>0</v>
      </c>
      <c r="J12" s="21">
        <v>300</v>
      </c>
      <c r="K12" s="17">
        <f t="shared" si="1"/>
        <v>0.11128050476836963</v>
      </c>
      <c r="L12" s="16">
        <f>SUM(C12-D12-F12-H12-J12)</f>
        <v>249289</v>
      </c>
      <c r="M12" s="23">
        <f t="shared" si="5"/>
        <v>92.47001917734032</v>
      </c>
    </row>
    <row r="13" spans="2:13" ht="12" customHeight="1">
      <c r="B13" s="24" t="s">
        <v>53</v>
      </c>
      <c r="C13" s="25">
        <f>1094963+298000</f>
        <v>1392963</v>
      </c>
      <c r="D13" s="26">
        <v>2950000</v>
      </c>
      <c r="E13" s="27">
        <f t="shared" si="3"/>
        <v>211.7787766078496</v>
      </c>
      <c r="F13" s="26"/>
      <c r="G13" s="27">
        <f t="shared" si="4"/>
        <v>0</v>
      </c>
      <c r="H13" s="26"/>
      <c r="I13" s="71">
        <f t="shared" si="0"/>
        <v>0</v>
      </c>
      <c r="J13" s="38"/>
      <c r="K13" s="17">
        <f t="shared" si="1"/>
        <v>0</v>
      </c>
      <c r="L13" s="16">
        <f t="shared" si="2"/>
        <v>-1557037</v>
      </c>
      <c r="M13" s="81">
        <f t="shared" si="5"/>
        <v>-111.77877660784961</v>
      </c>
    </row>
    <row r="14" spans="2:13" ht="12" customHeight="1" thickBot="1">
      <c r="B14" s="24" t="s">
        <v>29</v>
      </c>
      <c r="C14" s="25">
        <f>194043+6500</f>
        <v>200543</v>
      </c>
      <c r="D14" s="26">
        <v>65066</v>
      </c>
      <c r="E14" s="27">
        <f t="shared" si="3"/>
        <v>32.444912063746926</v>
      </c>
      <c r="F14" s="26"/>
      <c r="G14" s="27">
        <f t="shared" si="4"/>
        <v>0</v>
      </c>
      <c r="H14" s="26"/>
      <c r="I14" s="194">
        <f t="shared" si="0"/>
        <v>0</v>
      </c>
      <c r="J14" s="26"/>
      <c r="K14" s="39">
        <f t="shared" si="1"/>
        <v>0</v>
      </c>
      <c r="L14" s="38">
        <f t="shared" si="2"/>
        <v>135477</v>
      </c>
      <c r="M14" s="81">
        <f t="shared" si="5"/>
        <v>67.55508793625307</v>
      </c>
    </row>
    <row r="15" spans="2:13" s="35" customFormat="1" ht="12" customHeight="1" thickBot="1">
      <c r="B15" s="32" t="s">
        <v>39</v>
      </c>
      <c r="C15" s="29">
        <f>SUM(C5:C14)</f>
        <v>6037907</v>
      </c>
      <c r="D15" s="29">
        <f>SUM(D5:D14)</f>
        <v>5120888</v>
      </c>
      <c r="E15" s="63">
        <f t="shared" si="3"/>
        <v>84.81230333623887</v>
      </c>
      <c r="F15" s="29">
        <f>SUM(F5:F14)</f>
        <v>10524</v>
      </c>
      <c r="G15" s="63">
        <f t="shared" si="4"/>
        <v>0.1742988091734437</v>
      </c>
      <c r="H15" s="29">
        <f>SUM(H5:H14)</f>
        <v>0</v>
      </c>
      <c r="I15" s="63">
        <f t="shared" si="0"/>
        <v>0</v>
      </c>
      <c r="J15" s="29">
        <f>SUM(J5:J14)</f>
        <v>412972</v>
      </c>
      <c r="K15" s="33">
        <f t="shared" si="1"/>
        <v>6.839654867158437</v>
      </c>
      <c r="L15" s="29">
        <f>SUM(L5:L14)</f>
        <v>493523</v>
      </c>
      <c r="M15" s="82">
        <f t="shared" si="5"/>
        <v>8.173742987429252</v>
      </c>
    </row>
    <row r="16" spans="2:13" s="88" customFormat="1" ht="12" customHeight="1">
      <c r="B16" s="120" t="s">
        <v>12</v>
      </c>
      <c r="C16" s="20">
        <v>32597</v>
      </c>
      <c r="D16" s="83">
        <v>4617</v>
      </c>
      <c r="E16" s="22">
        <f aca="true" t="shared" si="6" ref="E16:E24">SUM(D16/C16)*100</f>
        <v>14.16388011166672</v>
      </c>
      <c r="F16" s="83"/>
      <c r="G16" s="84">
        <f aca="true" t="shared" si="7" ref="G16:G23">SUM(F16/C16)*100</f>
        <v>0</v>
      </c>
      <c r="H16" s="83"/>
      <c r="I16" s="85">
        <f t="shared" si="0"/>
        <v>0</v>
      </c>
      <c r="J16" s="86"/>
      <c r="K16" s="87">
        <f t="shared" si="1"/>
        <v>0</v>
      </c>
      <c r="L16" s="16">
        <f>SUM(C16-D16-F16-H16-J16)</f>
        <v>27980</v>
      </c>
      <c r="M16" s="23">
        <f aca="true" t="shared" si="8" ref="M16:M24">SUM(L16/C16)*100</f>
        <v>85.83611988833329</v>
      </c>
    </row>
    <row r="17" spans="2:13" s="88" customFormat="1" ht="12" customHeight="1">
      <c r="B17" s="120" t="s">
        <v>26</v>
      </c>
      <c r="C17" s="20">
        <v>54922</v>
      </c>
      <c r="D17" s="83">
        <v>19678</v>
      </c>
      <c r="E17" s="22">
        <f t="shared" si="6"/>
        <v>35.828993845817706</v>
      </c>
      <c r="F17" s="83"/>
      <c r="G17" s="84">
        <f t="shared" si="7"/>
        <v>0</v>
      </c>
      <c r="H17" s="83">
        <v>32927</v>
      </c>
      <c r="I17" s="85">
        <f t="shared" si="0"/>
        <v>59.952295983394635</v>
      </c>
      <c r="J17" s="86"/>
      <c r="K17" s="87">
        <f t="shared" si="1"/>
        <v>0</v>
      </c>
      <c r="L17" s="16">
        <f>SUM(C17-D17-F17-H17-J17)</f>
        <v>2317</v>
      </c>
      <c r="M17" s="23">
        <f t="shared" si="8"/>
        <v>4.218710170787662</v>
      </c>
    </row>
    <row r="18" spans="2:13" s="88" customFormat="1" ht="12" customHeight="1">
      <c r="B18" s="120" t="s">
        <v>32</v>
      </c>
      <c r="C18" s="20">
        <v>69511</v>
      </c>
      <c r="D18" s="83">
        <v>9</v>
      </c>
      <c r="E18" s="22">
        <f t="shared" si="6"/>
        <v>0.012947591028758039</v>
      </c>
      <c r="F18" s="83"/>
      <c r="G18" s="84">
        <f t="shared" si="7"/>
        <v>0</v>
      </c>
      <c r="H18" s="83">
        <v>47482</v>
      </c>
      <c r="I18" s="85">
        <f t="shared" si="0"/>
        <v>68.30861302527657</v>
      </c>
      <c r="J18" s="86"/>
      <c r="K18" s="87">
        <f t="shared" si="1"/>
        <v>0</v>
      </c>
      <c r="L18" s="16">
        <f>SUM(C18-D18-F18-H18-J18)</f>
        <v>22020</v>
      </c>
      <c r="M18" s="23">
        <f t="shared" si="8"/>
        <v>31.678439383694666</v>
      </c>
    </row>
    <row r="19" spans="2:13" s="88" customFormat="1" ht="12" customHeight="1">
      <c r="B19" s="120" t="s">
        <v>28</v>
      </c>
      <c r="C19" s="20">
        <v>22443</v>
      </c>
      <c r="D19" s="83">
        <v>3</v>
      </c>
      <c r="E19" s="22">
        <f t="shared" si="6"/>
        <v>0.01336719689881032</v>
      </c>
      <c r="F19" s="83"/>
      <c r="G19" s="84">
        <f t="shared" si="7"/>
        <v>0</v>
      </c>
      <c r="H19" s="83">
        <v>15722</v>
      </c>
      <c r="I19" s="85">
        <f t="shared" si="0"/>
        <v>70.05302321436528</v>
      </c>
      <c r="J19" s="86"/>
      <c r="K19" s="87">
        <f t="shared" si="1"/>
        <v>0</v>
      </c>
      <c r="L19" s="16">
        <f>SUM(C19-D19-F19-H19-J19)</f>
        <v>6718</v>
      </c>
      <c r="M19" s="23">
        <f t="shared" si="8"/>
        <v>29.93360958873591</v>
      </c>
    </row>
    <row r="20" spans="2:13" s="88" customFormat="1" ht="12" customHeight="1" thickBot="1">
      <c r="B20" s="121" t="s">
        <v>27</v>
      </c>
      <c r="C20" s="25">
        <v>34453</v>
      </c>
      <c r="D20" s="89">
        <v>2614</v>
      </c>
      <c r="E20" s="27">
        <f t="shared" si="6"/>
        <v>7.587147708472412</v>
      </c>
      <c r="F20" s="89"/>
      <c r="G20" s="90">
        <f t="shared" si="7"/>
        <v>0</v>
      </c>
      <c r="H20" s="89">
        <v>20679</v>
      </c>
      <c r="I20" s="85">
        <f t="shared" si="0"/>
        <v>60.02089803500421</v>
      </c>
      <c r="J20" s="91"/>
      <c r="K20" s="87">
        <f t="shared" si="1"/>
        <v>0</v>
      </c>
      <c r="L20" s="16">
        <f>SUM(C20-D20-F20-H20-J20)</f>
        <v>11160</v>
      </c>
      <c r="M20" s="81">
        <f t="shared" si="8"/>
        <v>32.391954256523384</v>
      </c>
    </row>
    <row r="21" spans="2:13" s="35" customFormat="1" ht="12" customHeight="1" thickBot="1">
      <c r="B21" s="32" t="s">
        <v>38</v>
      </c>
      <c r="C21" s="29">
        <f>SUM(C16:C20)</f>
        <v>213926</v>
      </c>
      <c r="D21" s="29">
        <f aca="true" t="shared" si="9" ref="D21:L21">SUM(D16:D20)</f>
        <v>26921</v>
      </c>
      <c r="E21" s="33">
        <f t="shared" si="6"/>
        <v>12.58425810794387</v>
      </c>
      <c r="F21" s="29">
        <f t="shared" si="9"/>
        <v>0</v>
      </c>
      <c r="G21" s="33">
        <f t="shared" si="7"/>
        <v>0</v>
      </c>
      <c r="H21" s="29">
        <f t="shared" si="9"/>
        <v>116810</v>
      </c>
      <c r="I21" s="63">
        <f aca="true" t="shared" si="10" ref="I21:I39">SUM(H21/C21)*100</f>
        <v>54.60299355852024</v>
      </c>
      <c r="J21" s="29">
        <f>SUM(J16:J20)</f>
        <v>0</v>
      </c>
      <c r="K21" s="33">
        <f aca="true" t="shared" si="11" ref="K21:K39">SUM(J21/C21)*100</f>
        <v>0</v>
      </c>
      <c r="L21" s="29">
        <f t="shared" si="9"/>
        <v>70195</v>
      </c>
      <c r="M21" s="48">
        <f t="shared" si="8"/>
        <v>32.81274833353589</v>
      </c>
    </row>
    <row r="22" spans="2:13" ht="12" customHeight="1">
      <c r="B22" s="92" t="s">
        <v>50</v>
      </c>
      <c r="C22" s="93">
        <f>537385+2634</f>
        <v>540019</v>
      </c>
      <c r="D22" s="94">
        <v>143000</v>
      </c>
      <c r="E22" s="95">
        <f t="shared" si="6"/>
        <v>26.480549758434424</v>
      </c>
      <c r="F22" s="94"/>
      <c r="G22" s="95">
        <f t="shared" si="7"/>
        <v>0</v>
      </c>
      <c r="H22" s="94"/>
      <c r="I22" s="96">
        <f>SUM(H22/C22)*100</f>
        <v>0</v>
      </c>
      <c r="J22" s="94">
        <v>10754</v>
      </c>
      <c r="K22" s="95">
        <f>SUM(J22/C22)*100</f>
        <v>1.9914114133021248</v>
      </c>
      <c r="L22" s="94">
        <f>SUM(C22-D22-F22-H22-J22)</f>
        <v>386265</v>
      </c>
      <c r="M22" s="97">
        <f t="shared" si="8"/>
        <v>71.52803882826345</v>
      </c>
    </row>
    <row r="23" spans="2:13" ht="12" customHeight="1" thickBot="1">
      <c r="B23" s="45" t="s">
        <v>51</v>
      </c>
      <c r="C23" s="30">
        <f>786223+3854</f>
        <v>790077</v>
      </c>
      <c r="D23" s="31">
        <v>322000</v>
      </c>
      <c r="E23" s="46">
        <f t="shared" si="6"/>
        <v>40.755521297291274</v>
      </c>
      <c r="F23" s="31"/>
      <c r="G23" s="46">
        <f t="shared" si="7"/>
        <v>0</v>
      </c>
      <c r="H23" s="31"/>
      <c r="I23" s="72">
        <f>SUM(H23/C23)*100</f>
        <v>0</v>
      </c>
      <c r="J23" s="31">
        <v>15734</v>
      </c>
      <c r="K23" s="46">
        <f>SUM(J23/C23)*100</f>
        <v>1.9914514661229221</v>
      </c>
      <c r="L23" s="31">
        <f>SUM(C23-D23-F23-H23-J23)</f>
        <v>452343</v>
      </c>
      <c r="M23" s="47">
        <f t="shared" si="8"/>
        <v>57.253027236585794</v>
      </c>
    </row>
    <row r="24" spans="2:13" ht="12" customHeight="1" thickBot="1">
      <c r="B24" s="32" t="s">
        <v>52</v>
      </c>
      <c r="C24" s="29">
        <f>SUM(C22:C23)</f>
        <v>1330096</v>
      </c>
      <c r="D24" s="29">
        <f>SUM(D22:D23)</f>
        <v>465000</v>
      </c>
      <c r="E24" s="63">
        <f t="shared" si="6"/>
        <v>34.95988259494052</v>
      </c>
      <c r="F24" s="29">
        <f aca="true" t="shared" si="12" ref="F24:L24">SUM(F22:F23)</f>
        <v>0</v>
      </c>
      <c r="G24" s="63">
        <f t="shared" si="12"/>
        <v>0</v>
      </c>
      <c r="H24" s="29">
        <f t="shared" si="12"/>
        <v>0</v>
      </c>
      <c r="I24" s="63">
        <f t="shared" si="12"/>
        <v>0</v>
      </c>
      <c r="J24" s="29">
        <f t="shared" si="12"/>
        <v>26488</v>
      </c>
      <c r="K24" s="33">
        <f t="shared" si="12"/>
        <v>3.982862879425047</v>
      </c>
      <c r="L24" s="29">
        <f t="shared" si="12"/>
        <v>838608</v>
      </c>
      <c r="M24" s="82">
        <f t="shared" si="8"/>
        <v>63.04868220038253</v>
      </c>
    </row>
    <row r="25" spans="2:13" ht="12" customHeight="1">
      <c r="B25" s="36" t="s">
        <v>4</v>
      </c>
      <c r="C25" s="37">
        <f>692045+970477</f>
        <v>1662522</v>
      </c>
      <c r="D25" s="38"/>
      <c r="E25" s="39">
        <f aca="true" t="shared" si="13" ref="E25:E45">SUM(D25/C25)*100</f>
        <v>0</v>
      </c>
      <c r="F25" s="38">
        <v>321653</v>
      </c>
      <c r="G25" s="39">
        <f aca="true" t="shared" si="14" ref="G25:G45">SUM(F25/C25)*100</f>
        <v>19.347292847854046</v>
      </c>
      <c r="H25" s="38"/>
      <c r="I25" s="194">
        <f t="shared" si="10"/>
        <v>0</v>
      </c>
      <c r="J25" s="38">
        <v>51800</v>
      </c>
      <c r="K25" s="39">
        <f t="shared" si="11"/>
        <v>3.115748242730021</v>
      </c>
      <c r="L25" s="38">
        <f>SUM(C25-D25-F25-H25-J25)</f>
        <v>1289069</v>
      </c>
      <c r="M25" s="40">
        <f aca="true" t="shared" si="15" ref="M25:M45">SUM(L25/C25)*100</f>
        <v>77.53695890941593</v>
      </c>
    </row>
    <row r="26" spans="2:13" ht="12" customHeight="1" thickBot="1">
      <c r="B26" s="19" t="s">
        <v>49</v>
      </c>
      <c r="C26" s="20">
        <v>1000</v>
      </c>
      <c r="D26" s="21"/>
      <c r="E26" s="22">
        <f t="shared" si="13"/>
        <v>0</v>
      </c>
      <c r="F26" s="21"/>
      <c r="G26" s="22">
        <f t="shared" si="14"/>
        <v>0</v>
      </c>
      <c r="H26" s="21"/>
      <c r="I26" s="195">
        <f t="shared" si="10"/>
        <v>0</v>
      </c>
      <c r="J26" s="21"/>
      <c r="K26" s="22">
        <f t="shared" si="11"/>
        <v>0</v>
      </c>
      <c r="L26" s="21">
        <f>SUM(C26-D26-F26-H26-J26)</f>
        <v>1000</v>
      </c>
      <c r="M26" s="23">
        <f t="shared" si="15"/>
        <v>100</v>
      </c>
    </row>
    <row r="27" spans="2:13" ht="12" customHeight="1" thickBot="1">
      <c r="B27" s="32" t="s">
        <v>40</v>
      </c>
      <c r="C27" s="29">
        <f>SUM(C25:C26)</f>
        <v>1663522</v>
      </c>
      <c r="D27" s="29">
        <f>SUM(D25:D26)</f>
        <v>0</v>
      </c>
      <c r="E27" s="33">
        <f t="shared" si="13"/>
        <v>0</v>
      </c>
      <c r="F27" s="29">
        <f>SUM(F25:F26)</f>
        <v>321653</v>
      </c>
      <c r="G27" s="33">
        <f t="shared" si="14"/>
        <v>19.335662528057938</v>
      </c>
      <c r="H27" s="29">
        <f>SUM(H25:H26)</f>
        <v>0</v>
      </c>
      <c r="I27" s="63">
        <f t="shared" si="10"/>
        <v>0</v>
      </c>
      <c r="J27" s="29">
        <f>SUM(J25)</f>
        <v>51800</v>
      </c>
      <c r="K27" s="33">
        <f t="shared" si="11"/>
        <v>3.113875259840267</v>
      </c>
      <c r="L27" s="29">
        <f>SUM(L25:L26)</f>
        <v>1290069</v>
      </c>
      <c r="M27" s="48">
        <f t="shared" si="15"/>
        <v>77.55046221210179</v>
      </c>
    </row>
    <row r="28" spans="2:13" s="99" customFormat="1" ht="12" customHeight="1" thickBot="1">
      <c r="B28" s="36" t="s">
        <v>7</v>
      </c>
      <c r="C28" s="37">
        <v>216171</v>
      </c>
      <c r="D28" s="38">
        <v>4200</v>
      </c>
      <c r="E28" s="39">
        <f t="shared" si="13"/>
        <v>1.9429063102821376</v>
      </c>
      <c r="F28" s="38">
        <f>43399+27840+67735</f>
        <v>138974</v>
      </c>
      <c r="G28" s="39">
        <f t="shared" si="14"/>
        <v>64.28891942027376</v>
      </c>
      <c r="H28" s="38"/>
      <c r="I28" s="194">
        <f t="shared" si="10"/>
        <v>0</v>
      </c>
      <c r="J28" s="38">
        <v>2240</v>
      </c>
      <c r="K28" s="39">
        <f t="shared" si="11"/>
        <v>1.0362166988171402</v>
      </c>
      <c r="L28" s="38">
        <f>SUM(C28-D28-F28-H28-J28)</f>
        <v>70757</v>
      </c>
      <c r="M28" s="40">
        <f t="shared" si="15"/>
        <v>32.73195757062696</v>
      </c>
    </row>
    <row r="29" spans="2:13" s="99" customFormat="1" ht="12" customHeight="1" thickBot="1">
      <c r="B29" s="32" t="s">
        <v>41</v>
      </c>
      <c r="C29" s="29">
        <f>SUM(C28)</f>
        <v>216171</v>
      </c>
      <c r="D29" s="196">
        <f>SUM(D28)</f>
        <v>4200</v>
      </c>
      <c r="E29" s="34">
        <f t="shared" si="13"/>
        <v>1.9429063102821376</v>
      </c>
      <c r="F29" s="196">
        <f>SUM(F28)</f>
        <v>138974</v>
      </c>
      <c r="G29" s="34">
        <f t="shared" si="14"/>
        <v>64.28891942027376</v>
      </c>
      <c r="H29" s="196">
        <f>SUM(H28)</f>
        <v>0</v>
      </c>
      <c r="I29" s="197">
        <f t="shared" si="10"/>
        <v>0</v>
      </c>
      <c r="J29" s="196">
        <f>SUM(J28)</f>
        <v>2240</v>
      </c>
      <c r="K29" s="34">
        <f t="shared" si="11"/>
        <v>1.0362166988171402</v>
      </c>
      <c r="L29" s="196">
        <f>SUM(L28)</f>
        <v>70757</v>
      </c>
      <c r="M29" s="198">
        <f t="shared" si="15"/>
        <v>32.73195757062696</v>
      </c>
    </row>
    <row r="30" spans="2:13" s="99" customFormat="1" ht="12" customHeight="1">
      <c r="B30" s="14" t="s">
        <v>8</v>
      </c>
      <c r="C30" s="15">
        <v>216978</v>
      </c>
      <c r="D30" s="16"/>
      <c r="E30" s="17">
        <f t="shared" si="13"/>
        <v>0</v>
      </c>
      <c r="F30" s="16">
        <v>34880</v>
      </c>
      <c r="G30" s="17">
        <f t="shared" si="14"/>
        <v>16.07536247914535</v>
      </c>
      <c r="H30" s="16"/>
      <c r="I30" s="71">
        <f t="shared" si="10"/>
        <v>0</v>
      </c>
      <c r="J30" s="16"/>
      <c r="K30" s="17">
        <f t="shared" si="11"/>
        <v>0</v>
      </c>
      <c r="L30" s="16">
        <f>SUM(C30-D30-F30-H30-J30)</f>
        <v>182098</v>
      </c>
      <c r="M30" s="18">
        <f t="shared" si="15"/>
        <v>83.92463752085465</v>
      </c>
    </row>
    <row r="31" spans="2:13" s="99" customFormat="1" ht="12" customHeight="1">
      <c r="B31" s="19" t="s">
        <v>100</v>
      </c>
      <c r="C31" s="20">
        <v>129054</v>
      </c>
      <c r="D31" s="21">
        <v>14676</v>
      </c>
      <c r="E31" s="22">
        <f t="shared" si="13"/>
        <v>11.371983820726207</v>
      </c>
      <c r="F31" s="21">
        <f>22440+50</f>
        <v>22490</v>
      </c>
      <c r="G31" s="22">
        <f t="shared" si="14"/>
        <v>17.42681358191145</v>
      </c>
      <c r="H31" s="21"/>
      <c r="I31" s="71">
        <f t="shared" si="10"/>
        <v>0</v>
      </c>
      <c r="J31" s="16"/>
      <c r="K31" s="17">
        <f t="shared" si="11"/>
        <v>0</v>
      </c>
      <c r="L31" s="16">
        <f aca="true" t="shared" si="16" ref="L31:L39">SUM(C31-D31-F31-H31-J31)</f>
        <v>91888</v>
      </c>
      <c r="M31" s="23">
        <f t="shared" si="15"/>
        <v>71.20120259736234</v>
      </c>
    </row>
    <row r="32" spans="2:13" s="99" customFormat="1" ht="12" customHeight="1">
      <c r="B32" s="19" t="s">
        <v>101</v>
      </c>
      <c r="C32" s="20">
        <v>57677</v>
      </c>
      <c r="D32" s="21">
        <v>13240</v>
      </c>
      <c r="E32" s="22">
        <f t="shared" si="13"/>
        <v>22.955424172547115</v>
      </c>
      <c r="F32" s="21">
        <f>11392+9263</f>
        <v>20655</v>
      </c>
      <c r="G32" s="22">
        <f t="shared" si="14"/>
        <v>35.8115019851934</v>
      </c>
      <c r="H32" s="21"/>
      <c r="I32" s="71">
        <f t="shared" si="10"/>
        <v>0</v>
      </c>
      <c r="J32" s="16"/>
      <c r="K32" s="17">
        <f t="shared" si="11"/>
        <v>0</v>
      </c>
      <c r="L32" s="16">
        <f t="shared" si="16"/>
        <v>23782</v>
      </c>
      <c r="M32" s="23">
        <f t="shared" si="15"/>
        <v>41.23307384225948</v>
      </c>
    </row>
    <row r="33" spans="2:13" s="99" customFormat="1" ht="12" customHeight="1">
      <c r="B33" s="19" t="s">
        <v>9</v>
      </c>
      <c r="C33" s="20">
        <v>106575</v>
      </c>
      <c r="D33" s="21">
        <v>28384</v>
      </c>
      <c r="E33" s="22">
        <f t="shared" si="13"/>
        <v>26.632887637813745</v>
      </c>
      <c r="F33" s="21">
        <v>22144</v>
      </c>
      <c r="G33" s="22">
        <f t="shared" si="14"/>
        <v>20.777855969974198</v>
      </c>
      <c r="H33" s="21"/>
      <c r="I33" s="71">
        <f t="shared" si="10"/>
        <v>0</v>
      </c>
      <c r="J33" s="16"/>
      <c r="K33" s="17">
        <f t="shared" si="11"/>
        <v>0</v>
      </c>
      <c r="L33" s="16">
        <f t="shared" si="16"/>
        <v>56047</v>
      </c>
      <c r="M33" s="23">
        <f t="shared" si="15"/>
        <v>52.58925639221206</v>
      </c>
    </row>
    <row r="34" spans="2:13" s="99" customFormat="1" ht="12" customHeight="1">
      <c r="B34" s="19" t="s">
        <v>10</v>
      </c>
      <c r="C34" s="20">
        <v>1955</v>
      </c>
      <c r="D34" s="21"/>
      <c r="E34" s="22">
        <f t="shared" si="13"/>
        <v>0</v>
      </c>
      <c r="F34" s="21"/>
      <c r="G34" s="22">
        <f t="shared" si="14"/>
        <v>0</v>
      </c>
      <c r="H34" s="21">
        <v>1955</v>
      </c>
      <c r="I34" s="71">
        <f t="shared" si="10"/>
        <v>100</v>
      </c>
      <c r="J34" s="16"/>
      <c r="K34" s="17">
        <f t="shared" si="11"/>
        <v>0</v>
      </c>
      <c r="L34" s="16">
        <f t="shared" si="16"/>
        <v>0</v>
      </c>
      <c r="M34" s="23">
        <f t="shared" si="15"/>
        <v>0</v>
      </c>
    </row>
    <row r="35" spans="2:13" s="99" customFormat="1" ht="12" customHeight="1">
      <c r="B35" s="19" t="s">
        <v>97</v>
      </c>
      <c r="C35" s="20">
        <f>72867-3865</f>
        <v>69002</v>
      </c>
      <c r="D35" s="21"/>
      <c r="E35" s="22">
        <f t="shared" si="13"/>
        <v>0</v>
      </c>
      <c r="F35" s="21">
        <f>7260</f>
        <v>7260</v>
      </c>
      <c r="G35" s="22">
        <f t="shared" si="14"/>
        <v>10.521434161328658</v>
      </c>
      <c r="H35" s="21"/>
      <c r="I35" s="71">
        <f t="shared" si="10"/>
        <v>0</v>
      </c>
      <c r="J35" s="16">
        <v>7189</v>
      </c>
      <c r="K35" s="17">
        <f t="shared" si="11"/>
        <v>10.418538593084259</v>
      </c>
      <c r="L35" s="16">
        <f t="shared" si="16"/>
        <v>54553</v>
      </c>
      <c r="M35" s="23">
        <f t="shared" si="15"/>
        <v>79.06002724558708</v>
      </c>
    </row>
    <row r="36" spans="2:13" s="99" customFormat="1" ht="12" customHeight="1">
      <c r="B36" s="19" t="s">
        <v>11</v>
      </c>
      <c r="C36" s="20">
        <v>85187</v>
      </c>
      <c r="D36" s="21"/>
      <c r="E36" s="22">
        <f t="shared" si="13"/>
        <v>0</v>
      </c>
      <c r="F36" s="21">
        <f>7480</f>
        <v>7480</v>
      </c>
      <c r="G36" s="22">
        <f t="shared" si="14"/>
        <v>8.780682498503293</v>
      </c>
      <c r="H36" s="21"/>
      <c r="I36" s="71">
        <f t="shared" si="10"/>
        <v>0</v>
      </c>
      <c r="J36" s="16"/>
      <c r="K36" s="17">
        <f t="shared" si="11"/>
        <v>0</v>
      </c>
      <c r="L36" s="16">
        <f t="shared" si="16"/>
        <v>77707</v>
      </c>
      <c r="M36" s="23">
        <f t="shared" si="15"/>
        <v>91.2193175014967</v>
      </c>
    </row>
    <row r="37" spans="2:13" s="99" customFormat="1" ht="12" customHeight="1">
      <c r="B37" s="24" t="s">
        <v>98</v>
      </c>
      <c r="C37" s="25">
        <v>57213</v>
      </c>
      <c r="D37" s="26"/>
      <c r="E37" s="27">
        <f t="shared" si="13"/>
        <v>0</v>
      </c>
      <c r="F37" s="26">
        <v>90</v>
      </c>
      <c r="G37" s="22">
        <f t="shared" si="14"/>
        <v>0.15730690577316345</v>
      </c>
      <c r="H37" s="26"/>
      <c r="I37" s="194">
        <f t="shared" si="10"/>
        <v>0</v>
      </c>
      <c r="J37" s="38"/>
      <c r="K37" s="17">
        <f t="shared" si="11"/>
        <v>0</v>
      </c>
      <c r="L37" s="16">
        <f t="shared" si="16"/>
        <v>57123</v>
      </c>
      <c r="M37" s="23">
        <f t="shared" si="15"/>
        <v>99.84269309422685</v>
      </c>
    </row>
    <row r="38" spans="2:13" s="99" customFormat="1" ht="12" customHeight="1">
      <c r="B38" s="24" t="s">
        <v>54</v>
      </c>
      <c r="C38" s="25">
        <v>13367</v>
      </c>
      <c r="D38" s="26"/>
      <c r="E38" s="27">
        <f t="shared" si="13"/>
        <v>0</v>
      </c>
      <c r="F38" s="26"/>
      <c r="G38" s="22">
        <f t="shared" si="14"/>
        <v>0</v>
      </c>
      <c r="H38" s="26"/>
      <c r="I38" s="195">
        <f t="shared" si="10"/>
        <v>0</v>
      </c>
      <c r="J38" s="21"/>
      <c r="K38" s="22">
        <f t="shared" si="11"/>
        <v>0</v>
      </c>
      <c r="L38" s="16">
        <f t="shared" si="16"/>
        <v>13367</v>
      </c>
      <c r="M38" s="23">
        <f t="shared" si="15"/>
        <v>100</v>
      </c>
    </row>
    <row r="39" spans="2:13" s="99" customFormat="1" ht="12" customHeight="1" thickBot="1">
      <c r="B39" s="45" t="s">
        <v>102</v>
      </c>
      <c r="C39" s="30">
        <v>28817</v>
      </c>
      <c r="D39" s="31"/>
      <c r="E39" s="46">
        <f t="shared" si="13"/>
        <v>0</v>
      </c>
      <c r="F39" s="31">
        <f>3400+6150</f>
        <v>9550</v>
      </c>
      <c r="G39" s="46">
        <f t="shared" si="14"/>
        <v>33.14016032203214</v>
      </c>
      <c r="H39" s="31"/>
      <c r="I39" s="72">
        <f t="shared" si="10"/>
        <v>0</v>
      </c>
      <c r="J39" s="31"/>
      <c r="K39" s="46">
        <f t="shared" si="11"/>
        <v>0</v>
      </c>
      <c r="L39" s="31">
        <f t="shared" si="16"/>
        <v>19267</v>
      </c>
      <c r="M39" s="47">
        <f t="shared" si="15"/>
        <v>66.85983967796787</v>
      </c>
    </row>
    <row r="40" spans="2:13" s="35" customFormat="1" ht="12" customHeight="1" thickBot="1">
      <c r="B40" s="199" t="s">
        <v>42</v>
      </c>
      <c r="C40" s="29">
        <f>SUM(C30:C39)</f>
        <v>765825</v>
      </c>
      <c r="D40" s="196">
        <f>SUM(D30:D39)</f>
        <v>56300</v>
      </c>
      <c r="E40" s="34">
        <f t="shared" si="13"/>
        <v>7.351548983122775</v>
      </c>
      <c r="F40" s="196">
        <f>SUM(F30:F39)</f>
        <v>124549</v>
      </c>
      <c r="G40" s="34">
        <f t="shared" si="14"/>
        <v>16.263376097672445</v>
      </c>
      <c r="H40" s="196">
        <f>SUM(H30:H39)</f>
        <v>1955</v>
      </c>
      <c r="I40" s="197">
        <f aca="true" t="shared" si="17" ref="I40:I45">SUM(H40/C40)*100</f>
        <v>0.2552802533215813</v>
      </c>
      <c r="J40" s="196">
        <f>SUM(J30:J39)</f>
        <v>7189</v>
      </c>
      <c r="K40" s="34">
        <f aca="true" t="shared" si="18" ref="K40:K45">SUM(J40/C40)*100</f>
        <v>0.9387262102960859</v>
      </c>
      <c r="L40" s="196">
        <f>SUM(L30:L39)</f>
        <v>575832</v>
      </c>
      <c r="M40" s="198">
        <f t="shared" si="15"/>
        <v>75.1910684555871</v>
      </c>
    </row>
    <row r="41" spans="2:13" s="35" customFormat="1" ht="12" customHeight="1" thickBot="1">
      <c r="B41" s="138" t="s">
        <v>44</v>
      </c>
      <c r="C41" s="41">
        <v>182329</v>
      </c>
      <c r="D41" s="200">
        <v>3500</v>
      </c>
      <c r="E41" s="201">
        <f t="shared" si="13"/>
        <v>1.9196068645141475</v>
      </c>
      <c r="F41" s="200">
        <f>32080+20382+13965+46581</f>
        <v>113008</v>
      </c>
      <c r="G41" s="201">
        <f t="shared" si="14"/>
        <v>61.980266441432796</v>
      </c>
      <c r="H41" s="200"/>
      <c r="I41" s="202">
        <f t="shared" si="17"/>
        <v>0</v>
      </c>
      <c r="J41" s="200">
        <v>4121</v>
      </c>
      <c r="K41" s="34">
        <f t="shared" si="18"/>
        <v>2.260199968189372</v>
      </c>
      <c r="L41" s="200">
        <f>SUM(C41-D41-F41-H41-J41)</f>
        <v>61700</v>
      </c>
      <c r="M41" s="203">
        <f t="shared" si="15"/>
        <v>33.839926725863684</v>
      </c>
    </row>
    <row r="42" spans="2:13" s="35" customFormat="1" ht="12" customHeight="1" thickBot="1">
      <c r="B42" s="32" t="s">
        <v>45</v>
      </c>
      <c r="C42" s="29">
        <v>109003</v>
      </c>
      <c r="D42" s="196">
        <v>3000</v>
      </c>
      <c r="E42" s="34">
        <f t="shared" si="13"/>
        <v>2.7522178288670953</v>
      </c>
      <c r="F42" s="196">
        <f>802+11118+7350+27848</f>
        <v>47118</v>
      </c>
      <c r="G42" s="34">
        <f t="shared" si="14"/>
        <v>43.2263332201866</v>
      </c>
      <c r="H42" s="196"/>
      <c r="I42" s="197">
        <f t="shared" si="17"/>
        <v>0</v>
      </c>
      <c r="J42" s="196">
        <v>1234</v>
      </c>
      <c r="K42" s="204">
        <f t="shared" si="18"/>
        <v>1.132078933607332</v>
      </c>
      <c r="L42" s="205">
        <f>SUM(C42-D42-F42-H42-J42)</f>
        <v>57651</v>
      </c>
      <c r="M42" s="206">
        <f t="shared" si="15"/>
        <v>52.889370017338976</v>
      </c>
    </row>
    <row r="43" spans="2:13" s="35" customFormat="1" ht="12" customHeight="1" thickBot="1">
      <c r="B43" s="32" t="s">
        <v>46</v>
      </c>
      <c r="C43" s="29">
        <v>192408</v>
      </c>
      <c r="D43" s="196">
        <v>22500</v>
      </c>
      <c r="E43" s="34">
        <f t="shared" si="13"/>
        <v>11.693900461519272</v>
      </c>
      <c r="F43" s="196">
        <f>19191+13230+1604+49157</f>
        <v>83182</v>
      </c>
      <c r="G43" s="34">
        <f t="shared" si="14"/>
        <v>43.232090141782045</v>
      </c>
      <c r="H43" s="196"/>
      <c r="I43" s="197">
        <f t="shared" si="17"/>
        <v>0</v>
      </c>
      <c r="J43" s="196">
        <v>3091</v>
      </c>
      <c r="K43" s="204">
        <f t="shared" si="18"/>
        <v>1.6064820589580475</v>
      </c>
      <c r="L43" s="205">
        <f>SUM(C43-D43-F43-H43-J43)</f>
        <v>83635</v>
      </c>
      <c r="M43" s="206">
        <f t="shared" si="15"/>
        <v>43.467527337740634</v>
      </c>
    </row>
    <row r="44" spans="2:13" s="35" customFormat="1" ht="12" customHeight="1" thickBot="1">
      <c r="B44" s="138" t="s">
        <v>47</v>
      </c>
      <c r="C44" s="41">
        <v>137592</v>
      </c>
      <c r="D44" s="200">
        <v>2350</v>
      </c>
      <c r="E44" s="201">
        <f t="shared" si="13"/>
        <v>1.7079481365195652</v>
      </c>
      <c r="F44" s="200">
        <f>401+8820+11912+35152</f>
        <v>56285</v>
      </c>
      <c r="G44" s="201">
        <f t="shared" si="14"/>
        <v>40.90717483574626</v>
      </c>
      <c r="H44" s="200"/>
      <c r="I44" s="202">
        <f t="shared" si="17"/>
        <v>0</v>
      </c>
      <c r="J44" s="200">
        <v>2273</v>
      </c>
      <c r="K44" s="34">
        <f t="shared" si="18"/>
        <v>1.651985580557009</v>
      </c>
      <c r="L44" s="200">
        <f>SUM(C44-D44-F44-H44-J44)</f>
        <v>76684</v>
      </c>
      <c r="M44" s="203">
        <f t="shared" si="15"/>
        <v>55.73289144717716</v>
      </c>
    </row>
    <row r="45" spans="2:13" s="4" customFormat="1" ht="12" customHeight="1" thickBot="1">
      <c r="B45" s="28" t="s">
        <v>17</v>
      </c>
      <c r="C45" s="29">
        <f>SUM(C40,C29,C27,C21,C15,C41,C42,C43,C44,C24)</f>
        <v>10848779</v>
      </c>
      <c r="D45" s="29">
        <f>SUM(D40,D29,D27,D21,D15,D41,D42,D43,D44,D24)</f>
        <v>5704659</v>
      </c>
      <c r="E45" s="33">
        <f t="shared" si="13"/>
        <v>52.58341975626934</v>
      </c>
      <c r="F45" s="29">
        <f>SUM(F40,F29,F27,F21,F15,F41,F42,F43,F44,F24)</f>
        <v>895293</v>
      </c>
      <c r="G45" s="33">
        <f t="shared" si="14"/>
        <v>8.252477075991685</v>
      </c>
      <c r="H45" s="29">
        <f>SUM(H40,H29,H27,H21,H15,H41,H42,H43,H44)</f>
        <v>118765</v>
      </c>
      <c r="I45" s="63">
        <f t="shared" si="17"/>
        <v>1.094731490059849</v>
      </c>
      <c r="J45" s="29">
        <f>SUM(J40,J29,J27,J21,J15,J41,J42,J43,J44,J24)</f>
        <v>511408</v>
      </c>
      <c r="K45" s="34">
        <f t="shared" si="18"/>
        <v>4.713968272374245</v>
      </c>
      <c r="L45" s="29">
        <f>SUM(L40,L29,L27,L21,L15,L41,L42,L43,L44,L24)</f>
        <v>3618654</v>
      </c>
      <c r="M45" s="48">
        <f t="shared" si="15"/>
        <v>33.35540340530487</v>
      </c>
    </row>
  </sheetData>
  <sheetProtection/>
  <mergeCells count="2">
    <mergeCell ref="B2:M2"/>
    <mergeCell ref="L1:M1"/>
  </mergeCells>
  <printOptions/>
  <pageMargins left="0.5511811023622047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K48" sqref="K48:L48"/>
    </sheetView>
  </sheetViews>
  <sheetFormatPr defaultColWidth="9.00390625" defaultRowHeight="12.75"/>
  <cols>
    <col min="1" max="1" width="26.00390625" style="99" customWidth="1"/>
    <col min="2" max="2" width="10.125" style="99" customWidth="1"/>
    <col min="3" max="3" width="9.75390625" style="99" customWidth="1"/>
    <col min="4" max="4" width="9.625" style="191" customWidth="1"/>
    <col min="5" max="5" width="11.375" style="99" customWidth="1"/>
    <col min="6" max="6" width="10.375" style="99" customWidth="1"/>
    <col min="7" max="7" width="11.875" style="99" customWidth="1"/>
    <col min="8" max="8" width="9.375" style="99" customWidth="1"/>
    <col min="9" max="9" width="11.25390625" style="99" customWidth="1"/>
    <col min="10" max="10" width="9.75390625" style="99" customWidth="1"/>
    <col min="11" max="11" width="11.75390625" style="99" customWidth="1"/>
    <col min="12" max="12" width="13.375" style="99" customWidth="1"/>
    <col min="13" max="16384" width="9.125" style="99" customWidth="1"/>
  </cols>
  <sheetData>
    <row r="1" spans="1:12" ht="12.75">
      <c r="A1" s="43"/>
      <c r="B1" s="43"/>
      <c r="C1" s="43"/>
      <c r="D1" s="77"/>
      <c r="E1" s="43"/>
      <c r="F1" s="43"/>
      <c r="G1" s="43"/>
      <c r="H1" s="43"/>
      <c r="I1" s="43"/>
      <c r="J1" s="43"/>
      <c r="K1" s="207" t="s">
        <v>31</v>
      </c>
      <c r="L1" s="207"/>
    </row>
    <row r="2" spans="1:12" ht="12.75">
      <c r="A2" s="208" t="s">
        <v>110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3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3.5" thickBot="1">
      <c r="A4" s="141"/>
      <c r="B4" s="141"/>
      <c r="C4" s="141"/>
      <c r="D4" s="142"/>
      <c r="E4" s="143"/>
      <c r="F4" s="144"/>
      <c r="G4" s="143"/>
      <c r="H4" s="144"/>
      <c r="I4" s="144"/>
      <c r="J4" s="144"/>
      <c r="K4" s="145"/>
      <c r="L4" s="60" t="s">
        <v>0</v>
      </c>
    </row>
    <row r="5" spans="1:12" ht="92.25" customHeight="1" thickBot="1">
      <c r="A5" s="146" t="s">
        <v>3</v>
      </c>
      <c r="B5" s="147" t="s">
        <v>69</v>
      </c>
      <c r="C5" s="147" t="s">
        <v>80</v>
      </c>
      <c r="D5" s="148" t="s">
        <v>70</v>
      </c>
      <c r="E5" s="147" t="s">
        <v>104</v>
      </c>
      <c r="F5" s="148" t="s">
        <v>71</v>
      </c>
      <c r="G5" s="147" t="s">
        <v>81</v>
      </c>
      <c r="H5" s="148" t="s">
        <v>73</v>
      </c>
      <c r="I5" s="148" t="s">
        <v>76</v>
      </c>
      <c r="J5" s="148" t="s">
        <v>48</v>
      </c>
      <c r="K5" s="149" t="s">
        <v>74</v>
      </c>
      <c r="L5" s="150" t="s">
        <v>75</v>
      </c>
    </row>
    <row r="6" spans="1:12" ht="12.75">
      <c r="A6" s="100" t="s">
        <v>77</v>
      </c>
      <c r="B6" s="151"/>
      <c r="C6" s="151"/>
      <c r="D6" s="152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79</v>
      </c>
      <c r="B7" s="140">
        <f>15000+12700+21600+44486</f>
        <v>93786</v>
      </c>
      <c r="C7" s="140"/>
      <c r="D7" s="153">
        <f>SUM(C7/B7)*100</f>
        <v>0</v>
      </c>
      <c r="E7" s="21">
        <v>30000</v>
      </c>
      <c r="F7" s="22">
        <f>SUM(E7/B7)*100</f>
        <v>31.987716716780756</v>
      </c>
      <c r="G7" s="21"/>
      <c r="H7" s="22">
        <f>SUM(G7/B7*100)</f>
        <v>0</v>
      </c>
      <c r="I7" s="21">
        <f>93786-30000</f>
        <v>63786</v>
      </c>
      <c r="J7" s="17">
        <f>SUM(I7/B7*100)</f>
        <v>68.01228328321925</v>
      </c>
      <c r="K7" s="21">
        <f>SUM(B7-C7-E7-G7-I7)</f>
        <v>0</v>
      </c>
      <c r="L7" s="23">
        <f>SUM(K7/B7)*100</f>
        <v>0</v>
      </c>
    </row>
    <row r="8" spans="1:12" ht="12.75">
      <c r="A8" s="101" t="s">
        <v>82</v>
      </c>
      <c r="B8" s="140"/>
      <c r="C8" s="140"/>
      <c r="D8" s="153"/>
      <c r="E8" s="21"/>
      <c r="F8" s="22"/>
      <c r="G8" s="21"/>
      <c r="H8" s="22"/>
      <c r="I8" s="21"/>
      <c r="J8" s="17"/>
      <c r="K8" s="21"/>
      <c r="L8" s="23"/>
    </row>
    <row r="9" spans="1:12" ht="12.75">
      <c r="A9" s="14" t="s">
        <v>78</v>
      </c>
      <c r="B9" s="140">
        <v>2616907</v>
      </c>
      <c r="C9" s="140"/>
      <c r="D9" s="153">
        <f>SUM(C9/B9)*100</f>
        <v>0</v>
      </c>
      <c r="E9" s="21"/>
      <c r="F9" s="22">
        <f>SUM(E9/B9)*100</f>
        <v>0</v>
      </c>
      <c r="G9" s="21"/>
      <c r="H9" s="22">
        <f aca="true" t="shared" si="0" ref="H9:H17">SUM(G9/B9*100)</f>
        <v>0</v>
      </c>
      <c r="I9" s="21">
        <v>2616907</v>
      </c>
      <c r="J9" s="17">
        <f>SUM(I9/B9*100)</f>
        <v>100</v>
      </c>
      <c r="K9" s="21">
        <f>SUM(B9-C9-E9-G9-I9)</f>
        <v>0</v>
      </c>
      <c r="L9" s="23">
        <f>SUM(K9/B9)*100</f>
        <v>0</v>
      </c>
    </row>
    <row r="10" spans="1:12" ht="12.75">
      <c r="A10" s="14" t="s">
        <v>105</v>
      </c>
      <c r="B10" s="140">
        <f>13105+20000+1583149+76200+9269+51435+4985656+10000+24000+21300+19000+1694046+2140+1055687+500000+15000</f>
        <v>10079987</v>
      </c>
      <c r="C10" s="140">
        <v>953456</v>
      </c>
      <c r="D10" s="153">
        <f>SUM(C10/B10)*100</f>
        <v>9.458901087868467</v>
      </c>
      <c r="E10" s="21">
        <f>1500000+1627896+300000</f>
        <v>3427896</v>
      </c>
      <c r="F10" s="22">
        <f>SUM(E10/B10)*100</f>
        <v>34.00694862007263</v>
      </c>
      <c r="G10" s="21"/>
      <c r="H10" s="22">
        <f>SUM(G10/B10*100)</f>
        <v>0</v>
      </c>
      <c r="I10" s="21">
        <f>7449064-434284-362689-953456</f>
        <v>5698635</v>
      </c>
      <c r="J10" s="17">
        <f>SUM(I10/B10*100)</f>
        <v>56.534150292058904</v>
      </c>
      <c r="K10" s="21">
        <f>SUM(B10-C10-E10-G10-I10)</f>
        <v>0</v>
      </c>
      <c r="L10" s="23">
        <f>SUM(K10/B10)*100</f>
        <v>0</v>
      </c>
    </row>
    <row r="11" spans="1:12" ht="12.75">
      <c r="A11" s="101" t="s">
        <v>83</v>
      </c>
      <c r="B11" s="140"/>
      <c r="C11" s="140"/>
      <c r="D11" s="153"/>
      <c r="E11" s="21"/>
      <c r="F11" s="22"/>
      <c r="G11" s="21"/>
      <c r="H11" s="22"/>
      <c r="I11" s="21"/>
      <c r="J11" s="17"/>
      <c r="K11" s="21"/>
      <c r="L11" s="154"/>
    </row>
    <row r="12" spans="1:12" ht="12.75">
      <c r="A12" s="14" t="s">
        <v>78</v>
      </c>
      <c r="B12" s="140">
        <v>585057</v>
      </c>
      <c r="C12" s="140"/>
      <c r="D12" s="153">
        <f>SUM(C12/B12)*100</f>
        <v>0</v>
      </c>
      <c r="E12" s="21"/>
      <c r="F12" s="22">
        <f>SUM(E12/B12)*100</f>
        <v>0</v>
      </c>
      <c r="G12" s="21"/>
      <c r="H12" s="22">
        <f>SUM(G12/B12*100)</f>
        <v>0</v>
      </c>
      <c r="I12" s="21">
        <v>585057</v>
      </c>
      <c r="J12" s="17">
        <f>SUM(I12/B12*100)</f>
        <v>100</v>
      </c>
      <c r="K12" s="21">
        <f>SUM(B12-C12-E12-G12-I12)</f>
        <v>0</v>
      </c>
      <c r="L12" s="23">
        <f>SUM(K12/B12)*100</f>
        <v>0</v>
      </c>
    </row>
    <row r="13" spans="1:12" ht="12.75">
      <c r="A13" s="14" t="s">
        <v>79</v>
      </c>
      <c r="B13" s="140">
        <v>309350</v>
      </c>
      <c r="C13" s="140">
        <v>17638</v>
      </c>
      <c r="D13" s="153">
        <f>SUM(C13/B13)*100</f>
        <v>5.70163245514789</v>
      </c>
      <c r="E13" s="21"/>
      <c r="F13" s="22">
        <f>SUM(E13/B13)*100</f>
        <v>0</v>
      </c>
      <c r="G13" s="21"/>
      <c r="H13" s="22">
        <f>SUM(G13/B13*100)</f>
        <v>0</v>
      </c>
      <c r="I13" s="21">
        <f>309350-17638</f>
        <v>291712</v>
      </c>
      <c r="J13" s="17">
        <f>SUM(I13/B13*100)</f>
        <v>94.29836754485211</v>
      </c>
      <c r="K13" s="21">
        <f>SUM(B13-C13-E13-G13-I13)</f>
        <v>0</v>
      </c>
      <c r="L13" s="23">
        <f>SUM(K13/B13)*100</f>
        <v>0</v>
      </c>
    </row>
    <row r="14" spans="1:12" ht="12.75">
      <c r="A14" s="101" t="s">
        <v>84</v>
      </c>
      <c r="B14" s="140"/>
      <c r="C14" s="140"/>
      <c r="D14" s="153"/>
      <c r="E14" s="21"/>
      <c r="F14" s="22"/>
      <c r="G14" s="21"/>
      <c r="H14" s="22"/>
      <c r="I14" s="21"/>
      <c r="J14" s="17"/>
      <c r="K14" s="21"/>
      <c r="L14" s="23"/>
    </row>
    <row r="15" spans="1:12" ht="12.75">
      <c r="A15" s="14" t="s">
        <v>79</v>
      </c>
      <c r="B15" s="140">
        <v>10000</v>
      </c>
      <c r="C15" s="140">
        <v>10000</v>
      </c>
      <c r="D15" s="153">
        <f>SUM(C15/B15)*100</f>
        <v>100</v>
      </c>
      <c r="E15" s="21"/>
      <c r="F15" s="22">
        <f>SUM(E15/B15)*100</f>
        <v>0</v>
      </c>
      <c r="G15" s="21"/>
      <c r="H15" s="22">
        <f t="shared" si="0"/>
        <v>0</v>
      </c>
      <c r="I15" s="21"/>
      <c r="J15" s="17">
        <f>SUM(I15/B15*100)</f>
        <v>0</v>
      </c>
      <c r="K15" s="21">
        <f>SUM(B15-C15-E15-G15-I15)</f>
        <v>0</v>
      </c>
      <c r="L15" s="23">
        <f>SUM(K15/B15)*100</f>
        <v>0</v>
      </c>
    </row>
    <row r="16" spans="1:12" ht="13.5" thickBot="1">
      <c r="A16" s="102" t="s">
        <v>85</v>
      </c>
      <c r="B16" s="155">
        <v>1365874</v>
      </c>
      <c r="C16" s="155"/>
      <c r="D16" s="156">
        <f>SUM(C16/B16)*100</f>
        <v>0</v>
      </c>
      <c r="E16" s="38"/>
      <c r="F16" s="39">
        <f>SUM(E16/B16)*100</f>
        <v>0</v>
      </c>
      <c r="G16" s="38"/>
      <c r="H16" s="39">
        <f t="shared" si="0"/>
        <v>0</v>
      </c>
      <c r="I16" s="38">
        <f>362689+953456+10000+17638+30000-12932</f>
        <v>1360851</v>
      </c>
      <c r="J16" s="39">
        <f>SUM(I16/B16*100)</f>
        <v>99.63225011970357</v>
      </c>
      <c r="K16" s="38">
        <f>SUM(B16-C16-E16-G16-I16)</f>
        <v>5023</v>
      </c>
      <c r="L16" s="40">
        <f>SUM(K16/B16)*100</f>
        <v>0.3677498802964256</v>
      </c>
    </row>
    <row r="17" spans="1:12" s="35" customFormat="1" ht="13.5" thickBot="1">
      <c r="A17" s="32" t="s">
        <v>39</v>
      </c>
      <c r="B17" s="157">
        <f>SUM(B6:B16)</f>
        <v>15060961</v>
      </c>
      <c r="C17" s="157">
        <f>SUM(C6:C15)</f>
        <v>981094</v>
      </c>
      <c r="D17" s="158">
        <f>SUM(C17/B17)*100</f>
        <v>6.514152715752999</v>
      </c>
      <c r="E17" s="157">
        <f>SUM(E6:E15)</f>
        <v>3457896</v>
      </c>
      <c r="F17" s="159">
        <f>SUM(E17/B17*100)</f>
        <v>22.95933174516553</v>
      </c>
      <c r="G17" s="157">
        <f>SUM(G6:G16)</f>
        <v>0</v>
      </c>
      <c r="H17" s="160">
        <f t="shared" si="0"/>
        <v>0</v>
      </c>
      <c r="I17" s="157">
        <f>SUM(I6:I16)</f>
        <v>10616948</v>
      </c>
      <c r="J17" s="160">
        <f>SUM(I17/B17*100)</f>
        <v>70.49316441361212</v>
      </c>
      <c r="K17" s="157">
        <f>SUM(K6:K16)</f>
        <v>5023</v>
      </c>
      <c r="L17" s="161">
        <f>SUM(K17/B17)*100</f>
        <v>0.03335112546935086</v>
      </c>
    </row>
    <row r="18" spans="1:12" ht="12.75">
      <c r="A18" s="101" t="s">
        <v>82</v>
      </c>
      <c r="B18" s="155"/>
      <c r="C18" s="155"/>
      <c r="D18" s="156"/>
      <c r="E18" s="155"/>
      <c r="F18" s="39"/>
      <c r="G18" s="155"/>
      <c r="H18" s="39"/>
      <c r="I18" s="155"/>
      <c r="J18" s="39"/>
      <c r="K18" s="38"/>
      <c r="L18" s="40"/>
    </row>
    <row r="19" spans="1:12" ht="12.75">
      <c r="A19" s="14" t="s">
        <v>78</v>
      </c>
      <c r="B19" s="140"/>
      <c r="C19" s="140"/>
      <c r="D19" s="153"/>
      <c r="E19" s="140"/>
      <c r="F19" s="22"/>
      <c r="G19" s="140"/>
      <c r="H19" s="22"/>
      <c r="I19" s="140"/>
      <c r="J19" s="22"/>
      <c r="K19" s="21"/>
      <c r="L19" s="23"/>
    </row>
    <row r="20" spans="1:12" ht="13.5" thickBot="1">
      <c r="A20" s="14" t="s">
        <v>79</v>
      </c>
      <c r="B20" s="111">
        <v>10000</v>
      </c>
      <c r="C20" s="111"/>
      <c r="D20" s="162">
        <f>SUM(C20/B20)*100</f>
        <v>0</v>
      </c>
      <c r="E20" s="31"/>
      <c r="F20" s="46">
        <f>SUM(E20/B20)*100</f>
        <v>0</v>
      </c>
      <c r="G20" s="31"/>
      <c r="H20" s="46">
        <f>SUM(G20/B20*100)</f>
        <v>0</v>
      </c>
      <c r="I20" s="31"/>
      <c r="J20" s="46">
        <f>SUM(I20/B20*100)</f>
        <v>0</v>
      </c>
      <c r="K20" s="31">
        <f>SUM(B20-C20-E20-G20-I20)</f>
        <v>10000</v>
      </c>
      <c r="L20" s="47">
        <f>SUM(K20/B20)*100</f>
        <v>100</v>
      </c>
    </row>
    <row r="21" spans="1:12" s="35" customFormat="1" ht="13.5" thickBot="1">
      <c r="A21" s="32" t="s">
        <v>40</v>
      </c>
      <c r="B21" s="157">
        <f>SUM(B18:B20)</f>
        <v>10000</v>
      </c>
      <c r="C21" s="157">
        <f>SUM(C18:C20)</f>
        <v>0</v>
      </c>
      <c r="D21" s="163">
        <f>SUM(C21/B21)*100</f>
        <v>0</v>
      </c>
      <c r="E21" s="157">
        <f>SUM(E20)</f>
        <v>0</v>
      </c>
      <c r="F21" s="160">
        <f>SUM(E21/B21)*100</f>
        <v>0</v>
      </c>
      <c r="G21" s="157">
        <f>SUM(G18:G20)</f>
        <v>0</v>
      </c>
      <c r="H21" s="160">
        <f>SUM(H20)</f>
        <v>0</v>
      </c>
      <c r="I21" s="157">
        <f>SUM(I18:I20)</f>
        <v>0</v>
      </c>
      <c r="J21" s="160">
        <f>SUM(I21/B21*100)</f>
        <v>0</v>
      </c>
      <c r="K21" s="157">
        <f>SUM(K18:K20)</f>
        <v>10000</v>
      </c>
      <c r="L21" s="161">
        <f>SUM(L20)</f>
        <v>100</v>
      </c>
    </row>
    <row r="22" spans="1:12" s="35" customFormat="1" ht="12.75">
      <c r="A22" s="138" t="s">
        <v>77</v>
      </c>
      <c r="B22" s="164"/>
      <c r="C22" s="164"/>
      <c r="D22" s="165"/>
      <c r="E22" s="164"/>
      <c r="F22" s="166"/>
      <c r="G22" s="164"/>
      <c r="H22" s="166"/>
      <c r="I22" s="164"/>
      <c r="J22" s="166"/>
      <c r="K22" s="164"/>
      <c r="L22" s="167"/>
    </row>
    <row r="23" spans="1:12" s="35" customFormat="1" ht="12.75">
      <c r="A23" s="139" t="s">
        <v>105</v>
      </c>
      <c r="B23" s="140">
        <v>31154</v>
      </c>
      <c r="C23" s="168"/>
      <c r="D23" s="169"/>
      <c r="E23" s="168"/>
      <c r="F23" s="170"/>
      <c r="G23" s="168"/>
      <c r="H23" s="170"/>
      <c r="I23" s="168"/>
      <c r="J23" s="170">
        <f>SUM(I23/B23*100)</f>
        <v>0</v>
      </c>
      <c r="K23" s="168">
        <f>SUM(B23-C23-E23-G23-I23)</f>
        <v>31154</v>
      </c>
      <c r="L23" s="171">
        <f>SUM(K23/B23)*100</f>
        <v>100</v>
      </c>
    </row>
    <row r="24" spans="1:12" s="35" customFormat="1" ht="12.75">
      <c r="A24" s="100" t="s">
        <v>82</v>
      </c>
      <c r="B24" s="172"/>
      <c r="C24" s="172"/>
      <c r="D24" s="173"/>
      <c r="E24" s="172"/>
      <c r="F24" s="174"/>
      <c r="G24" s="172"/>
      <c r="H24" s="174"/>
      <c r="I24" s="172"/>
      <c r="J24" s="174"/>
      <c r="K24" s="172"/>
      <c r="L24" s="175"/>
    </row>
    <row r="25" spans="1:12" s="35" customFormat="1" ht="13.5" thickBot="1">
      <c r="A25" s="36" t="s">
        <v>79</v>
      </c>
      <c r="B25" s="111">
        <v>67196</v>
      </c>
      <c r="C25" s="176"/>
      <c r="D25" s="177"/>
      <c r="E25" s="176"/>
      <c r="F25" s="178">
        <f>SUM(E25/B25)*100</f>
        <v>0</v>
      </c>
      <c r="G25" s="176"/>
      <c r="H25" s="178"/>
      <c r="I25" s="111">
        <v>12932</v>
      </c>
      <c r="J25" s="178">
        <f>SUM(I25/B25*100)</f>
        <v>19.245193166259895</v>
      </c>
      <c r="K25" s="176">
        <f>SUM(B25-C25-E25-G25-I25)</f>
        <v>54264</v>
      </c>
      <c r="L25" s="179">
        <f>SUM(K25/B25)*100</f>
        <v>80.7548068337401</v>
      </c>
    </row>
    <row r="26" spans="1:12" s="35" customFormat="1" ht="13.5" thickBot="1">
      <c r="A26" s="108" t="s">
        <v>38</v>
      </c>
      <c r="B26" s="157">
        <f>SUM(B25,B23)</f>
        <v>98350</v>
      </c>
      <c r="C26" s="157">
        <f>SUM(C25)</f>
        <v>0</v>
      </c>
      <c r="D26" s="163"/>
      <c r="E26" s="157"/>
      <c r="F26" s="160"/>
      <c r="G26" s="157"/>
      <c r="H26" s="160"/>
      <c r="I26" s="157">
        <f>SUM(I25)</f>
        <v>12932</v>
      </c>
      <c r="J26" s="160">
        <f>SUM(J25)</f>
        <v>19.245193166259895</v>
      </c>
      <c r="K26" s="157">
        <f>SUM(K23:K25)</f>
        <v>85418</v>
      </c>
      <c r="L26" s="161">
        <f>SUM(K26/B26)*100</f>
        <v>86.85104219623793</v>
      </c>
    </row>
    <row r="27" spans="1:12" s="35" customFormat="1" ht="12.75">
      <c r="A27" s="100" t="s">
        <v>82</v>
      </c>
      <c r="B27" s="172"/>
      <c r="C27" s="172"/>
      <c r="D27" s="180"/>
      <c r="E27" s="172"/>
      <c r="F27" s="174"/>
      <c r="G27" s="172"/>
      <c r="H27" s="174"/>
      <c r="I27" s="172"/>
      <c r="J27" s="174"/>
      <c r="K27" s="172"/>
      <c r="L27" s="175"/>
    </row>
    <row r="28" spans="1:12" s="35" customFormat="1" ht="13.5" thickBot="1">
      <c r="A28" s="36" t="s">
        <v>79</v>
      </c>
      <c r="B28" s="111">
        <v>2000</v>
      </c>
      <c r="C28" s="176"/>
      <c r="D28" s="181">
        <f>SUM(C28/B28)*100</f>
        <v>0</v>
      </c>
      <c r="E28" s="176"/>
      <c r="F28" s="178">
        <f>SUM(E28/B28)*100</f>
        <v>0</v>
      </c>
      <c r="G28" s="176"/>
      <c r="H28" s="178"/>
      <c r="I28" s="176"/>
      <c r="J28" s="178"/>
      <c r="K28" s="176">
        <f>SUM(B28-C28-E28-G28-I28)</f>
        <v>2000</v>
      </c>
      <c r="L28" s="179">
        <f>SUM(K28/B28)*100</f>
        <v>100</v>
      </c>
    </row>
    <row r="29" spans="1:12" s="35" customFormat="1" ht="13.5" thickBot="1">
      <c r="A29" s="113" t="s">
        <v>89</v>
      </c>
      <c r="B29" s="157">
        <f>SUM(B28)</f>
        <v>2000</v>
      </c>
      <c r="C29" s="157"/>
      <c r="D29" s="163">
        <f>SUM(C29/B29)*100</f>
        <v>0</v>
      </c>
      <c r="E29" s="157"/>
      <c r="F29" s="160"/>
      <c r="G29" s="157"/>
      <c r="H29" s="160"/>
      <c r="I29" s="157"/>
      <c r="J29" s="160"/>
      <c r="K29" s="157">
        <f>SUM(K28)</f>
        <v>2000</v>
      </c>
      <c r="L29" s="179">
        <f>SUM(K29/B29)*100</f>
        <v>100</v>
      </c>
    </row>
    <row r="30" spans="1:12" s="35" customFormat="1" ht="12.75">
      <c r="A30" s="100" t="s">
        <v>82</v>
      </c>
      <c r="B30" s="164"/>
      <c r="C30" s="164"/>
      <c r="D30" s="165"/>
      <c r="E30" s="164"/>
      <c r="F30" s="166"/>
      <c r="G30" s="164"/>
      <c r="H30" s="166"/>
      <c r="I30" s="164"/>
      <c r="J30" s="166"/>
      <c r="K30" s="164"/>
      <c r="L30" s="167"/>
    </row>
    <row r="31" spans="1:12" s="35" customFormat="1" ht="13.5" thickBot="1">
      <c r="A31" s="36" t="s">
        <v>79</v>
      </c>
      <c r="B31" s="111">
        <v>3865</v>
      </c>
      <c r="C31" s="176"/>
      <c r="D31" s="181">
        <f>SUM(C31/B31)*100</f>
        <v>0</v>
      </c>
      <c r="E31" s="176"/>
      <c r="F31" s="178">
        <f>SUM(E31/B31)*100</f>
        <v>0</v>
      </c>
      <c r="G31" s="176"/>
      <c r="H31" s="178"/>
      <c r="I31" s="176"/>
      <c r="J31" s="178"/>
      <c r="K31" s="176">
        <f>SUM(B31-C31-E31-G31-I31)</f>
        <v>3865</v>
      </c>
      <c r="L31" s="179">
        <f>SUM(K31/B31)*100</f>
        <v>100</v>
      </c>
    </row>
    <row r="32" spans="1:12" s="35" customFormat="1" ht="13.5" thickBot="1">
      <c r="A32" s="113" t="s">
        <v>86</v>
      </c>
      <c r="B32" s="157">
        <f>SUM(B31)</f>
        <v>3865</v>
      </c>
      <c r="C32" s="157"/>
      <c r="D32" s="163">
        <f>SUM(C32/B32)*100</f>
        <v>0</v>
      </c>
      <c r="E32" s="157"/>
      <c r="F32" s="160"/>
      <c r="G32" s="157"/>
      <c r="H32" s="160"/>
      <c r="I32" s="157"/>
      <c r="J32" s="160"/>
      <c r="K32" s="157">
        <f>SUM(K31)</f>
        <v>3865</v>
      </c>
      <c r="L32" s="179">
        <f>SUM(K32/B32)*100</f>
        <v>100</v>
      </c>
    </row>
    <row r="33" spans="1:12" s="35" customFormat="1" ht="12.75">
      <c r="A33" s="100" t="s">
        <v>82</v>
      </c>
      <c r="B33" s="164"/>
      <c r="C33" s="164"/>
      <c r="D33" s="165"/>
      <c r="E33" s="164"/>
      <c r="F33" s="166"/>
      <c r="G33" s="164"/>
      <c r="H33" s="166"/>
      <c r="I33" s="164"/>
      <c r="J33" s="166"/>
      <c r="K33" s="164"/>
      <c r="L33" s="167"/>
    </row>
    <row r="34" spans="1:12" s="35" customFormat="1" ht="13.5" thickBot="1">
      <c r="A34" s="36" t="s">
        <v>79</v>
      </c>
      <c r="B34" s="111">
        <v>1000</v>
      </c>
      <c r="C34" s="176"/>
      <c r="D34" s="181">
        <f>SUM(C34/B34)*100</f>
        <v>0</v>
      </c>
      <c r="E34" s="176"/>
      <c r="F34" s="178">
        <f>SUM(E34/B34)*100</f>
        <v>0</v>
      </c>
      <c r="G34" s="176"/>
      <c r="H34" s="178"/>
      <c r="I34" s="176"/>
      <c r="J34" s="178"/>
      <c r="K34" s="176">
        <f>SUM(B34-C34-E34-G34-I34)</f>
        <v>1000</v>
      </c>
      <c r="L34" s="179">
        <f>SUM(K34/B34)*100</f>
        <v>100</v>
      </c>
    </row>
    <row r="35" spans="1:12" s="35" customFormat="1" ht="13.5" thickBot="1">
      <c r="A35" s="113" t="s">
        <v>87</v>
      </c>
      <c r="B35" s="157">
        <f>SUM(B34)</f>
        <v>1000</v>
      </c>
      <c r="C35" s="157"/>
      <c r="D35" s="163">
        <f>SUM(C35/B35)*100</f>
        <v>0</v>
      </c>
      <c r="E35" s="157"/>
      <c r="F35" s="160"/>
      <c r="G35" s="157"/>
      <c r="H35" s="160"/>
      <c r="I35" s="157"/>
      <c r="J35" s="160"/>
      <c r="K35" s="157">
        <f>SUM(K34)</f>
        <v>1000</v>
      </c>
      <c r="L35" s="179">
        <f>SUM(K35/B35)*100</f>
        <v>100</v>
      </c>
    </row>
    <row r="36" spans="1:12" s="35" customFormat="1" ht="12.75">
      <c r="A36" s="100" t="s">
        <v>82</v>
      </c>
      <c r="B36" s="164"/>
      <c r="C36" s="164"/>
      <c r="D36" s="165"/>
      <c r="E36" s="164"/>
      <c r="F36" s="166"/>
      <c r="G36" s="164"/>
      <c r="H36" s="166"/>
      <c r="I36" s="164"/>
      <c r="J36" s="166"/>
      <c r="K36" s="164"/>
      <c r="L36" s="167"/>
    </row>
    <row r="37" spans="1:12" s="35" customFormat="1" ht="13.5" thickBot="1">
      <c r="A37" s="36" t="s">
        <v>79</v>
      </c>
      <c r="B37" s="182">
        <v>1000</v>
      </c>
      <c r="C37" s="183"/>
      <c r="D37" s="169">
        <f>SUM(C37/B37)*100</f>
        <v>0</v>
      </c>
      <c r="E37" s="183"/>
      <c r="F37" s="184">
        <f>SUM(E37/B37)*100</f>
        <v>0</v>
      </c>
      <c r="G37" s="183"/>
      <c r="H37" s="184"/>
      <c r="I37" s="183"/>
      <c r="J37" s="184"/>
      <c r="K37" s="183">
        <f>SUM(B37-C37-E37-G37-I37)</f>
        <v>1000</v>
      </c>
      <c r="L37" s="185">
        <f>SUM(K37/B37)*100</f>
        <v>100</v>
      </c>
    </row>
    <row r="38" spans="1:12" s="35" customFormat="1" ht="13.5" thickBot="1">
      <c r="A38" s="32" t="s">
        <v>88</v>
      </c>
      <c r="B38" s="157">
        <f>SUM(B37)</f>
        <v>1000</v>
      </c>
      <c r="C38" s="157"/>
      <c r="D38" s="163">
        <f>SUM(C38/B38)*100</f>
        <v>0</v>
      </c>
      <c r="E38" s="157"/>
      <c r="F38" s="160"/>
      <c r="G38" s="157"/>
      <c r="H38" s="160"/>
      <c r="I38" s="157"/>
      <c r="J38" s="160"/>
      <c r="K38" s="157">
        <f>SUM(K37)</f>
        <v>1000</v>
      </c>
      <c r="L38" s="185">
        <f>SUM(K38/B38)*100</f>
        <v>100</v>
      </c>
    </row>
    <row r="39" spans="1:12" s="35" customFormat="1" ht="12.75">
      <c r="A39" s="100" t="s">
        <v>82</v>
      </c>
      <c r="B39" s="164"/>
      <c r="C39" s="164"/>
      <c r="D39" s="165"/>
      <c r="E39" s="164"/>
      <c r="F39" s="166"/>
      <c r="G39" s="164"/>
      <c r="H39" s="166"/>
      <c r="I39" s="164"/>
      <c r="J39" s="166"/>
      <c r="K39" s="164"/>
      <c r="L39" s="167"/>
    </row>
    <row r="40" spans="1:12" s="35" customFormat="1" ht="13.5" thickBot="1">
      <c r="A40" s="36" t="s">
        <v>79</v>
      </c>
      <c r="B40" s="176">
        <v>889</v>
      </c>
      <c r="C40" s="176"/>
      <c r="D40" s="181">
        <f>SUM(C40/B40)*100</f>
        <v>0</v>
      </c>
      <c r="E40" s="176"/>
      <c r="F40" s="178">
        <f>SUM(E40/B40)*100</f>
        <v>0</v>
      </c>
      <c r="G40" s="176"/>
      <c r="H40" s="178"/>
      <c r="I40" s="176"/>
      <c r="J40" s="178"/>
      <c r="K40" s="176">
        <f>SUM(B40-C40-E40-G40-I40)</f>
        <v>889</v>
      </c>
      <c r="L40" s="179">
        <f>SUM(K40/B40)*100</f>
        <v>100</v>
      </c>
    </row>
    <row r="41" spans="1:12" s="35" customFormat="1" ht="13.5" thickBot="1">
      <c r="A41" s="32" t="s">
        <v>90</v>
      </c>
      <c r="B41" s="157">
        <f>SUM(B40)</f>
        <v>889</v>
      </c>
      <c r="C41" s="157"/>
      <c r="D41" s="181">
        <f>SUM(C41/B41)*100</f>
        <v>0</v>
      </c>
      <c r="E41" s="157"/>
      <c r="F41" s="160"/>
      <c r="G41" s="157"/>
      <c r="H41" s="160"/>
      <c r="I41" s="157"/>
      <c r="J41" s="160"/>
      <c r="K41" s="157">
        <f>SUM(K40)</f>
        <v>889</v>
      </c>
      <c r="L41" s="179">
        <f>SUM(K41/B41)*100</f>
        <v>100</v>
      </c>
    </row>
    <row r="42" spans="1:12" s="35" customFormat="1" ht="13.5" thickBot="1">
      <c r="A42" s="102" t="s">
        <v>82</v>
      </c>
      <c r="B42" s="157"/>
      <c r="C42" s="157"/>
      <c r="D42" s="163"/>
      <c r="E42" s="157"/>
      <c r="F42" s="160"/>
      <c r="G42" s="157"/>
      <c r="H42" s="160"/>
      <c r="I42" s="157"/>
      <c r="J42" s="160"/>
      <c r="K42" s="157"/>
      <c r="L42" s="161"/>
    </row>
    <row r="43" spans="1:12" s="35" customFormat="1" ht="13.5" thickBot="1">
      <c r="A43" s="123" t="s">
        <v>79</v>
      </c>
      <c r="B43" s="164">
        <v>1000</v>
      </c>
      <c r="C43" s="164"/>
      <c r="D43" s="165">
        <f>SUM(C43/B43)*100</f>
        <v>0</v>
      </c>
      <c r="E43" s="164"/>
      <c r="F43" s="166">
        <f>SUM(E43/B43)*100</f>
        <v>0</v>
      </c>
      <c r="G43" s="164"/>
      <c r="H43" s="166"/>
      <c r="I43" s="164"/>
      <c r="J43" s="166"/>
      <c r="K43" s="164">
        <f>SUM(B43-C43-E43-G43-I43)</f>
        <v>1000</v>
      </c>
      <c r="L43" s="167">
        <f>SUM(K43/B43)*100</f>
        <v>100</v>
      </c>
    </row>
    <row r="44" spans="1:12" s="35" customFormat="1" ht="13.5" thickBot="1">
      <c r="A44" s="122" t="s">
        <v>91</v>
      </c>
      <c r="B44" s="176">
        <f>SUM(B43)</f>
        <v>1000</v>
      </c>
      <c r="C44" s="176"/>
      <c r="D44" s="181">
        <f>SUM(C44/B44)*100</f>
        <v>0</v>
      </c>
      <c r="E44" s="176"/>
      <c r="F44" s="178"/>
      <c r="G44" s="176"/>
      <c r="H44" s="178"/>
      <c r="I44" s="176"/>
      <c r="J44" s="178"/>
      <c r="K44" s="176">
        <f>SUM(K43)</f>
        <v>1000</v>
      </c>
      <c r="L44" s="167">
        <f>SUM(K44/B44)*100</f>
        <v>100</v>
      </c>
    </row>
    <row r="45" spans="1:12" s="35" customFormat="1" ht="13.5" thickBot="1">
      <c r="A45" s="186" t="s">
        <v>17</v>
      </c>
      <c r="B45" s="157">
        <f>SUM(B21,B17,B26,B32,B35,B38,B41,B44,B29)</f>
        <v>15179065</v>
      </c>
      <c r="C45" s="157">
        <f>SUM(C21,C17,C26,C32,C35,C38,C41,C44,C29)</f>
        <v>981094</v>
      </c>
      <c r="D45" s="163">
        <f>SUM(C45/B45)*100</f>
        <v>6.4634679408777815</v>
      </c>
      <c r="E45" s="157">
        <f>SUM(E21,E17)</f>
        <v>3457896</v>
      </c>
      <c r="F45" s="160">
        <f>SUM(E45/B45)*100</f>
        <v>22.780691696095907</v>
      </c>
      <c r="G45" s="157">
        <f>SUM(G21,G17)</f>
        <v>0</v>
      </c>
      <c r="H45" s="160">
        <f>SUM(H21)</f>
        <v>0</v>
      </c>
      <c r="I45" s="157">
        <f>SUM(I21,I17,I26,I32,I35,I38,I41,I44,I29)</f>
        <v>10629880</v>
      </c>
      <c r="J45" s="160">
        <f>SUM(I45/B45*100)</f>
        <v>70.0298733815291</v>
      </c>
      <c r="K45" s="157">
        <f>SUM(K21,K17,K26,K29,K32,K35,K38,K41,K44)</f>
        <v>110195</v>
      </c>
      <c r="L45" s="161">
        <f>SUM(K45/B45)*100</f>
        <v>0.7259669814972134</v>
      </c>
    </row>
    <row r="46" spans="3:11" ht="12.75">
      <c r="C46" s="187"/>
      <c r="D46" s="188"/>
      <c r="E46" s="189"/>
      <c r="F46" s="190"/>
      <c r="G46" s="189"/>
      <c r="H46" s="190"/>
      <c r="I46" s="190"/>
      <c r="J46" s="190"/>
      <c r="K46" s="187"/>
    </row>
    <row r="48" spans="11:12" ht="12.75">
      <c r="K48" s="189"/>
      <c r="L48" s="192"/>
    </row>
  </sheetData>
  <sheetProtection/>
  <mergeCells count="2">
    <mergeCell ref="K1:L1"/>
    <mergeCell ref="A2:L3"/>
  </mergeCells>
  <printOptions/>
  <pageMargins left="0.9448818897637796" right="0.15748031496062992" top="0.1968503937007874" bottom="0.1968503937007874" header="0.2755905511811024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B10">
      <selection activeCell="C32" sqref="C32:E35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5" customWidth="1"/>
    <col min="9" max="9" width="8.375" style="69" customWidth="1"/>
    <col min="10" max="10" width="9.75390625" style="5" customWidth="1"/>
    <col min="11" max="11" width="10.00390625" style="74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10" t="s">
        <v>30</v>
      </c>
      <c r="M1" s="210"/>
    </row>
    <row r="2" spans="2:13" ht="18" customHeight="1">
      <c r="B2" s="209" t="s">
        <v>109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2:13" ht="12" customHeight="1" thickBot="1">
      <c r="B3" s="43"/>
      <c r="C3" s="55"/>
      <c r="D3" s="55"/>
      <c r="E3" s="56"/>
      <c r="F3" s="55"/>
      <c r="G3" s="57"/>
      <c r="H3" s="66"/>
      <c r="I3" s="70"/>
      <c r="J3" s="58"/>
      <c r="K3" s="75"/>
      <c r="L3" s="59"/>
      <c r="M3" s="60" t="s">
        <v>0</v>
      </c>
    </row>
    <row r="4" spans="2:13" s="62" customFormat="1" ht="51.75" customHeight="1" thickBot="1">
      <c r="B4" s="44" t="s">
        <v>3</v>
      </c>
      <c r="C4" s="52" t="s">
        <v>65</v>
      </c>
      <c r="D4" s="52" t="s">
        <v>80</v>
      </c>
      <c r="E4" s="53" t="s">
        <v>70</v>
      </c>
      <c r="F4" s="52" t="s">
        <v>60</v>
      </c>
      <c r="G4" s="53" t="s">
        <v>71</v>
      </c>
      <c r="H4" s="52" t="s">
        <v>81</v>
      </c>
      <c r="I4" s="53" t="s">
        <v>73</v>
      </c>
      <c r="J4" s="53" t="s">
        <v>76</v>
      </c>
      <c r="K4" s="53" t="s">
        <v>48</v>
      </c>
      <c r="L4" s="54" t="s">
        <v>74</v>
      </c>
      <c r="M4" s="61" t="s">
        <v>75</v>
      </c>
    </row>
    <row r="5" spans="2:13" ht="12" customHeight="1">
      <c r="B5" s="100" t="s">
        <v>77</v>
      </c>
      <c r="C5" s="20"/>
      <c r="D5" s="21"/>
      <c r="E5" s="22"/>
      <c r="F5" s="21"/>
      <c r="G5" s="17"/>
      <c r="H5" s="21"/>
      <c r="I5" s="71"/>
      <c r="J5" s="16"/>
      <c r="K5" s="17"/>
      <c r="L5" s="16">
        <f>SUM(C5-D5-F5-H5-J5)</f>
        <v>0</v>
      </c>
      <c r="M5" s="23"/>
    </row>
    <row r="6" spans="2:13" ht="12" customHeight="1">
      <c r="B6" s="14" t="s">
        <v>78</v>
      </c>
      <c r="C6" s="20">
        <v>62057</v>
      </c>
      <c r="D6" s="21"/>
      <c r="E6" s="22">
        <f>SUM(D6/C6)*100</f>
        <v>0</v>
      </c>
      <c r="F6" s="21"/>
      <c r="G6" s="17">
        <f>SUM(F6/C6)*100</f>
        <v>0</v>
      </c>
      <c r="H6" s="21"/>
      <c r="I6" s="71">
        <f>SUM(H6/C6)*100</f>
        <v>0</v>
      </c>
      <c r="J6" s="16">
        <v>62057</v>
      </c>
      <c r="K6" s="17">
        <f>SUM(J6/C6)*100</f>
        <v>100</v>
      </c>
      <c r="L6" s="16">
        <f>SUM(C6-D6-F6-H6-J6)</f>
        <v>0</v>
      </c>
      <c r="M6" s="23">
        <f>SUM(L6/C6)*100</f>
        <v>0</v>
      </c>
    </row>
    <row r="7" spans="2:13" ht="12" customHeight="1">
      <c r="B7" s="14" t="s">
        <v>79</v>
      </c>
      <c r="C7" s="20">
        <f>33000+30000</f>
        <v>63000</v>
      </c>
      <c r="D7" s="21"/>
      <c r="E7" s="22">
        <f>SUM(D7/C7)*100</f>
        <v>0</v>
      </c>
      <c r="F7" s="21"/>
      <c r="G7" s="17">
        <f>SUM(F7/C7)*100</f>
        <v>0</v>
      </c>
      <c r="H7" s="21"/>
      <c r="I7" s="71">
        <f>SUM(H7/C7)*100</f>
        <v>0</v>
      </c>
      <c r="J7" s="16">
        <v>63000</v>
      </c>
      <c r="K7" s="17">
        <f>SUM(J7/C7)*100</f>
        <v>100</v>
      </c>
      <c r="L7" s="16">
        <f>SUM(C7-D7-F7-H7-J7)</f>
        <v>0</v>
      </c>
      <c r="M7" s="23">
        <f>SUM(L7/C7)*100</f>
        <v>0</v>
      </c>
    </row>
    <row r="8" spans="2:13" ht="12" customHeight="1">
      <c r="B8" s="101" t="s">
        <v>82</v>
      </c>
      <c r="C8" s="20"/>
      <c r="D8" s="21"/>
      <c r="E8" s="22"/>
      <c r="F8" s="21"/>
      <c r="G8" s="22"/>
      <c r="H8" s="21"/>
      <c r="I8" s="71"/>
      <c r="J8" s="16"/>
      <c r="K8" s="17"/>
      <c r="L8" s="16"/>
      <c r="M8" s="23"/>
    </row>
    <row r="9" spans="2:13" ht="12" customHeight="1" thickBot="1">
      <c r="B9" s="14" t="s">
        <v>79</v>
      </c>
      <c r="C9" s="20">
        <v>27686</v>
      </c>
      <c r="D9" s="21"/>
      <c r="E9" s="22">
        <f>SUM(D9/C9)*100</f>
        <v>0</v>
      </c>
      <c r="F9" s="21"/>
      <c r="G9" s="22">
        <f>SUM(F9/C9)*100</f>
        <v>0</v>
      </c>
      <c r="H9" s="21"/>
      <c r="I9" s="71">
        <f>SUM(H9/C9)*100</f>
        <v>0</v>
      </c>
      <c r="J9" s="16">
        <v>27686</v>
      </c>
      <c r="K9" s="17">
        <f>SUM(J9/C9)*100</f>
        <v>100</v>
      </c>
      <c r="L9" s="16">
        <f>SUM(C9-D9-F9-H9-J9)</f>
        <v>0</v>
      </c>
      <c r="M9" s="23">
        <f>SUM(L9/C9)*100</f>
        <v>0</v>
      </c>
    </row>
    <row r="10" spans="2:13" s="35" customFormat="1" ht="12" customHeight="1" thickBot="1">
      <c r="B10" s="32" t="s">
        <v>39</v>
      </c>
      <c r="C10" s="29">
        <f>SUM(C5:C9)</f>
        <v>152743</v>
      </c>
      <c r="D10" s="29">
        <f>SUM(D5:D9)</f>
        <v>0</v>
      </c>
      <c r="E10" s="63">
        <f>SUM(D10/C10)*100</f>
        <v>0</v>
      </c>
      <c r="F10" s="29">
        <f>SUM(F5:F9)</f>
        <v>0</v>
      </c>
      <c r="G10" s="63">
        <f>SUM(F10/C10)*100</f>
        <v>0</v>
      </c>
      <c r="H10" s="29">
        <f>SUM(H5:H9)</f>
        <v>0</v>
      </c>
      <c r="I10" s="63">
        <f>SUM(H10/C10)*100</f>
        <v>0</v>
      </c>
      <c r="J10" s="29">
        <f>SUM(J5:J9)</f>
        <v>152743</v>
      </c>
      <c r="K10" s="33">
        <f>SUM(J10/C10)*100</f>
        <v>100</v>
      </c>
      <c r="L10" s="29">
        <f>SUM(L5:L9)</f>
        <v>0</v>
      </c>
      <c r="M10" s="82">
        <f>SUM(L10/C10)*100</f>
        <v>0</v>
      </c>
    </row>
    <row r="11" spans="2:13" s="88" customFormat="1" ht="12" customHeight="1">
      <c r="B11" s="100" t="s">
        <v>77</v>
      </c>
      <c r="C11" s="20"/>
      <c r="D11" s="83"/>
      <c r="E11" s="22"/>
      <c r="F11" s="83"/>
      <c r="G11" s="84"/>
      <c r="H11" s="83"/>
      <c r="I11" s="85"/>
      <c r="J11" s="86"/>
      <c r="K11" s="87"/>
      <c r="L11" s="16"/>
      <c r="M11" s="23"/>
    </row>
    <row r="12" spans="2:13" s="88" customFormat="1" ht="12" customHeight="1">
      <c r="B12" s="14" t="s">
        <v>79</v>
      </c>
      <c r="C12" s="20"/>
      <c r="D12" s="83"/>
      <c r="E12" s="22"/>
      <c r="F12" s="83"/>
      <c r="G12" s="84"/>
      <c r="H12" s="83"/>
      <c r="I12" s="85"/>
      <c r="J12" s="86"/>
      <c r="K12" s="87"/>
      <c r="L12" s="16">
        <f>SUM(C12-D12-F12-H12-J12)</f>
        <v>0</v>
      </c>
      <c r="M12" s="23"/>
    </row>
    <row r="13" spans="2:13" s="88" customFormat="1" ht="12" customHeight="1">
      <c r="B13" s="101" t="s">
        <v>82</v>
      </c>
      <c r="C13" s="20"/>
      <c r="D13" s="83"/>
      <c r="E13" s="22"/>
      <c r="F13" s="83"/>
      <c r="G13" s="84"/>
      <c r="H13" s="83"/>
      <c r="I13" s="85"/>
      <c r="J13" s="86"/>
      <c r="K13" s="87"/>
      <c r="L13" s="16"/>
      <c r="M13" s="23"/>
    </row>
    <row r="14" spans="2:13" s="88" customFormat="1" ht="12" customHeight="1">
      <c r="B14" s="14" t="s">
        <v>78</v>
      </c>
      <c r="C14" s="20"/>
      <c r="D14" s="83"/>
      <c r="E14" s="22"/>
      <c r="F14" s="83"/>
      <c r="G14" s="84"/>
      <c r="H14" s="83"/>
      <c r="I14" s="85"/>
      <c r="J14" s="86"/>
      <c r="K14" s="87"/>
      <c r="L14" s="16"/>
      <c r="M14" s="23"/>
    </row>
    <row r="15" spans="2:13" s="88" customFormat="1" ht="12" customHeight="1" thickBot="1">
      <c r="B15" s="14" t="s">
        <v>79</v>
      </c>
      <c r="C15" s="25"/>
      <c r="D15" s="89"/>
      <c r="E15" s="27"/>
      <c r="F15" s="89"/>
      <c r="G15" s="90"/>
      <c r="H15" s="89"/>
      <c r="I15" s="85"/>
      <c r="J15" s="91"/>
      <c r="K15" s="87"/>
      <c r="L15" s="16"/>
      <c r="M15" s="81"/>
    </row>
    <row r="16" spans="2:13" s="35" customFormat="1" ht="12" customHeight="1" thickBot="1">
      <c r="B16" s="32" t="s">
        <v>38</v>
      </c>
      <c r="C16" s="29">
        <f>SUM(C11:C15)</f>
        <v>0</v>
      </c>
      <c r="D16" s="29">
        <f aca="true" t="shared" si="0" ref="D16:L16">SUM(D11:D15)</f>
        <v>0</v>
      </c>
      <c r="E16" s="33"/>
      <c r="F16" s="29">
        <f t="shared" si="0"/>
        <v>0</v>
      </c>
      <c r="G16" s="33"/>
      <c r="H16" s="29">
        <f t="shared" si="0"/>
        <v>0</v>
      </c>
      <c r="I16" s="63"/>
      <c r="J16" s="29">
        <f>SUM(J11:J15)</f>
        <v>0</v>
      </c>
      <c r="K16" s="33"/>
      <c r="L16" s="29">
        <f t="shared" si="0"/>
        <v>0</v>
      </c>
      <c r="M16" s="48"/>
    </row>
    <row r="17" spans="2:13" ht="12" customHeight="1">
      <c r="B17" s="101" t="s">
        <v>82</v>
      </c>
      <c r="C17" s="93"/>
      <c r="D17" s="94"/>
      <c r="E17" s="95"/>
      <c r="F17" s="94"/>
      <c r="G17" s="95"/>
      <c r="H17" s="94"/>
      <c r="I17" s="96"/>
      <c r="J17" s="94"/>
      <c r="K17" s="95"/>
      <c r="L17" s="94"/>
      <c r="M17" s="97"/>
    </row>
    <row r="18" spans="2:13" ht="12" customHeight="1" thickBot="1">
      <c r="B18" s="14" t="s">
        <v>79</v>
      </c>
      <c r="C18" s="30">
        <v>20000</v>
      </c>
      <c r="D18" s="31"/>
      <c r="E18" s="46">
        <f>SUM(D18/C18)*100</f>
        <v>0</v>
      </c>
      <c r="F18" s="31"/>
      <c r="G18" s="46">
        <f>SUM(F18/C18)*100</f>
        <v>0</v>
      </c>
      <c r="H18" s="31"/>
      <c r="I18" s="72">
        <f>SUM(H18/C18)*100</f>
        <v>0</v>
      </c>
      <c r="J18" s="31"/>
      <c r="K18" s="46">
        <f>SUM(J18/C18)*100</f>
        <v>0</v>
      </c>
      <c r="L18" s="31">
        <f>SUM(C18-D18-F18-H18-J18)</f>
        <v>20000</v>
      </c>
      <c r="M18" s="47">
        <f>SUM(L18/C18)*100</f>
        <v>100</v>
      </c>
    </row>
    <row r="19" spans="2:13" ht="12" customHeight="1" thickBot="1">
      <c r="B19" s="32" t="s">
        <v>52</v>
      </c>
      <c r="C19" s="29">
        <f>SUM(C17:C18)</f>
        <v>20000</v>
      </c>
      <c r="D19" s="29">
        <f>SUM(D17:D18)</f>
        <v>0</v>
      </c>
      <c r="E19" s="63">
        <f>SUM(D19/C19)*100</f>
        <v>0</v>
      </c>
      <c r="F19" s="29">
        <f aca="true" t="shared" si="1" ref="F19:L19">SUM(F17:F18)</f>
        <v>0</v>
      </c>
      <c r="G19" s="63">
        <f t="shared" si="1"/>
        <v>0</v>
      </c>
      <c r="H19" s="29">
        <f t="shared" si="1"/>
        <v>0</v>
      </c>
      <c r="I19" s="63">
        <f t="shared" si="1"/>
        <v>0</v>
      </c>
      <c r="J19" s="29">
        <f t="shared" si="1"/>
        <v>0</v>
      </c>
      <c r="K19" s="33">
        <f t="shared" si="1"/>
        <v>0</v>
      </c>
      <c r="L19" s="29">
        <f t="shared" si="1"/>
        <v>20000</v>
      </c>
      <c r="M19" s="82">
        <f>SUM(L19/C19)*100</f>
        <v>100</v>
      </c>
    </row>
    <row r="20" spans="2:13" ht="12" customHeight="1">
      <c r="B20" s="101" t="s">
        <v>82</v>
      </c>
      <c r="C20" s="107"/>
      <c r="D20" s="107"/>
      <c r="E20" s="114"/>
      <c r="F20" s="107"/>
      <c r="G20" s="114"/>
      <c r="H20" s="107"/>
      <c r="I20" s="114"/>
      <c r="J20" s="107"/>
      <c r="K20" s="112"/>
      <c r="L20" s="107"/>
      <c r="M20" s="115"/>
    </row>
    <row r="21" spans="2:13" ht="12" customHeight="1" thickBot="1">
      <c r="B21" s="14" t="s">
        <v>79</v>
      </c>
      <c r="C21" s="111"/>
      <c r="D21" s="109"/>
      <c r="E21" s="116"/>
      <c r="F21" s="109"/>
      <c r="G21" s="116"/>
      <c r="H21" s="109"/>
      <c r="I21" s="116"/>
      <c r="J21" s="109"/>
      <c r="K21" s="110"/>
      <c r="L21" s="109"/>
      <c r="M21" s="117"/>
    </row>
    <row r="22" spans="2:13" ht="12" customHeight="1" thickBot="1">
      <c r="B22" s="32" t="s">
        <v>89</v>
      </c>
      <c r="C22" s="29">
        <f>SUM(C21)</f>
        <v>0</v>
      </c>
      <c r="D22" s="29"/>
      <c r="E22" s="63"/>
      <c r="F22" s="29"/>
      <c r="G22" s="63"/>
      <c r="H22" s="29"/>
      <c r="I22" s="63"/>
      <c r="J22" s="29"/>
      <c r="K22" s="103"/>
      <c r="L22" s="29"/>
      <c r="M22" s="82"/>
    </row>
    <row r="23" spans="2:13" ht="12" customHeight="1">
      <c r="B23" s="101" t="s">
        <v>82</v>
      </c>
      <c r="C23" s="107"/>
      <c r="D23" s="107"/>
      <c r="E23" s="114"/>
      <c r="F23" s="107"/>
      <c r="G23" s="114"/>
      <c r="H23" s="107"/>
      <c r="I23" s="114"/>
      <c r="J23" s="107"/>
      <c r="K23" s="112"/>
      <c r="L23" s="107"/>
      <c r="M23" s="115"/>
    </row>
    <row r="24" spans="2:13" ht="12" customHeight="1" thickBot="1">
      <c r="B24" s="14" t="s">
        <v>79</v>
      </c>
      <c r="C24" s="111"/>
      <c r="D24" s="109"/>
      <c r="E24" s="116"/>
      <c r="F24" s="109"/>
      <c r="G24" s="116"/>
      <c r="H24" s="109"/>
      <c r="I24" s="116"/>
      <c r="J24" s="109"/>
      <c r="K24" s="110"/>
      <c r="L24" s="109"/>
      <c r="M24" s="117"/>
    </row>
    <row r="25" spans="2:13" ht="12" customHeight="1" thickBot="1">
      <c r="B25" s="32" t="s">
        <v>90</v>
      </c>
      <c r="C25" s="29">
        <f>SUM(C24)</f>
        <v>0</v>
      </c>
      <c r="D25" s="29"/>
      <c r="E25" s="63"/>
      <c r="F25" s="29"/>
      <c r="G25" s="63"/>
      <c r="H25" s="29"/>
      <c r="I25" s="63"/>
      <c r="J25" s="29"/>
      <c r="K25" s="103"/>
      <c r="L25" s="29"/>
      <c r="M25" s="82"/>
    </row>
    <row r="26" spans="2:13" ht="12" customHeight="1">
      <c r="B26" s="118" t="s">
        <v>82</v>
      </c>
      <c r="C26" s="107"/>
      <c r="D26" s="107"/>
      <c r="E26" s="114"/>
      <c r="F26" s="107"/>
      <c r="G26" s="114"/>
      <c r="H26" s="107"/>
      <c r="I26" s="114"/>
      <c r="J26" s="107"/>
      <c r="K26" s="112"/>
      <c r="L26" s="107"/>
      <c r="M26" s="115"/>
    </row>
    <row r="27" spans="2:13" ht="12" customHeight="1" thickBot="1">
      <c r="B27" s="45" t="s">
        <v>79</v>
      </c>
      <c r="C27" s="111"/>
      <c r="D27" s="109"/>
      <c r="E27" s="116"/>
      <c r="F27" s="109"/>
      <c r="G27" s="116"/>
      <c r="H27" s="109"/>
      <c r="I27" s="116"/>
      <c r="J27" s="109"/>
      <c r="K27" s="110"/>
      <c r="L27" s="109"/>
      <c r="M27" s="117"/>
    </row>
    <row r="28" spans="2:13" ht="12" customHeight="1" thickBot="1">
      <c r="B28" s="32" t="s">
        <v>91</v>
      </c>
      <c r="C28" s="29">
        <f>SUM(C27)</f>
        <v>0</v>
      </c>
      <c r="D28" s="29"/>
      <c r="E28" s="63"/>
      <c r="F28" s="29"/>
      <c r="G28" s="63"/>
      <c r="H28" s="29"/>
      <c r="I28" s="63"/>
      <c r="J28" s="29"/>
      <c r="K28" s="103"/>
      <c r="L28" s="29"/>
      <c r="M28" s="82"/>
    </row>
    <row r="29" spans="2:16" s="4" customFormat="1" ht="12" customHeight="1" thickBot="1">
      <c r="B29" s="28" t="s">
        <v>17</v>
      </c>
      <c r="C29" s="29">
        <f>SUM(C19,C16,C10,C22,C25,C28)</f>
        <v>172743</v>
      </c>
      <c r="D29" s="29">
        <f aca="true" t="shared" si="2" ref="D29:L29">SUM(D19,D16,D10)</f>
        <v>0</v>
      </c>
      <c r="E29" s="63">
        <f>SUM(D29/C29)*100</f>
        <v>0</v>
      </c>
      <c r="F29" s="29">
        <f t="shared" si="2"/>
        <v>0</v>
      </c>
      <c r="G29" s="63">
        <f>SUM(G18:G19)</f>
        <v>0</v>
      </c>
      <c r="H29" s="29">
        <f t="shared" si="2"/>
        <v>0</v>
      </c>
      <c r="I29" s="63">
        <f>SUM(I18:I19)</f>
        <v>0</v>
      </c>
      <c r="J29" s="29">
        <f t="shared" si="2"/>
        <v>152743</v>
      </c>
      <c r="K29" s="46">
        <f>SUM(J29/C29)*100</f>
        <v>88.42210682922028</v>
      </c>
      <c r="L29" s="29">
        <f t="shared" si="2"/>
        <v>20000</v>
      </c>
      <c r="M29" s="82">
        <f>SUM(L29/C29)*100</f>
        <v>11.577893170779713</v>
      </c>
      <c r="O29" s="98"/>
      <c r="P29" s="98"/>
    </row>
    <row r="30" spans="2:13" ht="12.75">
      <c r="B30" s="8"/>
      <c r="C30" s="9"/>
      <c r="D30" s="9"/>
      <c r="E30" s="13"/>
      <c r="F30" s="9"/>
      <c r="G30" s="10"/>
      <c r="H30" s="67"/>
      <c r="I30" s="73"/>
      <c r="J30" s="11"/>
      <c r="K30" s="76"/>
      <c r="L30" s="12"/>
      <c r="M30" s="8"/>
    </row>
    <row r="31" spans="8:11" s="3" customFormat="1" ht="12.75">
      <c r="H31" s="65"/>
      <c r="I31" s="65"/>
      <c r="J31" s="65"/>
      <c r="K31" s="65"/>
    </row>
    <row r="33" ht="12.75">
      <c r="J33" s="65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2" sqref="A2:L3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80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43"/>
      <c r="B1" s="43"/>
      <c r="C1" s="43"/>
      <c r="D1" s="77"/>
      <c r="E1" s="43"/>
      <c r="F1" s="43"/>
      <c r="G1" s="43"/>
      <c r="H1" s="43"/>
      <c r="I1" s="43"/>
      <c r="J1" s="43"/>
      <c r="K1" s="207" t="s">
        <v>31</v>
      </c>
      <c r="L1" s="207"/>
    </row>
    <row r="2" spans="1:12" ht="12.75">
      <c r="A2" s="208" t="s">
        <v>108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2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3.5" thickBot="1">
      <c r="A4" s="64"/>
      <c r="B4" s="64"/>
      <c r="C4" s="64"/>
      <c r="D4" s="78"/>
      <c r="E4" s="49"/>
      <c r="F4" s="50"/>
      <c r="G4" s="49"/>
      <c r="H4" s="50"/>
      <c r="I4" s="50"/>
      <c r="J4" s="50"/>
      <c r="K4" s="51"/>
      <c r="L4" s="60" t="s">
        <v>0</v>
      </c>
    </row>
    <row r="5" spans="1:12" ht="92.25" customHeight="1" thickBot="1">
      <c r="A5" s="44" t="s">
        <v>3</v>
      </c>
      <c r="B5" s="52" t="s">
        <v>69</v>
      </c>
      <c r="C5" s="52" t="s">
        <v>80</v>
      </c>
      <c r="D5" s="53" t="s">
        <v>70</v>
      </c>
      <c r="E5" s="52" t="s">
        <v>60</v>
      </c>
      <c r="F5" s="53" t="s">
        <v>71</v>
      </c>
      <c r="G5" s="52" t="s">
        <v>81</v>
      </c>
      <c r="H5" s="53" t="s">
        <v>73</v>
      </c>
      <c r="I5" s="53" t="s">
        <v>76</v>
      </c>
      <c r="J5" s="53" t="s">
        <v>48</v>
      </c>
      <c r="K5" s="54" t="s">
        <v>74</v>
      </c>
      <c r="L5" s="61" t="s">
        <v>75</v>
      </c>
    </row>
    <row r="6" spans="1:12" ht="12.75">
      <c r="A6" s="100"/>
      <c r="B6" s="15"/>
      <c r="C6" s="15"/>
      <c r="D6" s="104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92</v>
      </c>
      <c r="B7" s="20">
        <v>8000000</v>
      </c>
      <c r="C7" s="20"/>
      <c r="D7" s="105">
        <f>SUM(C7/B7)*100</f>
        <v>0</v>
      </c>
      <c r="E7" s="21"/>
      <c r="F7" s="22">
        <f>SUM(E7/B7)*100</f>
        <v>0</v>
      </c>
      <c r="G7" s="21"/>
      <c r="H7" s="22">
        <f>SUM(G7/B7*100)</f>
        <v>0</v>
      </c>
      <c r="I7" s="21"/>
      <c r="J7" s="17">
        <f>SUM(I7/B7*100)</f>
        <v>0</v>
      </c>
      <c r="K7" s="21">
        <f>SUM(B7-C7-E7-G7-I7)</f>
        <v>8000000</v>
      </c>
      <c r="L7" s="23">
        <f>SUM(K7/B7)*100</f>
        <v>100</v>
      </c>
    </row>
    <row r="8" spans="1:12" ht="12.75">
      <c r="A8" s="14" t="s">
        <v>94</v>
      </c>
      <c r="B8" s="20">
        <v>105172</v>
      </c>
      <c r="C8" s="20"/>
      <c r="D8" s="105">
        <f>SUM(C8/B8)*100</f>
        <v>0</v>
      </c>
      <c r="E8" s="21"/>
      <c r="F8" s="22">
        <f>SUM(E8/B8)*100</f>
        <v>0</v>
      </c>
      <c r="G8" s="21"/>
      <c r="H8" s="22">
        <f>SUM(G8/B8*100)</f>
        <v>0</v>
      </c>
      <c r="I8" s="21"/>
      <c r="J8" s="17">
        <f>SUM(I8/B8*100)</f>
        <v>0</v>
      </c>
      <c r="K8" s="21">
        <f>SUM(B8-C8-E8-G8-I8)</f>
        <v>105172</v>
      </c>
      <c r="L8" s="23">
        <f>SUM(K8/B8)*100</f>
        <v>100</v>
      </c>
    </row>
    <row r="9" spans="1:12" ht="13.5" thickBot="1">
      <c r="A9" s="14"/>
      <c r="B9" s="20"/>
      <c r="C9" s="20"/>
      <c r="D9" s="105"/>
      <c r="E9" s="21"/>
      <c r="F9" s="22"/>
      <c r="G9" s="21"/>
      <c r="H9" s="22"/>
      <c r="I9" s="21"/>
      <c r="J9" s="17"/>
      <c r="K9" s="21"/>
      <c r="L9" s="23"/>
    </row>
    <row r="10" spans="1:12" s="35" customFormat="1" ht="13.5" thickBot="1">
      <c r="A10" s="32" t="s">
        <v>39</v>
      </c>
      <c r="B10" s="29">
        <f>SUM(B6:B9)</f>
        <v>8105172</v>
      </c>
      <c r="C10" s="29">
        <f>SUM(C6:C9)</f>
        <v>0</v>
      </c>
      <c r="D10" s="106">
        <f>SUM(C10/B10)*100</f>
        <v>0</v>
      </c>
      <c r="E10" s="29">
        <f>SUM(E6:E9)</f>
        <v>0</v>
      </c>
      <c r="F10" s="63">
        <f>SUM(E10/B10*100)</f>
        <v>0</v>
      </c>
      <c r="G10" s="29">
        <f>SUM(G6:G9)</f>
        <v>0</v>
      </c>
      <c r="H10" s="33">
        <f>SUM(G10/B10*100)</f>
        <v>0</v>
      </c>
      <c r="I10" s="29">
        <f>SUM(I6:I9)</f>
        <v>0</v>
      </c>
      <c r="J10" s="33">
        <f>SUM(I10/B10*100)</f>
        <v>0</v>
      </c>
      <c r="K10" s="29">
        <f>SUM(K6:K9)</f>
        <v>8105172</v>
      </c>
      <c r="L10" s="48">
        <f>SUM(K10/B10)*100</f>
        <v>100</v>
      </c>
    </row>
    <row r="11" spans="3:11" ht="12.75">
      <c r="C11" s="6"/>
      <c r="D11" s="79"/>
      <c r="E11" s="3"/>
      <c r="F11" s="2"/>
      <c r="G11" s="3"/>
      <c r="H11" s="2"/>
      <c r="I11" s="2"/>
      <c r="J11" s="2"/>
      <c r="K11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tabSelected="1" zoomScalePageLayoutView="0" workbookViewId="0" topLeftCell="B1">
      <selection activeCell="C13" sqref="C13:E19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5" customWidth="1"/>
    <col min="9" max="9" width="8.375" style="69" customWidth="1"/>
    <col min="10" max="10" width="9.75390625" style="5" customWidth="1"/>
    <col min="11" max="11" width="10.00390625" style="74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10" t="s">
        <v>30</v>
      </c>
      <c r="M1" s="210"/>
    </row>
    <row r="2" spans="2:13" ht="18" customHeight="1">
      <c r="B2" s="209" t="s">
        <v>107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2:13" ht="12" customHeight="1" thickBot="1">
      <c r="B3" s="43"/>
      <c r="C3" s="55"/>
      <c r="D3" s="55"/>
      <c r="E3" s="56"/>
      <c r="F3" s="55"/>
      <c r="G3" s="57"/>
      <c r="H3" s="66"/>
      <c r="I3" s="70"/>
      <c r="J3" s="58"/>
      <c r="K3" s="75"/>
      <c r="L3" s="59"/>
      <c r="M3" s="60" t="s">
        <v>0</v>
      </c>
    </row>
    <row r="4" spans="2:13" s="62" customFormat="1" ht="51.75" customHeight="1" thickBot="1">
      <c r="B4" s="44" t="s">
        <v>3</v>
      </c>
      <c r="C4" s="52" t="s">
        <v>65</v>
      </c>
      <c r="D4" s="52" t="s">
        <v>80</v>
      </c>
      <c r="E4" s="53" t="s">
        <v>70</v>
      </c>
      <c r="F4" s="52" t="s">
        <v>60</v>
      </c>
      <c r="G4" s="53" t="s">
        <v>71</v>
      </c>
      <c r="H4" s="52" t="s">
        <v>81</v>
      </c>
      <c r="I4" s="53" t="s">
        <v>73</v>
      </c>
      <c r="J4" s="53" t="s">
        <v>76</v>
      </c>
      <c r="K4" s="53" t="s">
        <v>48</v>
      </c>
      <c r="L4" s="54" t="s">
        <v>74</v>
      </c>
      <c r="M4" s="61" t="s">
        <v>75</v>
      </c>
    </row>
    <row r="5" spans="2:13" ht="12" customHeight="1">
      <c r="B5" s="100" t="s">
        <v>96</v>
      </c>
      <c r="C5" s="20"/>
      <c r="D5" s="21"/>
      <c r="E5" s="22"/>
      <c r="F5" s="21"/>
      <c r="G5" s="17"/>
      <c r="H5" s="21"/>
      <c r="I5" s="71"/>
      <c r="J5" s="16"/>
      <c r="K5" s="17"/>
      <c r="L5" s="16">
        <f>SUM(C5-D5-F5-H5-J5)</f>
        <v>0</v>
      </c>
      <c r="M5" s="23"/>
    </row>
    <row r="6" spans="2:13" ht="12" customHeight="1">
      <c r="B6" s="14" t="s">
        <v>93</v>
      </c>
      <c r="C6" s="20">
        <v>5064888</v>
      </c>
      <c r="D6" s="21"/>
      <c r="E6" s="22">
        <f>SUM(D6/C6)*100</f>
        <v>0</v>
      </c>
      <c r="F6" s="21"/>
      <c r="G6" s="17">
        <f>SUM(F6/C6)*100</f>
        <v>0</v>
      </c>
      <c r="H6" s="21"/>
      <c r="I6" s="71">
        <f>SUM(H6/C6)*100</f>
        <v>0</v>
      </c>
      <c r="J6" s="16"/>
      <c r="K6" s="17">
        <f>SUM(J6/C6)*100</f>
        <v>0</v>
      </c>
      <c r="L6" s="16">
        <f>SUM(C6-D6-F6-H6-J6)</f>
        <v>5064888</v>
      </c>
      <c r="M6" s="23">
        <f>SUM(L6/C6)*100</f>
        <v>100</v>
      </c>
    </row>
    <row r="7" spans="2:13" ht="12" customHeight="1">
      <c r="B7" s="14" t="s">
        <v>94</v>
      </c>
      <c r="C7" s="20">
        <v>20000</v>
      </c>
      <c r="D7" s="21"/>
      <c r="E7" s="22">
        <f>SUM(D7/C7)*100</f>
        <v>0</v>
      </c>
      <c r="F7" s="21"/>
      <c r="G7" s="22">
        <f>SUM(F7/C7)*100</f>
        <v>0</v>
      </c>
      <c r="H7" s="21"/>
      <c r="I7" s="71">
        <f>SUM(H7/C7)*100</f>
        <v>0</v>
      </c>
      <c r="J7" s="16"/>
      <c r="K7" s="17">
        <f>SUM(J7/C7)*100</f>
        <v>0</v>
      </c>
      <c r="L7" s="16">
        <f>SUM(C7-D7-F7-H7-J7)</f>
        <v>20000</v>
      </c>
      <c r="M7" s="23">
        <f>SUM(L7/C7)*100</f>
        <v>100</v>
      </c>
    </row>
    <row r="8" spans="2:13" ht="12" customHeight="1" thickBot="1">
      <c r="B8" s="14" t="s">
        <v>95</v>
      </c>
      <c r="C8" s="20">
        <v>82953</v>
      </c>
      <c r="D8" s="21"/>
      <c r="E8" s="22">
        <f>SUM(D8/C8)*100</f>
        <v>0</v>
      </c>
      <c r="F8" s="21"/>
      <c r="G8" s="22">
        <f>SUM(F8/C8)*100</f>
        <v>0</v>
      </c>
      <c r="H8" s="21"/>
      <c r="I8" s="71">
        <f>SUM(H8/C8)*100</f>
        <v>0</v>
      </c>
      <c r="J8" s="16"/>
      <c r="K8" s="17">
        <f>SUM(J8/C8)*100</f>
        <v>0</v>
      </c>
      <c r="L8" s="16">
        <f>SUM(C8-D8-F8-H8-J8)</f>
        <v>82953</v>
      </c>
      <c r="M8" s="23">
        <f>SUM(L8/C8)*100</f>
        <v>100</v>
      </c>
    </row>
    <row r="9" spans="2:13" s="35" customFormat="1" ht="12" customHeight="1" thickBot="1">
      <c r="B9" s="32" t="s">
        <v>39</v>
      </c>
      <c r="C9" s="29">
        <f>SUM(C5:C8)</f>
        <v>5167841</v>
      </c>
      <c r="D9" s="29">
        <f>SUM(D5:D8)</f>
        <v>0</v>
      </c>
      <c r="E9" s="63">
        <f>SUM(D9/C9)*100</f>
        <v>0</v>
      </c>
      <c r="F9" s="29">
        <f>SUM(F5:F8)</f>
        <v>0</v>
      </c>
      <c r="G9" s="63">
        <f>SUM(F9/C9)*100</f>
        <v>0</v>
      </c>
      <c r="H9" s="29">
        <f>SUM(H5:H8)</f>
        <v>0</v>
      </c>
      <c r="I9" s="63">
        <f>SUM(H9/C9)*100</f>
        <v>0</v>
      </c>
      <c r="J9" s="29">
        <f>SUM(J5:J8)</f>
        <v>0</v>
      </c>
      <c r="K9" s="33">
        <f>SUM(J9/C9)*100</f>
        <v>0</v>
      </c>
      <c r="L9" s="29">
        <f>SUM(L5:L8)</f>
        <v>5167841</v>
      </c>
      <c r="M9" s="82">
        <f>SUM(L9/C9)*100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2018-01-18T14:23:01Z</cp:lastPrinted>
  <dcterms:created xsi:type="dcterms:W3CDTF">2009-02-04T11:37:44Z</dcterms:created>
  <dcterms:modified xsi:type="dcterms:W3CDTF">2018-01-18T14:23:04Z</dcterms:modified>
  <cp:category/>
  <cp:version/>
  <cp:contentType/>
  <cp:contentStatus/>
</cp:coreProperties>
</file>