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810" windowWidth="9375" windowHeight="4245"/>
  </bookViews>
  <sheets>
    <sheet name="több éves köt." sheetId="2" r:id="rId1"/>
  </sheets>
  <definedNames>
    <definedName name="_xlnm.Print_Titles" localSheetId="0">'több éves köt.'!$4:$7</definedName>
  </definedNames>
  <calcPr calcId="145621" fullCalcOnLoad="1"/>
</workbook>
</file>

<file path=xl/calcChain.xml><?xml version="1.0" encoding="utf-8"?>
<calcChain xmlns="http://schemas.openxmlformats.org/spreadsheetml/2006/main">
  <c r="H42" i="2"/>
  <c r="J42"/>
  <c r="G42"/>
  <c r="J51"/>
  <c r="J52"/>
  <c r="J53"/>
  <c r="J56"/>
  <c r="J57"/>
  <c r="J62"/>
  <c r="J64"/>
  <c r="J66"/>
  <c r="J69"/>
  <c r="J72"/>
  <c r="J73"/>
  <c r="J74"/>
  <c r="J75"/>
  <c r="J76"/>
  <c r="J77"/>
  <c r="J78"/>
  <c r="G43"/>
  <c r="J79"/>
  <c r="J22"/>
  <c r="J27"/>
  <c r="J34"/>
  <c r="J35"/>
  <c r="J36"/>
  <c r="J37"/>
  <c r="J38"/>
  <c r="J39"/>
  <c r="J40"/>
  <c r="J41"/>
  <c r="F18"/>
  <c r="G18"/>
  <c r="E42"/>
  <c r="I18"/>
  <c r="E66"/>
  <c r="E60"/>
  <c r="I68"/>
  <c r="I43"/>
  <c r="I80"/>
  <c r="H71"/>
  <c r="H43"/>
  <c r="G71"/>
  <c r="F71"/>
  <c r="F43"/>
  <c r="E71"/>
  <c r="J68"/>
  <c r="D71"/>
  <c r="J71"/>
  <c r="D70"/>
  <c r="J70"/>
  <c r="D67"/>
  <c r="J67"/>
  <c r="D65"/>
  <c r="J65"/>
  <c r="D64"/>
  <c r="D63"/>
  <c r="J63"/>
  <c r="D61"/>
  <c r="J61"/>
  <c r="D60"/>
  <c r="J60"/>
  <c r="D59"/>
  <c r="J59"/>
  <c r="D58"/>
  <c r="J58"/>
  <c r="D55"/>
  <c r="J55"/>
  <c r="D54"/>
  <c r="J54"/>
  <c r="D52"/>
  <c r="D50"/>
  <c r="J50"/>
  <c r="D49"/>
  <c r="J49"/>
  <c r="D48"/>
  <c r="J48"/>
  <c r="D46"/>
  <c r="D45"/>
  <c r="J45"/>
  <c r="D44"/>
  <c r="D43"/>
  <c r="D30"/>
  <c r="D29"/>
  <c r="D20"/>
  <c r="J20"/>
  <c r="D21"/>
  <c r="J21"/>
  <c r="D23"/>
  <c r="J23"/>
  <c r="D24"/>
  <c r="J24"/>
  <c r="D26"/>
  <c r="J26"/>
  <c r="D25"/>
  <c r="J25"/>
  <c r="D32"/>
  <c r="J32"/>
  <c r="D31"/>
  <c r="J31"/>
  <c r="D28"/>
  <c r="J28"/>
  <c r="D19"/>
  <c r="J19"/>
  <c r="D16"/>
  <c r="J16"/>
  <c r="J17"/>
  <c r="D13"/>
  <c r="J13"/>
  <c r="J14"/>
  <c r="J12"/>
  <c r="E70"/>
  <c r="E67"/>
  <c r="E59"/>
  <c r="E33"/>
  <c r="J33"/>
  <c r="E32"/>
  <c r="E30"/>
  <c r="J30"/>
  <c r="E29"/>
  <c r="E49"/>
  <c r="E43"/>
  <c r="J43"/>
  <c r="J80"/>
  <c r="E46"/>
  <c r="E17"/>
  <c r="J47"/>
  <c r="G14"/>
  <c r="G11"/>
  <c r="G80"/>
  <c r="G17"/>
  <c r="F17"/>
  <c r="F11"/>
  <c r="F80"/>
  <c r="F14"/>
  <c r="E14"/>
  <c r="E11"/>
  <c r="E18"/>
  <c r="J29"/>
  <c r="D18"/>
  <c r="D14"/>
  <c r="J46"/>
  <c r="J11"/>
  <c r="E80"/>
  <c r="H18"/>
  <c r="H80"/>
  <c r="J44"/>
  <c r="D17"/>
  <c r="D11"/>
  <c r="D80"/>
  <c r="J18"/>
</calcChain>
</file>

<file path=xl/sharedStrings.xml><?xml version="1.0" encoding="utf-8"?>
<sst xmlns="http://schemas.openxmlformats.org/spreadsheetml/2006/main" count="168" uniqueCount="143">
  <si>
    <t>Sorszám</t>
  </si>
  <si>
    <t xml:space="preserve">Kötelezettség jogcíme </t>
  </si>
  <si>
    <t>Kötelezettség-</t>
  </si>
  <si>
    <t xml:space="preserve">vállalás </t>
  </si>
  <si>
    <t xml:space="preserve">kifizetés </t>
  </si>
  <si>
    <t xml:space="preserve">éve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</si>
  <si>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</si>
  <si>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</si>
  <si>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</si>
  <si>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</si>
  <si>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</si>
  <si>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</si>
  <si>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</si>
  <si>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</si>
  <si>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</si>
  <si>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Működési célú hitel-törlesztés</t>
  </si>
  <si>
    <t>Felhalmozási célú hitel-törlesztés</t>
  </si>
  <si>
    <t>Összesen</t>
  </si>
  <si>
    <t>(tőke + kamat )</t>
  </si>
  <si>
    <t xml:space="preserve">Tőketörlesztés: Japán hitel </t>
  </si>
  <si>
    <t>Kamattörlesztés: Japán hitel</t>
  </si>
  <si>
    <t xml:space="preserve">                         Bef.sz.csat.ép. 2008.</t>
  </si>
  <si>
    <t xml:space="preserve">                       Bef.sz.csat.ép. 2008.</t>
  </si>
  <si>
    <t>11.</t>
  </si>
  <si>
    <t>12.</t>
  </si>
  <si>
    <t>14.</t>
  </si>
  <si>
    <t>15.</t>
  </si>
  <si>
    <t>16.</t>
  </si>
  <si>
    <t>17.</t>
  </si>
  <si>
    <t>18.</t>
  </si>
  <si>
    <t>21.</t>
  </si>
  <si>
    <t>Györgyi D. Ált.Isk.felúj.és tornaterem építése KDOP</t>
  </si>
  <si>
    <t>Városközpont megújítása KDOP</t>
  </si>
  <si>
    <t>Egészségügyi Központ építése KDOP</t>
  </si>
  <si>
    <t>22.</t>
  </si>
  <si>
    <t>23.</t>
  </si>
  <si>
    <t>Wesselényi strand rekonstruk. II. KDOP</t>
  </si>
  <si>
    <t>Polgármesteri Hivatal szervezetfejlesztése ÁROP</t>
  </si>
  <si>
    <t>Tőketörlesztés összesen:(3+4)</t>
  </si>
  <si>
    <t>10.</t>
  </si>
  <si>
    <t>6</t>
  </si>
  <si>
    <t>Kamattörlesztés összesen (6+7)</t>
  </si>
  <si>
    <t>(tőke + kamat) ( 5+8):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</si>
  <si>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</si>
  <si>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</si>
  <si>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</si>
  <si>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</si>
  <si>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</si>
  <si>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</si>
  <si>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</si>
  <si>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</si>
  <si>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</si>
  <si>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Szociális- és gyermekjóléti szolgáltatások komplex fejlesztése KDOP</t>
  </si>
  <si>
    <t>Balatonalmádi iskoláinak IKT infrastruktúra - fejlesztése TIOP</t>
  </si>
  <si>
    <t>TIOP könyvtári szolgáltatás összehangolt infrastruktúra fejlesztése</t>
  </si>
  <si>
    <t>33.</t>
  </si>
  <si>
    <t xml:space="preserve">Tudásdepó-express PKKK/Könyvtár  TÁMOP </t>
  </si>
  <si>
    <t>LEADER kultúrpark (szoborpark)</t>
  </si>
  <si>
    <t>13.</t>
  </si>
  <si>
    <t>"Európa Napok "</t>
  </si>
  <si>
    <t>34.</t>
  </si>
  <si>
    <t>35.</t>
  </si>
  <si>
    <t>19.</t>
  </si>
  <si>
    <t>Endre-Vörösmarty út csapadékvíz elvezetés KDOP</t>
  </si>
  <si>
    <t>20.</t>
  </si>
  <si>
    <t>36.</t>
  </si>
  <si>
    <t>Könyvtári szolgáltatásfejlesztések, helytörténeti tudásvagyon megosztása TÁMOP</t>
  </si>
  <si>
    <t>(4+5+6+..+10)</t>
  </si>
  <si>
    <t>38.</t>
  </si>
  <si>
    <t>Kulturális szakemberek továbbképzésének szervezése TÁMOP</t>
  </si>
  <si>
    <t>37.</t>
  </si>
  <si>
    <t>39.</t>
  </si>
  <si>
    <t>40.</t>
  </si>
  <si>
    <t>41.</t>
  </si>
  <si>
    <t xml:space="preserve">Térségi turisztikai projekt megvalósításának támog. (Turisztikai Egyesület részére) </t>
  </si>
  <si>
    <t>Tudásforrás-Kalauz a digitális írástudás készségének fejlesztéséhez általános iskolások számára TÁMOP</t>
  </si>
  <si>
    <t>42.</t>
  </si>
  <si>
    <t xml:space="preserve"> </t>
  </si>
  <si>
    <t>43.</t>
  </si>
  <si>
    <t>44.</t>
  </si>
  <si>
    <t>45.</t>
  </si>
  <si>
    <t>Balatonalmádi Városgondnokság napelemes rendszer telepítése</t>
  </si>
  <si>
    <t>LEADER hagyományörző kultúközpont kialakítása</t>
  </si>
  <si>
    <t>LEADER  hagyományörző kultúrközpont kialakítása</t>
  </si>
  <si>
    <t>46.</t>
  </si>
  <si>
    <t>2016.</t>
  </si>
  <si>
    <t>2017.</t>
  </si>
  <si>
    <t>Városközpont funkcióbővítő rehabilitációja II. ütem KDOP</t>
  </si>
  <si>
    <t>47.</t>
  </si>
  <si>
    <t>MLSZ kisméretű műfüves pálya üzemeltetése (73/2014. (IV.8.) Öh.)</t>
  </si>
  <si>
    <t>48.</t>
  </si>
  <si>
    <t>49.</t>
  </si>
  <si>
    <t>50.</t>
  </si>
  <si>
    <t>51.</t>
  </si>
  <si>
    <t>LEADER hagyományörző kultúrközpont fenntartási kiadásainak fedezésére (175/2013. VIII. 6. Öh.)</t>
  </si>
  <si>
    <t>52.</t>
  </si>
  <si>
    <t>2018.</t>
  </si>
  <si>
    <t>53.</t>
  </si>
  <si>
    <t>54.</t>
  </si>
  <si>
    <t>Balatonalmádi Városgondnokság közvilágítás RHD díjtartozással kapcsolatos fedezet biztosítása</t>
  </si>
  <si>
    <t>MLSZ kisméretű műfüves pálya tereprendezés (73/2014. (IV.8.) Öh.)</t>
  </si>
  <si>
    <t>Balatonalmádi 0112/12 helyrajzi számú Balaton-tó ingatlan bérleti díj  (9/2015. (I.29.) Öh.)</t>
  </si>
  <si>
    <t>Magyar-Angol Tannyelű Gimn. épületenergetikai fejlesztése KEOP  (161/2014. (VII.18.) Öh.)</t>
  </si>
  <si>
    <t>Aditus Tanácsadó és Szolgáltató Zrt. Tanácsadói, szolgáltatói díj (121/2015. (IV.30.) Öh.)</t>
  </si>
  <si>
    <t>Aditus Tanácsadó és Szolgáltató Zrt. Tanácsadói, szolgáltatói díj (90/2013. (IV.25.) Öh.)</t>
  </si>
  <si>
    <t>55.</t>
  </si>
  <si>
    <t>56.</t>
  </si>
  <si>
    <t>Balatonalmádi Városgondnokság közétkeztetési szolgáltatási kiadásai (148/2014. (VI.26.) Öh.; 273/2014. (XI.13.) Öh.)</t>
  </si>
  <si>
    <t>2019.</t>
  </si>
  <si>
    <t>2020. után</t>
  </si>
  <si>
    <t>2016.előtti</t>
  </si>
  <si>
    <t>Arany János Tehetséggondozó Program- szociális ösztöndíj támogatása 245/2013. (XI.28.)Öh</t>
  </si>
  <si>
    <t>Arany János Tehetséggondozó Program 258/2010. (X.28.)Öh</t>
  </si>
  <si>
    <t>Arany János Tehetséggondozó Program 290/2014. (XI.27.) Öh</t>
  </si>
  <si>
    <t>Balatonalmádi, 716/6 hrsz. ingatlan (műemlékegyüttes) felújítása 47/2016. (II.25.) Öh.</t>
  </si>
  <si>
    <t>Almádi Magocskák Óvoda új épületének építése után eszközbeszerzés 101/2016. (IV.28.) Öh.</t>
  </si>
  <si>
    <t>57.</t>
  </si>
  <si>
    <t>58.</t>
  </si>
  <si>
    <t>59.</t>
  </si>
  <si>
    <t>60.</t>
  </si>
  <si>
    <t>TOP-4.1.1-15 Balatonalmádi - Vörösberény városrész háziorvosi rendelők fejlesztése 21/2016. (II.10.) Öh.</t>
  </si>
  <si>
    <t>Balatonalmádi Sport Egyesület TAO forrásból megvalósuló élőfüves pálya, lelátó és öltöző 171/2016. (VI.23.) Öh.</t>
  </si>
  <si>
    <t>TOP-2.1.3-15. Környezetvédelmi infratruktúra (Séd vízrendezés) 60/2016. (III.31.) Öh.</t>
  </si>
  <si>
    <t>Almádi Magocskák Óvoda új épületének építése TOP-4.1.1-15. 100/2016. (IV.28.) Öh.</t>
  </si>
  <si>
    <t>Balatonalmádi Városháza energetikai megújítása VP-6-7.4.1.1-16. 135/2016. (V.26.) Öh.</t>
  </si>
  <si>
    <t>Balatonalmádi Gimnázium Kollégiumi épületrészének energetikai korszerűsítése TOP-3.2.1-15. 136/2016 (V.26.) Öh.</t>
  </si>
  <si>
    <t>Beruházás, felújítás és egyéb felhalm.c.kiadások (10+…34):</t>
  </si>
  <si>
    <t>61.</t>
  </si>
  <si>
    <t>62.</t>
  </si>
  <si>
    <t>63.</t>
  </si>
  <si>
    <t>TOP-1.2.1-15 Aktív sportos strandélet infrastrukturális fejlesztése a balatonalmádi Wesselényi strandon 61/2016. (III.31.) Öh</t>
  </si>
  <si>
    <t>TOP-1.2.1-15 Aktív sportos strandélet infrastrukturális fejlesztése a balatonalmádi Wesselényi strandon  61/2016. (III.31.) Öh</t>
  </si>
  <si>
    <t>Helyi foglalkoztatási együttműkdöések TOP-5.1.2-15. 191/2016. (VII.28.) Öh.</t>
  </si>
  <si>
    <t>64.</t>
  </si>
  <si>
    <t>65.</t>
  </si>
  <si>
    <t>66.</t>
  </si>
  <si>
    <t>67.</t>
  </si>
  <si>
    <t>68.</t>
  </si>
  <si>
    <t>69.</t>
  </si>
  <si>
    <t>70.</t>
  </si>
  <si>
    <t>71.</t>
  </si>
  <si>
    <t>Összesen (1+2+9+35):</t>
  </si>
  <si>
    <t>Működési kiadások összesen (36+…71):</t>
  </si>
</sst>
</file>

<file path=xl/styles.xml><?xml version="1.0" encoding="utf-8"?>
<styleSheet xmlns="http://schemas.openxmlformats.org/spreadsheetml/2006/main">
  <numFmts count="1">
    <numFmt numFmtId="172" formatCode="#\ ##0"/>
  </numFmts>
  <fonts count="1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3" fillId="0" borderId="2" xfId="0" applyFont="1" applyFill="1" applyBorder="1"/>
    <xf numFmtId="0" fontId="3" fillId="0" borderId="4" xfId="0" applyFont="1" applyFill="1" applyBorder="1"/>
    <xf numFmtId="0" fontId="4" fillId="0" borderId="8" xfId="0" applyFont="1" applyFill="1" applyBorder="1"/>
    <xf numFmtId="3" fontId="0" fillId="0" borderId="0" xfId="0" applyNumberFormat="1"/>
    <xf numFmtId="0" fontId="3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49" fontId="5" fillId="0" borderId="12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5" xfId="0" applyNumberFormat="1" applyFont="1" applyBorder="1"/>
    <xf numFmtId="0" fontId="3" fillId="0" borderId="0" xfId="0" applyFont="1" applyBorder="1"/>
    <xf numFmtId="3" fontId="3" fillId="0" borderId="16" xfId="0" applyNumberFormat="1" applyFont="1" applyBorder="1"/>
    <xf numFmtId="49" fontId="3" fillId="0" borderId="18" xfId="0" applyNumberFormat="1" applyFont="1" applyFill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1" fillId="0" borderId="0" xfId="0" applyFont="1"/>
    <xf numFmtId="49" fontId="4" fillId="0" borderId="20" xfId="0" applyNumberFormat="1" applyFont="1" applyBorder="1" applyAlignment="1">
      <alignment horizontal="center"/>
    </xf>
    <xf numFmtId="172" fontId="4" fillId="0" borderId="10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49" fontId="4" fillId="0" borderId="19" xfId="0" applyNumberFormat="1" applyFont="1" applyFill="1" applyBorder="1" applyAlignment="1">
      <alignment horizontal="center"/>
    </xf>
    <xf numFmtId="172" fontId="4" fillId="0" borderId="21" xfId="0" applyNumberFormat="1" applyFont="1" applyFill="1" applyBorder="1"/>
    <xf numFmtId="0" fontId="0" fillId="0" borderId="0" xfId="0" applyFill="1"/>
    <xf numFmtId="0" fontId="4" fillId="0" borderId="22" xfId="0" applyFont="1" applyFill="1" applyBorder="1"/>
    <xf numFmtId="0" fontId="4" fillId="0" borderId="23" xfId="0" applyFont="1" applyFill="1" applyBorder="1"/>
    <xf numFmtId="172" fontId="4" fillId="0" borderId="8" xfId="0" applyNumberFormat="1" applyFont="1" applyFill="1" applyBorder="1"/>
    <xf numFmtId="0" fontId="4" fillId="0" borderId="24" xfId="0" applyFont="1" applyFill="1" applyBorder="1"/>
    <xf numFmtId="49" fontId="5" fillId="0" borderId="12" xfId="0" applyNumberFormat="1" applyFont="1" applyFill="1" applyBorder="1" applyAlignment="1">
      <alignment horizontal="center"/>
    </xf>
    <xf numFmtId="0" fontId="2" fillId="0" borderId="7" xfId="0" applyFont="1" applyFill="1" applyBorder="1"/>
    <xf numFmtId="3" fontId="2" fillId="0" borderId="12" xfId="0" applyNumberFormat="1" applyFont="1" applyFill="1" applyBorder="1"/>
    <xf numFmtId="49" fontId="3" fillId="0" borderId="19" xfId="0" applyNumberFormat="1" applyFont="1" applyBorder="1" applyAlignment="1">
      <alignment horizontal="center"/>
    </xf>
    <xf numFmtId="3" fontId="3" fillId="0" borderId="19" xfId="0" applyNumberFormat="1" applyFont="1" applyBorder="1"/>
    <xf numFmtId="3" fontId="2" fillId="0" borderId="13" xfId="0" applyNumberFormat="1" applyFont="1" applyBorder="1"/>
    <xf numFmtId="172" fontId="4" fillId="0" borderId="11" xfId="0" applyNumberFormat="1" applyFont="1" applyFill="1" applyBorder="1"/>
    <xf numFmtId="172" fontId="4" fillId="0" borderId="25" xfId="0" applyNumberFormat="1" applyFont="1" applyFill="1" applyBorder="1"/>
    <xf numFmtId="0" fontId="4" fillId="0" borderId="26" xfId="0" applyFont="1" applyFill="1" applyBorder="1"/>
    <xf numFmtId="0" fontId="7" fillId="0" borderId="23" xfId="0" applyFont="1" applyFill="1" applyBorder="1"/>
    <xf numFmtId="0" fontId="4" fillId="0" borderId="27" xfId="0" applyFont="1" applyFill="1" applyBorder="1"/>
    <xf numFmtId="3" fontId="5" fillId="0" borderId="9" xfId="0" applyNumberFormat="1" applyFont="1" applyFill="1" applyBorder="1"/>
    <xf numFmtId="0" fontId="4" fillId="0" borderId="28" xfId="0" applyFont="1" applyFill="1" applyBorder="1"/>
    <xf numFmtId="0" fontId="7" fillId="0" borderId="24" xfId="0" applyFont="1" applyFill="1" applyBorder="1"/>
    <xf numFmtId="0" fontId="4" fillId="0" borderId="29" xfId="0" applyFont="1" applyFill="1" applyBorder="1"/>
    <xf numFmtId="0" fontId="8" fillId="0" borderId="0" xfId="0" applyFont="1"/>
    <xf numFmtId="172" fontId="4" fillId="0" borderId="30" xfId="0" applyNumberFormat="1" applyFont="1" applyFill="1" applyBorder="1"/>
    <xf numFmtId="0" fontId="8" fillId="0" borderId="0" xfId="0" applyFont="1" applyFill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5" fillId="0" borderId="9" xfId="0" applyNumberFormat="1" applyFont="1" applyBorder="1"/>
    <xf numFmtId="0" fontId="2" fillId="0" borderId="31" xfId="0" applyFont="1" applyBorder="1" applyAlignment="1">
      <alignment horizontal="center"/>
    </xf>
    <xf numFmtId="0" fontId="3" fillId="0" borderId="32" xfId="0" applyFont="1" applyBorder="1"/>
    <xf numFmtId="0" fontId="2" fillId="0" borderId="33" xfId="0" applyFont="1" applyBorder="1" applyAlignment="1">
      <alignment horizontal="center"/>
    </xf>
    <xf numFmtId="0" fontId="5" fillId="0" borderId="4" xfId="0" applyFont="1" applyBorder="1"/>
    <xf numFmtId="0" fontId="5" fillId="0" borderId="34" xfId="0" applyFont="1" applyFill="1" applyBorder="1"/>
    <xf numFmtId="172" fontId="5" fillId="0" borderId="34" xfId="0" applyNumberFormat="1" applyFont="1" applyBorder="1"/>
    <xf numFmtId="172" fontId="5" fillId="0" borderId="33" xfId="0" applyNumberFormat="1" applyFont="1" applyBorder="1"/>
    <xf numFmtId="0" fontId="2" fillId="0" borderId="35" xfId="0" applyFont="1" applyBorder="1"/>
    <xf numFmtId="0" fontId="2" fillId="0" borderId="36" xfId="0" applyFont="1" applyBorder="1" applyAlignment="1">
      <alignment horizontal="center"/>
    </xf>
    <xf numFmtId="0" fontId="3" fillId="0" borderId="33" xfId="0" applyFont="1" applyBorder="1"/>
    <xf numFmtId="0" fontId="2" fillId="0" borderId="32" xfId="0" applyFont="1" applyBorder="1" applyAlignment="1">
      <alignment horizontal="center"/>
    </xf>
    <xf numFmtId="3" fontId="4" fillId="0" borderId="37" xfId="0" applyNumberFormat="1" applyFont="1" applyBorder="1"/>
    <xf numFmtId="3" fontId="3" fillId="0" borderId="13" xfId="0" applyNumberFormat="1" applyFont="1" applyBorder="1"/>
    <xf numFmtId="172" fontId="5" fillId="0" borderId="16" xfId="0" applyNumberFormat="1" applyFont="1" applyBorder="1"/>
    <xf numFmtId="3" fontId="5" fillId="0" borderId="12" xfId="0" applyNumberFormat="1" applyFont="1" applyBorder="1"/>
    <xf numFmtId="0" fontId="3" fillId="0" borderId="22" xfId="0" applyFont="1" applyFill="1" applyBorder="1"/>
    <xf numFmtId="0" fontId="3" fillId="0" borderId="11" xfId="0" applyFont="1" applyFill="1" applyBorder="1"/>
    <xf numFmtId="172" fontId="3" fillId="0" borderId="11" xfId="0" applyNumberFormat="1" applyFont="1" applyFill="1" applyBorder="1"/>
    <xf numFmtId="172" fontId="3" fillId="0" borderId="25" xfId="0" applyNumberFormat="1" applyFont="1" applyFill="1" applyBorder="1"/>
    <xf numFmtId="0" fontId="3" fillId="0" borderId="23" xfId="0" applyFont="1" applyFill="1" applyBorder="1"/>
    <xf numFmtId="0" fontId="3" fillId="0" borderId="8" xfId="0" applyFont="1" applyFill="1" applyBorder="1"/>
    <xf numFmtId="172" fontId="3" fillId="0" borderId="8" xfId="0" applyNumberFormat="1" applyFont="1" applyFill="1" applyBorder="1"/>
    <xf numFmtId="172" fontId="3" fillId="0" borderId="30" xfId="0" applyNumberFormat="1" applyFont="1" applyFill="1" applyBorder="1"/>
    <xf numFmtId="0" fontId="4" fillId="0" borderId="38" xfId="0" applyFont="1" applyFill="1" applyBorder="1"/>
    <xf numFmtId="0" fontId="4" fillId="0" borderId="39" xfId="0" applyFont="1" applyFill="1" applyBorder="1"/>
    <xf numFmtId="172" fontId="4" fillId="0" borderId="39" xfId="0" applyNumberFormat="1" applyFont="1" applyFill="1" applyBorder="1"/>
    <xf numFmtId="172" fontId="4" fillId="0" borderId="40" xfId="0" applyNumberFormat="1" applyFont="1" applyFill="1" applyBorder="1"/>
    <xf numFmtId="0" fontId="4" fillId="0" borderId="41" xfId="0" applyFont="1" applyFill="1" applyBorder="1"/>
    <xf numFmtId="0" fontId="4" fillId="0" borderId="42" xfId="0" applyFont="1" applyFill="1" applyBorder="1"/>
    <xf numFmtId="172" fontId="4" fillId="0" borderId="42" xfId="0" applyNumberFormat="1" applyFont="1" applyFill="1" applyBorder="1"/>
    <xf numFmtId="172" fontId="4" fillId="0" borderId="43" xfId="0" applyNumberFormat="1" applyFont="1" applyFill="1" applyBorder="1"/>
    <xf numFmtId="0" fontId="5" fillId="0" borderId="35" xfId="0" applyFont="1" applyBorder="1"/>
    <xf numFmtId="0" fontId="5" fillId="0" borderId="9" xfId="0" applyFont="1" applyFill="1" applyBorder="1"/>
    <xf numFmtId="172" fontId="5" fillId="0" borderId="9" xfId="0" applyNumberFormat="1" applyFont="1" applyBorder="1"/>
    <xf numFmtId="172" fontId="5" fillId="0" borderId="44" xfId="0" applyNumberFormat="1" applyFont="1" applyBorder="1"/>
    <xf numFmtId="0" fontId="3" fillId="0" borderId="45" xfId="0" applyFont="1" applyFill="1" applyBorder="1"/>
    <xf numFmtId="0" fontId="3" fillId="0" borderId="46" xfId="0" applyFont="1" applyFill="1" applyBorder="1"/>
    <xf numFmtId="172" fontId="2" fillId="0" borderId="46" xfId="0" applyNumberFormat="1" applyFont="1" applyBorder="1"/>
    <xf numFmtId="0" fontId="3" fillId="0" borderId="45" xfId="0" applyFont="1" applyBorder="1"/>
    <xf numFmtId="0" fontId="3" fillId="0" borderId="47" xfId="0" applyFont="1" applyBorder="1"/>
    <xf numFmtId="172" fontId="2" fillId="0" borderId="48" xfId="0" applyNumberFormat="1" applyFont="1" applyBorder="1"/>
    <xf numFmtId="0" fontId="3" fillId="0" borderId="46" xfId="0" applyFont="1" applyBorder="1"/>
    <xf numFmtId="3" fontId="3" fillId="0" borderId="19" xfId="0" applyNumberFormat="1" applyFont="1" applyFill="1" applyBorder="1"/>
    <xf numFmtId="3" fontId="9" fillId="0" borderId="0" xfId="0" applyNumberFormat="1" applyFont="1" applyFill="1" applyBorder="1"/>
    <xf numFmtId="0" fontId="1" fillId="0" borderId="0" xfId="0" applyFont="1" applyFill="1"/>
    <xf numFmtId="3" fontId="2" fillId="0" borderId="9" xfId="0" applyNumberFormat="1" applyFont="1" applyFill="1" applyBorder="1"/>
    <xf numFmtId="0" fontId="11" fillId="0" borderId="0" xfId="0" applyFont="1" applyFill="1"/>
    <xf numFmtId="172" fontId="4" fillId="0" borderId="49" xfId="0" applyNumberFormat="1" applyFont="1" applyFill="1" applyBorder="1"/>
    <xf numFmtId="172" fontId="4" fillId="0" borderId="50" xfId="0" applyNumberFormat="1" applyFont="1" applyFill="1" applyBorder="1"/>
    <xf numFmtId="0" fontId="4" fillId="0" borderId="28" xfId="0" applyFont="1" applyFill="1" applyBorder="1" applyAlignment="1">
      <alignment wrapText="1"/>
    </xf>
    <xf numFmtId="3" fontId="4" fillId="0" borderId="51" xfId="0" applyNumberFormat="1" applyFont="1" applyFill="1" applyBorder="1"/>
    <xf numFmtId="0" fontId="4" fillId="0" borderId="24" xfId="0" applyFont="1" applyFill="1" applyBorder="1" applyAlignment="1">
      <alignment wrapText="1"/>
    </xf>
    <xf numFmtId="3" fontId="3" fillId="0" borderId="37" xfId="0" applyNumberFormat="1" applyFont="1" applyFill="1" applyBorder="1"/>
    <xf numFmtId="0" fontId="7" fillId="0" borderId="28" xfId="0" applyFont="1" applyFill="1" applyBorder="1"/>
    <xf numFmtId="0" fontId="4" fillId="0" borderId="34" xfId="0" applyFont="1" applyFill="1" applyBorder="1"/>
    <xf numFmtId="172" fontId="4" fillId="0" borderId="10" xfId="0" applyNumberFormat="1" applyFont="1" applyFill="1" applyBorder="1" applyAlignment="1"/>
    <xf numFmtId="172" fontId="4" fillId="0" borderId="21" xfId="0" applyNumberFormat="1" applyFont="1" applyFill="1" applyBorder="1" applyAlignment="1"/>
    <xf numFmtId="3" fontId="3" fillId="0" borderId="51" xfId="0" applyNumberFormat="1" applyFont="1" applyFill="1" applyBorder="1"/>
    <xf numFmtId="3" fontId="10" fillId="0" borderId="52" xfId="0" applyNumberFormat="1" applyFont="1" applyFill="1" applyBorder="1" applyAlignment="1">
      <alignment wrapText="1"/>
    </xf>
    <xf numFmtId="3" fontId="5" fillId="0" borderId="12" xfId="0" applyNumberFormat="1" applyFont="1" applyFill="1" applyBorder="1"/>
    <xf numFmtId="3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45" xfId="0" applyNumberFormat="1" applyFont="1" applyBorder="1"/>
    <xf numFmtId="3" fontId="2" fillId="0" borderId="46" xfId="0" applyNumberFormat="1" applyFont="1" applyBorder="1"/>
    <xf numFmtId="3" fontId="3" fillId="0" borderId="11" xfId="0" applyNumberFormat="1" applyFont="1" applyFill="1" applyBorder="1"/>
    <xf numFmtId="3" fontId="3" fillId="0" borderId="8" xfId="0" applyNumberFormat="1" applyFont="1" applyFill="1" applyBorder="1"/>
    <xf numFmtId="3" fontId="4" fillId="0" borderId="39" xfId="0" applyNumberFormat="1" applyFont="1" applyFill="1" applyBorder="1"/>
    <xf numFmtId="3" fontId="4" fillId="0" borderId="42" xfId="0" applyNumberFormat="1" applyFont="1" applyFill="1" applyBorder="1"/>
    <xf numFmtId="3" fontId="5" fillId="0" borderId="34" xfId="0" applyNumberFormat="1" applyFont="1" applyBorder="1"/>
    <xf numFmtId="3" fontId="4" fillId="0" borderId="11" xfId="0" applyNumberFormat="1" applyFont="1" applyFill="1" applyBorder="1"/>
    <xf numFmtId="3" fontId="4" fillId="0" borderId="10" xfId="0" applyNumberFormat="1" applyFont="1" applyFill="1" applyBorder="1"/>
    <xf numFmtId="3" fontId="4" fillId="0" borderId="8" xfId="0" applyNumberFormat="1" applyFont="1" applyFill="1" applyBorder="1"/>
    <xf numFmtId="3" fontId="2" fillId="0" borderId="4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46" xfId="0" applyNumberFormat="1" applyFont="1" applyBorder="1" applyAlignment="1">
      <alignment horizontal="center"/>
    </xf>
    <xf numFmtId="3" fontId="3" fillId="0" borderId="14" xfId="0" applyNumberFormat="1" applyFont="1" applyBorder="1"/>
    <xf numFmtId="3" fontId="3" fillId="0" borderId="0" xfId="0" applyNumberFormat="1" applyFont="1" applyBorder="1"/>
    <xf numFmtId="3" fontId="4" fillId="0" borderId="21" xfId="0" applyNumberFormat="1" applyFont="1" applyFill="1" applyBorder="1"/>
    <xf numFmtId="3" fontId="4" fillId="0" borderId="30" xfId="0" applyNumberFormat="1" applyFont="1" applyFill="1" applyBorder="1"/>
    <xf numFmtId="3" fontId="4" fillId="0" borderId="53" xfId="0" applyNumberFormat="1" applyFont="1" applyFill="1" applyBorder="1"/>
    <xf numFmtId="49" fontId="4" fillId="0" borderId="51" xfId="0" applyNumberFormat="1" applyFont="1" applyFill="1" applyBorder="1" applyAlignment="1">
      <alignment horizontal="center"/>
    </xf>
    <xf numFmtId="172" fontId="4" fillId="0" borderId="54" xfId="0" applyNumberFormat="1" applyFont="1" applyFill="1" applyBorder="1"/>
    <xf numFmtId="0" fontId="4" fillId="0" borderId="26" xfId="0" applyFont="1" applyFill="1" applyBorder="1" applyAlignment="1">
      <alignment wrapText="1"/>
    </xf>
    <xf numFmtId="172" fontId="4" fillId="0" borderId="55" xfId="0" applyNumberFormat="1" applyFont="1" applyFill="1" applyBorder="1"/>
    <xf numFmtId="49" fontId="4" fillId="0" borderId="37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wrapText="1"/>
    </xf>
    <xf numFmtId="0" fontId="4" fillId="0" borderId="10" xfId="0" applyFont="1" applyFill="1" applyBorder="1" applyAlignment="1"/>
    <xf numFmtId="3" fontId="4" fillId="0" borderId="10" xfId="0" applyNumberFormat="1" applyFont="1" applyFill="1" applyBorder="1" applyAlignment="1"/>
    <xf numFmtId="3" fontId="4" fillId="0" borderId="21" xfId="0" applyNumberFormat="1" applyFont="1" applyFill="1" applyBorder="1" applyAlignment="1"/>
    <xf numFmtId="3" fontId="3" fillId="0" borderId="51" xfId="0" applyNumberFormat="1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84"/>
  <sheetViews>
    <sheetView tabSelected="1" showWhiteSpace="0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2" max="2" width="64.5" customWidth="1"/>
    <col min="3" max="3" width="16.33203125" bestFit="1" customWidth="1"/>
    <col min="4" max="4" width="15.33203125" style="15" customWidth="1"/>
    <col min="5" max="5" width="13.6640625" style="15" customWidth="1"/>
    <col min="6" max="6" width="13.1640625" style="15" customWidth="1"/>
    <col min="7" max="7" width="13" customWidth="1"/>
    <col min="8" max="8" width="13" bestFit="1" customWidth="1"/>
    <col min="9" max="9" width="12.5" customWidth="1"/>
    <col min="10" max="10" width="15.33203125" style="15" customWidth="1"/>
  </cols>
  <sheetData>
    <row r="3" spans="1:10" ht="13.5" thickBot="1"/>
    <row r="4" spans="1:10">
      <c r="A4" s="1" t="s">
        <v>0</v>
      </c>
      <c r="B4" s="2" t="s">
        <v>1</v>
      </c>
      <c r="C4" s="2" t="s">
        <v>2</v>
      </c>
      <c r="D4" s="126" t="s">
        <v>110</v>
      </c>
      <c r="E4" s="142"/>
      <c r="F4" s="142"/>
      <c r="G4" s="21"/>
      <c r="H4" s="76"/>
      <c r="I4" s="76"/>
      <c r="J4" s="22" t="s">
        <v>17</v>
      </c>
    </row>
    <row r="5" spans="1:10">
      <c r="A5" s="3"/>
      <c r="B5" s="4"/>
      <c r="C5" s="5" t="s">
        <v>3</v>
      </c>
      <c r="D5" s="127" t="s">
        <v>4</v>
      </c>
      <c r="E5" s="127" t="s">
        <v>85</v>
      </c>
      <c r="F5" s="143" t="s">
        <v>86</v>
      </c>
      <c r="G5" s="68" t="s">
        <v>96</v>
      </c>
      <c r="H5" s="68" t="s">
        <v>108</v>
      </c>
      <c r="I5" s="68" t="s">
        <v>109</v>
      </c>
      <c r="J5" s="23" t="s">
        <v>67</v>
      </c>
    </row>
    <row r="6" spans="1:10" ht="13.5" thickBot="1">
      <c r="A6" s="6"/>
      <c r="B6" s="7"/>
      <c r="C6" s="8" t="s">
        <v>5</v>
      </c>
      <c r="D6" s="128"/>
      <c r="E6" s="144"/>
      <c r="F6" s="145"/>
      <c r="G6" s="24"/>
      <c r="H6" s="74"/>
      <c r="I6" s="74"/>
      <c r="J6" s="25"/>
    </row>
    <row r="7" spans="1:10" ht="13.5" thickBot="1">
      <c r="A7" s="26" t="s">
        <v>6</v>
      </c>
      <c r="B7" s="9" t="s">
        <v>7</v>
      </c>
      <c r="C7" s="9" t="s">
        <v>8</v>
      </c>
      <c r="D7" s="129" t="s">
        <v>9</v>
      </c>
      <c r="E7" s="129" t="s">
        <v>11</v>
      </c>
      <c r="F7" s="129" t="s">
        <v>12</v>
      </c>
      <c r="G7" s="66" t="s">
        <v>13</v>
      </c>
      <c r="H7" s="74" t="s">
        <v>14</v>
      </c>
      <c r="I7" s="74" t="s">
        <v>39</v>
      </c>
      <c r="J7" s="27">
        <v>11</v>
      </c>
    </row>
    <row r="8" spans="1:10">
      <c r="A8" s="161" t="s">
        <v>6</v>
      </c>
      <c r="B8" s="10" t="s">
        <v>15</v>
      </c>
      <c r="C8" s="12"/>
      <c r="D8" s="130"/>
      <c r="E8" s="130"/>
      <c r="F8" s="146"/>
      <c r="G8" s="67"/>
      <c r="H8" s="104"/>
      <c r="I8" s="29"/>
      <c r="J8" s="28"/>
    </row>
    <row r="9" spans="1:10" ht="14.25" customHeight="1" thickBot="1">
      <c r="A9" s="162"/>
      <c r="B9" s="11" t="s">
        <v>18</v>
      </c>
      <c r="C9" s="13"/>
      <c r="D9" s="131"/>
      <c r="E9" s="131">
        <v>0</v>
      </c>
      <c r="F9" s="147"/>
      <c r="G9" s="75"/>
      <c r="H9" s="107"/>
      <c r="I9" s="29"/>
      <c r="J9" s="30"/>
    </row>
    <row r="10" spans="1:10">
      <c r="A10" s="161" t="s">
        <v>7</v>
      </c>
      <c r="B10" s="36" t="s">
        <v>16</v>
      </c>
      <c r="C10" s="101"/>
      <c r="D10" s="132"/>
      <c r="E10" s="132"/>
      <c r="F10" s="132"/>
      <c r="G10" s="104"/>
      <c r="H10" s="104"/>
      <c r="I10" s="105"/>
      <c r="J10" s="28"/>
    </row>
    <row r="11" spans="1:10" ht="13.5" thickBot="1">
      <c r="A11" s="163"/>
      <c r="B11" s="37" t="s">
        <v>42</v>
      </c>
      <c r="C11" s="102"/>
      <c r="D11" s="133">
        <f>D14+D17</f>
        <v>549852000</v>
      </c>
      <c r="E11" s="133">
        <f>E14+E17</f>
        <v>0</v>
      </c>
      <c r="F11" s="133">
        <f>F14+F17</f>
        <v>0</v>
      </c>
      <c r="G11" s="103">
        <f>G14+G17</f>
        <v>0</v>
      </c>
      <c r="H11" s="103"/>
      <c r="I11" s="106"/>
      <c r="J11" s="50">
        <f>J14+J17</f>
        <v>549852000</v>
      </c>
    </row>
    <row r="12" spans="1:10" ht="18.75" customHeight="1">
      <c r="A12" s="48" t="s">
        <v>8</v>
      </c>
      <c r="B12" s="81" t="s">
        <v>19</v>
      </c>
      <c r="C12" s="82">
        <v>1995</v>
      </c>
      <c r="D12" s="134">
        <v>251714000</v>
      </c>
      <c r="E12" s="134"/>
      <c r="F12" s="134"/>
      <c r="G12" s="84"/>
      <c r="H12" s="83"/>
      <c r="I12" s="84"/>
      <c r="J12" s="49">
        <f>SUM(D12:I12)</f>
        <v>251714000</v>
      </c>
    </row>
    <row r="13" spans="1:10" ht="18" customHeight="1" thickBot="1">
      <c r="A13" s="31" t="s">
        <v>9</v>
      </c>
      <c r="B13" s="85" t="s">
        <v>22</v>
      </c>
      <c r="C13" s="86">
        <v>2008</v>
      </c>
      <c r="D13" s="135">
        <f>35000000+15000000+30280000+154860000</f>
        <v>235140000</v>
      </c>
      <c r="E13" s="135"/>
      <c r="F13" s="135"/>
      <c r="G13" s="88"/>
      <c r="H13" s="87"/>
      <c r="I13" s="88"/>
      <c r="J13" s="30">
        <f>SUM(D13:I13)</f>
        <v>235140000</v>
      </c>
    </row>
    <row r="14" spans="1:10" ht="18" customHeight="1" thickBot="1">
      <c r="A14" s="20" t="s">
        <v>10</v>
      </c>
      <c r="B14" s="97" t="s">
        <v>38</v>
      </c>
      <c r="C14" s="98"/>
      <c r="D14" s="65">
        <f t="shared" ref="D14:J14" si="0">SUM(D12:D13)</f>
        <v>486854000</v>
      </c>
      <c r="E14" s="65">
        <f t="shared" si="0"/>
        <v>0</v>
      </c>
      <c r="F14" s="65">
        <f t="shared" si="0"/>
        <v>0</v>
      </c>
      <c r="G14" s="100">
        <f t="shared" si="0"/>
        <v>0</v>
      </c>
      <c r="H14" s="99"/>
      <c r="I14" s="100"/>
      <c r="J14" s="80">
        <f t="shared" si="0"/>
        <v>486854000</v>
      </c>
    </row>
    <row r="15" spans="1:10" s="33" customFormat="1" ht="18" customHeight="1">
      <c r="A15" s="32" t="s">
        <v>40</v>
      </c>
      <c r="B15" s="89" t="s">
        <v>20</v>
      </c>
      <c r="C15" s="90"/>
      <c r="D15" s="136"/>
      <c r="E15" s="136"/>
      <c r="F15" s="136"/>
      <c r="G15" s="92"/>
      <c r="H15" s="91"/>
      <c r="I15" s="92"/>
      <c r="J15" s="77"/>
    </row>
    <row r="16" spans="1:10" s="33" customFormat="1" ht="18" customHeight="1" thickBot="1">
      <c r="A16" s="34" t="s">
        <v>12</v>
      </c>
      <c r="B16" s="93" t="s">
        <v>21</v>
      </c>
      <c r="C16" s="94">
        <v>2008</v>
      </c>
      <c r="D16" s="137">
        <f>7691000+8669000+7769000+13450000+14541000+9237000+1641000</f>
        <v>62998000</v>
      </c>
      <c r="E16" s="137"/>
      <c r="F16" s="137"/>
      <c r="G16" s="96"/>
      <c r="H16" s="95"/>
      <c r="I16" s="96"/>
      <c r="J16" s="78">
        <f>SUM(D16:I16)</f>
        <v>62998000</v>
      </c>
    </row>
    <row r="17" spans="1:10" s="33" customFormat="1" ht="18" customHeight="1" thickBot="1">
      <c r="A17" s="19" t="s">
        <v>13</v>
      </c>
      <c r="B17" s="69" t="s">
        <v>41</v>
      </c>
      <c r="C17" s="70"/>
      <c r="D17" s="138">
        <f t="shared" ref="D17:J17" si="1">SUM(D15:D16)</f>
        <v>62998000</v>
      </c>
      <c r="E17" s="138">
        <f t="shared" si="1"/>
        <v>0</v>
      </c>
      <c r="F17" s="138">
        <f t="shared" si="1"/>
        <v>0</v>
      </c>
      <c r="G17" s="72">
        <f t="shared" si="1"/>
        <v>0</v>
      </c>
      <c r="H17" s="71"/>
      <c r="I17" s="72"/>
      <c r="J17" s="79">
        <f t="shared" si="1"/>
        <v>62998000</v>
      </c>
    </row>
    <row r="18" spans="1:10" ht="18" customHeight="1" thickBot="1">
      <c r="A18" s="19" t="s">
        <v>14</v>
      </c>
      <c r="B18" s="73" t="s">
        <v>126</v>
      </c>
      <c r="C18" s="16"/>
      <c r="D18" s="65">
        <f t="shared" ref="D18:I18" si="2">SUM(D19:D42)</f>
        <v>1976377000</v>
      </c>
      <c r="E18" s="65">
        <f t="shared" si="2"/>
        <v>140235608</v>
      </c>
      <c r="F18" s="65">
        <f t="shared" si="2"/>
        <v>64098904</v>
      </c>
      <c r="G18" s="65">
        <f t="shared" si="2"/>
        <v>75369302</v>
      </c>
      <c r="H18" s="65">
        <f t="shared" si="2"/>
        <v>36977329</v>
      </c>
      <c r="I18" s="65">
        <f t="shared" si="2"/>
        <v>0</v>
      </c>
      <c r="J18" s="80">
        <f>SUM(D18:I18)</f>
        <v>2293058143</v>
      </c>
    </row>
    <row r="19" spans="1:10" ht="18" customHeight="1">
      <c r="A19" s="38" t="s">
        <v>39</v>
      </c>
      <c r="B19" s="41" t="s">
        <v>31</v>
      </c>
      <c r="C19" s="18">
        <v>2008</v>
      </c>
      <c r="D19" s="139">
        <f>326651000+188000+1000+11104000</f>
        <v>337944000</v>
      </c>
      <c r="E19" s="139"/>
      <c r="F19" s="139"/>
      <c r="G19" s="52"/>
      <c r="H19" s="51"/>
      <c r="I19" s="52"/>
      <c r="J19" s="49">
        <f t="shared" ref="J19:J41" si="3">SUM(D19:I19)</f>
        <v>337944000</v>
      </c>
    </row>
    <row r="20" spans="1:10" ht="18" customHeight="1">
      <c r="A20" s="38" t="s">
        <v>23</v>
      </c>
      <c r="B20" s="53" t="s">
        <v>36</v>
      </c>
      <c r="C20" s="17">
        <v>2008</v>
      </c>
      <c r="D20" s="140">
        <f>238246000+10027000+8581000</f>
        <v>256854000</v>
      </c>
      <c r="E20" s="140"/>
      <c r="F20" s="140"/>
      <c r="G20" s="39"/>
      <c r="H20" s="35"/>
      <c r="I20" s="39"/>
      <c r="J20" s="49">
        <f t="shared" si="3"/>
        <v>256854000</v>
      </c>
    </row>
    <row r="21" spans="1:10" s="40" customFormat="1" ht="18" customHeight="1">
      <c r="A21" s="38" t="s">
        <v>24</v>
      </c>
      <c r="B21" s="53" t="s">
        <v>33</v>
      </c>
      <c r="C21" s="17">
        <v>2008</v>
      </c>
      <c r="D21" s="140">
        <f>9973000+4932000+251690000+307438000+48719000+15628000</f>
        <v>638380000</v>
      </c>
      <c r="E21" s="140"/>
      <c r="F21" s="140"/>
      <c r="G21" s="39"/>
      <c r="H21" s="35"/>
      <c r="I21" s="39"/>
      <c r="J21" s="49">
        <f t="shared" si="3"/>
        <v>638380000</v>
      </c>
    </row>
    <row r="22" spans="1:10" ht="18" customHeight="1">
      <c r="A22" s="38" t="s">
        <v>58</v>
      </c>
      <c r="B22" s="42" t="s">
        <v>32</v>
      </c>
      <c r="C22" s="14">
        <v>2008</v>
      </c>
      <c r="D22" s="141">
        <v>120759000</v>
      </c>
      <c r="E22" s="141"/>
      <c r="F22" s="140"/>
      <c r="G22" s="39"/>
      <c r="H22" s="35"/>
      <c r="I22" s="39"/>
      <c r="J22" s="49">
        <f t="shared" si="3"/>
        <v>120759000</v>
      </c>
    </row>
    <row r="23" spans="1:10" s="60" customFormat="1" ht="18" customHeight="1">
      <c r="A23" s="38" t="s">
        <v>25</v>
      </c>
      <c r="B23" s="54" t="s">
        <v>52</v>
      </c>
      <c r="C23" s="14">
        <v>2009</v>
      </c>
      <c r="D23" s="141">
        <f>1901000+1210000+30457000+20086000+47329000+226000+20571000+32429000</f>
        <v>154209000</v>
      </c>
      <c r="E23" s="141"/>
      <c r="F23" s="140"/>
      <c r="G23" s="39"/>
      <c r="H23" s="35"/>
      <c r="I23" s="39"/>
      <c r="J23" s="49">
        <f t="shared" si="3"/>
        <v>154209000</v>
      </c>
    </row>
    <row r="24" spans="1:10" s="60" customFormat="1" ht="18" customHeight="1">
      <c r="A24" s="38" t="s">
        <v>26</v>
      </c>
      <c r="B24" s="42" t="s">
        <v>53</v>
      </c>
      <c r="C24" s="14">
        <v>2009</v>
      </c>
      <c r="D24" s="141">
        <f>13439000+300000</f>
        <v>13739000</v>
      </c>
      <c r="E24" s="141"/>
      <c r="F24" s="140"/>
      <c r="G24" s="39"/>
      <c r="H24" s="35"/>
      <c r="I24" s="39"/>
      <c r="J24" s="49">
        <f t="shared" si="3"/>
        <v>13739000</v>
      </c>
    </row>
    <row r="25" spans="1:10" s="62" customFormat="1" ht="18" customHeight="1">
      <c r="A25" s="38" t="s">
        <v>27</v>
      </c>
      <c r="B25" s="42" t="s">
        <v>37</v>
      </c>
      <c r="C25" s="14">
        <v>2008</v>
      </c>
      <c r="D25" s="141">
        <f>4450000</f>
        <v>4450000</v>
      </c>
      <c r="E25" s="141"/>
      <c r="F25" s="140"/>
      <c r="G25" s="39"/>
      <c r="H25" s="35"/>
      <c r="I25" s="39"/>
      <c r="J25" s="49">
        <f t="shared" si="3"/>
        <v>4450000</v>
      </c>
    </row>
    <row r="26" spans="1:10" s="62" customFormat="1" ht="18" customHeight="1">
      <c r="A26" s="38" t="s">
        <v>28</v>
      </c>
      <c r="B26" s="53" t="s">
        <v>57</v>
      </c>
      <c r="C26" s="17">
        <v>2009</v>
      </c>
      <c r="D26" s="140">
        <f>1094000+291000+9839000+1851000+27321000</f>
        <v>40396000</v>
      </c>
      <c r="E26" s="140"/>
      <c r="F26" s="140"/>
      <c r="G26" s="39"/>
      <c r="H26" s="35"/>
      <c r="I26" s="39"/>
      <c r="J26" s="49">
        <f t="shared" si="3"/>
        <v>40396000</v>
      </c>
    </row>
    <row r="27" spans="1:10" s="62" customFormat="1" ht="18" customHeight="1">
      <c r="A27" s="38" t="s">
        <v>29</v>
      </c>
      <c r="B27" s="55" t="s">
        <v>54</v>
      </c>
      <c r="C27" s="17">
        <v>2009</v>
      </c>
      <c r="D27" s="140">
        <v>2027000</v>
      </c>
      <c r="E27" s="140"/>
      <c r="F27" s="140"/>
      <c r="G27" s="39"/>
      <c r="H27" s="35"/>
      <c r="I27" s="39"/>
      <c r="J27" s="49">
        <f t="shared" si="3"/>
        <v>2027000</v>
      </c>
    </row>
    <row r="28" spans="1:10" s="62" customFormat="1" ht="18" customHeight="1">
      <c r="A28" s="38" t="s">
        <v>62</v>
      </c>
      <c r="B28" s="42" t="s">
        <v>63</v>
      </c>
      <c r="C28" s="14">
        <v>2011</v>
      </c>
      <c r="D28" s="141">
        <f>2250000+583000+77339000</f>
        <v>80172000</v>
      </c>
      <c r="E28" s="141"/>
      <c r="F28" s="141"/>
      <c r="G28" s="61"/>
      <c r="H28" s="35"/>
      <c r="I28" s="39"/>
      <c r="J28" s="49">
        <f t="shared" si="3"/>
        <v>80172000</v>
      </c>
    </row>
    <row r="29" spans="1:10" s="62" customFormat="1" ht="18" customHeight="1">
      <c r="A29" s="38" t="s">
        <v>64</v>
      </c>
      <c r="B29" s="42" t="s">
        <v>87</v>
      </c>
      <c r="C29" s="14">
        <v>2013</v>
      </c>
      <c r="D29" s="141">
        <f>1962000+2649000+6344000+2462000+40605000</f>
        <v>54022000</v>
      </c>
      <c r="E29" s="141">
        <f>51845-6344-2462-40605-141-2294+1</f>
        <v>0</v>
      </c>
      <c r="F29" s="141"/>
      <c r="G29" s="61"/>
      <c r="H29" s="43"/>
      <c r="I29" s="61"/>
      <c r="J29" s="49">
        <f t="shared" si="3"/>
        <v>54022000</v>
      </c>
    </row>
    <row r="30" spans="1:10" s="62" customFormat="1" ht="18" customHeight="1">
      <c r="A30" s="38" t="s">
        <v>30</v>
      </c>
      <c r="B30" s="42" t="s">
        <v>82</v>
      </c>
      <c r="C30" s="14">
        <v>2013</v>
      </c>
      <c r="D30" s="141">
        <f>431000+6694000+27314000+325000</f>
        <v>34764000</v>
      </c>
      <c r="E30" s="141">
        <f>38209-6694-27314-2200-872-1129</f>
        <v>0</v>
      </c>
      <c r="F30" s="141"/>
      <c r="G30" s="61"/>
      <c r="H30" s="43"/>
      <c r="I30" s="61"/>
      <c r="J30" s="49">
        <f t="shared" si="3"/>
        <v>34764000</v>
      </c>
    </row>
    <row r="31" spans="1:10" s="62" customFormat="1" ht="18" customHeight="1">
      <c r="A31" s="38" t="s">
        <v>34</v>
      </c>
      <c r="B31" s="42" t="s">
        <v>81</v>
      </c>
      <c r="C31" s="14">
        <v>2013</v>
      </c>
      <c r="D31" s="141">
        <f>370000+53850000</f>
        <v>54220000</v>
      </c>
      <c r="E31" s="141"/>
      <c r="F31" s="141"/>
      <c r="G31" s="61"/>
      <c r="H31" s="43"/>
      <c r="I31" s="61"/>
      <c r="J31" s="49">
        <f t="shared" si="3"/>
        <v>54220000</v>
      </c>
    </row>
    <row r="32" spans="1:10" s="62" customFormat="1" ht="24">
      <c r="A32" s="38" t="s">
        <v>35</v>
      </c>
      <c r="B32" s="124" t="s">
        <v>102</v>
      </c>
      <c r="C32" s="14">
        <v>2015</v>
      </c>
      <c r="D32" s="141">
        <f>953000+181610000</f>
        <v>182563000</v>
      </c>
      <c r="E32" s="141">
        <f>141600+165+38066+1397+382-181610</f>
        <v>0</v>
      </c>
      <c r="F32" s="141"/>
      <c r="G32" s="61"/>
      <c r="H32" s="43"/>
      <c r="I32" s="61"/>
      <c r="J32" s="49">
        <f t="shared" si="3"/>
        <v>182563000</v>
      </c>
    </row>
    <row r="33" spans="1:10" s="62" customFormat="1" ht="27" customHeight="1">
      <c r="A33" s="38" t="s">
        <v>43</v>
      </c>
      <c r="B33" s="117" t="s">
        <v>100</v>
      </c>
      <c r="C33" s="14">
        <v>2014</v>
      </c>
      <c r="D33" s="141">
        <v>1878000</v>
      </c>
      <c r="E33" s="141">
        <f>4000-406-73-224+3122-4541-1878</f>
        <v>0</v>
      </c>
      <c r="F33" s="141"/>
      <c r="G33" s="43"/>
      <c r="H33" s="43"/>
      <c r="I33" s="61"/>
      <c r="J33" s="49">
        <f t="shared" si="3"/>
        <v>1878000</v>
      </c>
    </row>
    <row r="34" spans="1:10" s="62" customFormat="1" ht="29.25" customHeight="1">
      <c r="A34" s="38" t="s">
        <v>44</v>
      </c>
      <c r="B34" s="117" t="s">
        <v>120</v>
      </c>
      <c r="C34" s="14">
        <v>2016</v>
      </c>
      <c r="D34" s="141">
        <v>0</v>
      </c>
      <c r="E34" s="141">
        <v>31777745</v>
      </c>
      <c r="F34" s="141">
        <v>30299409</v>
      </c>
      <c r="G34" s="61"/>
      <c r="H34" s="43"/>
      <c r="I34" s="152"/>
      <c r="J34" s="49">
        <f t="shared" si="3"/>
        <v>62077154</v>
      </c>
    </row>
    <row r="35" spans="1:10" s="62" customFormat="1" ht="29.25" customHeight="1">
      <c r="A35" s="151" t="s">
        <v>45</v>
      </c>
      <c r="B35" s="153" t="s">
        <v>114</v>
      </c>
      <c r="C35" s="17">
        <v>2016</v>
      </c>
      <c r="D35" s="140">
        <v>0</v>
      </c>
      <c r="E35" s="140">
        <v>4500000</v>
      </c>
      <c r="F35" s="140">
        <v>11000000</v>
      </c>
      <c r="G35" s="140">
        <v>16500000</v>
      </c>
      <c r="H35" s="35"/>
      <c r="I35" s="154"/>
      <c r="J35" s="160">
        <f t="shared" si="3"/>
        <v>32000000</v>
      </c>
    </row>
    <row r="36" spans="1:10" s="62" customFormat="1" ht="29.25" customHeight="1">
      <c r="A36" s="151" t="s">
        <v>46</v>
      </c>
      <c r="B36" s="153" t="s">
        <v>122</v>
      </c>
      <c r="C36" s="17">
        <v>2016</v>
      </c>
      <c r="D36" s="140">
        <v>0</v>
      </c>
      <c r="E36" s="140">
        <v>2983675</v>
      </c>
      <c r="F36" s="140"/>
      <c r="G36" s="39"/>
      <c r="H36" s="35"/>
      <c r="I36" s="154"/>
      <c r="J36" s="160">
        <f t="shared" si="3"/>
        <v>2983675</v>
      </c>
    </row>
    <row r="37" spans="1:10" s="62" customFormat="1" ht="38.25">
      <c r="A37" s="38" t="s">
        <v>47</v>
      </c>
      <c r="B37" s="153" t="s">
        <v>131</v>
      </c>
      <c r="C37" s="17">
        <v>2016</v>
      </c>
      <c r="D37" s="140">
        <v>0</v>
      </c>
      <c r="E37" s="140">
        <v>10000000</v>
      </c>
      <c r="F37" s="140">
        <v>22799495</v>
      </c>
      <c r="G37" s="140"/>
      <c r="H37" s="35"/>
      <c r="I37" s="154"/>
      <c r="J37" s="49">
        <f t="shared" si="3"/>
        <v>32799495</v>
      </c>
    </row>
    <row r="38" spans="1:10" s="62" customFormat="1" ht="25.5">
      <c r="A38" s="38" t="s">
        <v>48</v>
      </c>
      <c r="B38" s="153" t="s">
        <v>123</v>
      </c>
      <c r="C38" s="17">
        <v>2016</v>
      </c>
      <c r="D38" s="140">
        <v>0</v>
      </c>
      <c r="E38" s="140">
        <v>4146550</v>
      </c>
      <c r="F38" s="140"/>
      <c r="G38" s="140"/>
      <c r="H38" s="35"/>
      <c r="I38" s="154"/>
      <c r="J38" s="49">
        <f t="shared" si="3"/>
        <v>4146550</v>
      </c>
    </row>
    <row r="39" spans="1:10" s="62" customFormat="1" ht="29.25" customHeight="1">
      <c r="A39" s="38" t="s">
        <v>49</v>
      </c>
      <c r="B39" s="153" t="s">
        <v>115</v>
      </c>
      <c r="C39" s="17">
        <v>2016</v>
      </c>
      <c r="D39" s="140">
        <v>0</v>
      </c>
      <c r="E39" s="140">
        <v>0</v>
      </c>
      <c r="F39" s="140">
        <v>0</v>
      </c>
      <c r="G39" s="140">
        <v>700000</v>
      </c>
      <c r="H39" s="35"/>
      <c r="I39" s="154"/>
      <c r="J39" s="49">
        <f t="shared" si="3"/>
        <v>700000</v>
      </c>
    </row>
    <row r="40" spans="1:10" s="62" customFormat="1" ht="29.25" customHeight="1">
      <c r="A40" s="38" t="s">
        <v>50</v>
      </c>
      <c r="B40" s="153" t="s">
        <v>124</v>
      </c>
      <c r="C40" s="17">
        <v>2016</v>
      </c>
      <c r="D40" s="140">
        <v>0</v>
      </c>
      <c r="E40" s="140">
        <v>21175338</v>
      </c>
      <c r="F40" s="140"/>
      <c r="G40" s="140"/>
      <c r="H40" s="35"/>
      <c r="I40" s="154"/>
      <c r="J40" s="49">
        <f t="shared" si="3"/>
        <v>21175338</v>
      </c>
    </row>
    <row r="41" spans="1:10" s="62" customFormat="1" ht="29.25" customHeight="1">
      <c r="A41" s="38" t="s">
        <v>51</v>
      </c>
      <c r="B41" s="153" t="s">
        <v>125</v>
      </c>
      <c r="C41" s="17">
        <v>2016</v>
      </c>
      <c r="D41" s="140">
        <v>0</v>
      </c>
      <c r="E41" s="140">
        <v>2336800</v>
      </c>
      <c r="F41" s="140"/>
      <c r="G41" s="140"/>
      <c r="H41" s="35"/>
      <c r="I41" s="154"/>
      <c r="J41" s="49">
        <f t="shared" si="3"/>
        <v>2336800</v>
      </c>
    </row>
    <row r="42" spans="1:10" s="62" customFormat="1" ht="29.25" customHeight="1" thickBot="1">
      <c r="A42" s="38" t="s">
        <v>55</v>
      </c>
      <c r="B42" s="153" t="s">
        <v>121</v>
      </c>
      <c r="C42" s="17">
        <v>2016</v>
      </c>
      <c r="D42" s="140">
        <v>0</v>
      </c>
      <c r="E42" s="140">
        <f>2803910+60511590</f>
        <v>63315500</v>
      </c>
      <c r="F42" s="140"/>
      <c r="G42" s="140">
        <f>1524000+36325302+20320000</f>
        <v>58169302</v>
      </c>
      <c r="H42" s="140">
        <f>1524000+28392129+7061200</f>
        <v>36977329</v>
      </c>
      <c r="I42" s="154"/>
      <c r="J42" s="123">
        <f>SUM(D42:I42)</f>
        <v>158462131</v>
      </c>
    </row>
    <row r="43" spans="1:10" s="62" customFormat="1" ht="18" customHeight="1" thickBot="1">
      <c r="A43" s="45" t="s">
        <v>60</v>
      </c>
      <c r="B43" s="46" t="s">
        <v>142</v>
      </c>
      <c r="C43" s="16"/>
      <c r="D43" s="56">
        <f t="shared" ref="D43:I43" si="4">SUM(D44:D79)</f>
        <v>227089000</v>
      </c>
      <c r="E43" s="56">
        <f t="shared" si="4"/>
        <v>142244100</v>
      </c>
      <c r="F43" s="56">
        <f t="shared" si="4"/>
        <v>99192000</v>
      </c>
      <c r="G43" s="56">
        <f t="shared" si="4"/>
        <v>100093000</v>
      </c>
      <c r="H43" s="56">
        <f t="shared" si="4"/>
        <v>99168000</v>
      </c>
      <c r="I43" s="56">
        <f t="shared" si="4"/>
        <v>11091000</v>
      </c>
      <c r="J43" s="125">
        <f>SUM(D43:I43)</f>
        <v>678877100</v>
      </c>
    </row>
    <row r="44" spans="1:10" s="62" customFormat="1" ht="18" customHeight="1">
      <c r="A44" s="155" t="s">
        <v>61</v>
      </c>
      <c r="B44" s="89" t="s">
        <v>31</v>
      </c>
      <c r="C44" s="90">
        <v>2008</v>
      </c>
      <c r="D44" s="136">
        <f>5452000+5129000</f>
        <v>10581000</v>
      </c>
      <c r="E44" s="136"/>
      <c r="F44" s="136"/>
      <c r="G44" s="92"/>
      <c r="H44" s="91"/>
      <c r="I44" s="92"/>
      <c r="J44" s="118">
        <f>SUM(D44:I44)</f>
        <v>10581000</v>
      </c>
    </row>
    <row r="45" spans="1:10" s="62" customFormat="1" ht="18" customHeight="1">
      <c r="A45" s="151" t="s">
        <v>65</v>
      </c>
      <c r="B45" s="57" t="s">
        <v>36</v>
      </c>
      <c r="C45" s="18">
        <v>2008</v>
      </c>
      <c r="D45" s="140">
        <f>4396000+1359000+62000+17000</f>
        <v>5834000</v>
      </c>
      <c r="E45" s="140"/>
      <c r="F45" s="140"/>
      <c r="G45" s="39"/>
      <c r="H45" s="35"/>
      <c r="I45" s="39"/>
      <c r="J45" s="108">
        <f t="shared" ref="J45:J78" si="5">SUM(D45:I45)</f>
        <v>5834000</v>
      </c>
    </row>
    <row r="46" spans="1:10" s="62" customFormat="1" ht="18" customHeight="1">
      <c r="A46" s="151" t="s">
        <v>70</v>
      </c>
      <c r="B46" s="57" t="s">
        <v>33</v>
      </c>
      <c r="C46" s="18">
        <v>2008</v>
      </c>
      <c r="D46" s="140">
        <f>4592000+1678000+171000+46000+6260000+63000</f>
        <v>12810000</v>
      </c>
      <c r="E46" s="140">
        <f>152-89-63</f>
        <v>0</v>
      </c>
      <c r="F46" s="140"/>
      <c r="G46" s="39"/>
      <c r="H46" s="35"/>
      <c r="I46" s="39"/>
      <c r="J46" s="108">
        <f t="shared" si="5"/>
        <v>12810000</v>
      </c>
    </row>
    <row r="47" spans="1:10" s="62" customFormat="1" ht="18" customHeight="1">
      <c r="A47" s="151" t="s">
        <v>68</v>
      </c>
      <c r="B47" s="44" t="s">
        <v>32</v>
      </c>
      <c r="C47" s="18">
        <v>2008</v>
      </c>
      <c r="D47" s="140">
        <v>5925000</v>
      </c>
      <c r="E47" s="140"/>
      <c r="F47" s="140"/>
      <c r="G47" s="39"/>
      <c r="H47" s="35"/>
      <c r="I47" s="39"/>
      <c r="J47" s="108">
        <f t="shared" si="5"/>
        <v>5925000</v>
      </c>
    </row>
    <row r="48" spans="1:10" s="62" customFormat="1" ht="18" customHeight="1">
      <c r="A48" s="151" t="s">
        <v>71</v>
      </c>
      <c r="B48" s="57" t="s">
        <v>37</v>
      </c>
      <c r="C48" s="18">
        <v>2008</v>
      </c>
      <c r="D48" s="109">
        <f>6442000+3000+11533000</f>
        <v>17978000</v>
      </c>
      <c r="E48" s="140"/>
      <c r="F48" s="140"/>
      <c r="G48" s="39"/>
      <c r="H48" s="35"/>
      <c r="I48" s="39"/>
      <c r="J48" s="108">
        <f t="shared" si="5"/>
        <v>17978000</v>
      </c>
    </row>
    <row r="49" spans="1:10" s="62" customFormat="1" ht="18" customHeight="1">
      <c r="A49" s="151" t="s">
        <v>72</v>
      </c>
      <c r="B49" s="58" t="s">
        <v>52</v>
      </c>
      <c r="C49" s="18">
        <v>2009</v>
      </c>
      <c r="D49" s="140">
        <f>27000+161000-1000+340000+673000+322000+351000+3481000</f>
        <v>5354000</v>
      </c>
      <c r="E49" s="140">
        <f>914+1238+551+700+79+1-1-1-3481</f>
        <v>0</v>
      </c>
      <c r="F49" s="140"/>
      <c r="G49" s="39"/>
      <c r="H49" s="35"/>
      <c r="I49" s="39"/>
      <c r="J49" s="108">
        <f t="shared" si="5"/>
        <v>5354000</v>
      </c>
    </row>
    <row r="50" spans="1:10" s="62" customFormat="1" ht="18" customHeight="1">
      <c r="A50" s="151" t="s">
        <v>73</v>
      </c>
      <c r="B50" s="44" t="s">
        <v>53</v>
      </c>
      <c r="C50" s="18">
        <v>2009</v>
      </c>
      <c r="D50" s="140">
        <f>26000+1235000</f>
        <v>1261000</v>
      </c>
      <c r="E50" s="140"/>
      <c r="F50" s="140"/>
      <c r="G50" s="39"/>
      <c r="H50" s="35"/>
      <c r="I50" s="39"/>
      <c r="J50" s="108">
        <f t="shared" si="5"/>
        <v>1261000</v>
      </c>
    </row>
    <row r="51" spans="1:10" s="62" customFormat="1" ht="18" customHeight="1">
      <c r="A51" s="151" t="s">
        <v>76</v>
      </c>
      <c r="B51" s="119" t="s">
        <v>56</v>
      </c>
      <c r="C51" s="18">
        <v>2009</v>
      </c>
      <c r="D51" s="140">
        <v>5649000</v>
      </c>
      <c r="E51" s="140"/>
      <c r="F51" s="140"/>
      <c r="G51" s="39"/>
      <c r="H51" s="35"/>
      <c r="I51" s="39"/>
      <c r="J51" s="108">
        <f t="shared" si="5"/>
        <v>5649000</v>
      </c>
    </row>
    <row r="52" spans="1:10" s="62" customFormat="1" ht="18" customHeight="1">
      <c r="A52" s="151" t="s">
        <v>78</v>
      </c>
      <c r="B52" s="57" t="s">
        <v>57</v>
      </c>
      <c r="C52" s="18">
        <v>2009</v>
      </c>
      <c r="D52" s="140">
        <f>13000+307000+2344000</f>
        <v>2664000</v>
      </c>
      <c r="E52" s="140"/>
      <c r="F52" s="140"/>
      <c r="G52" s="39"/>
      <c r="H52" s="35"/>
      <c r="I52" s="39"/>
      <c r="J52" s="108">
        <f t="shared" si="5"/>
        <v>2664000</v>
      </c>
    </row>
    <row r="53" spans="1:10" s="62" customFormat="1" ht="18" customHeight="1">
      <c r="A53" s="151" t="s">
        <v>79</v>
      </c>
      <c r="B53" s="59" t="s">
        <v>59</v>
      </c>
      <c r="C53" s="18">
        <v>2011</v>
      </c>
      <c r="D53" s="140">
        <v>4248000</v>
      </c>
      <c r="E53" s="140"/>
      <c r="F53" s="140"/>
      <c r="G53" s="39"/>
      <c r="H53" s="35"/>
      <c r="I53" s="39"/>
      <c r="J53" s="108">
        <f t="shared" si="5"/>
        <v>4248000</v>
      </c>
    </row>
    <row r="54" spans="1:10" s="62" customFormat="1" ht="18" customHeight="1">
      <c r="A54" s="151" t="s">
        <v>80</v>
      </c>
      <c r="B54" s="57" t="s">
        <v>63</v>
      </c>
      <c r="C54" s="18">
        <v>2011</v>
      </c>
      <c r="D54" s="140">
        <f>19000+1939000+366000</f>
        <v>2324000</v>
      </c>
      <c r="E54" s="140"/>
      <c r="F54" s="140"/>
      <c r="G54" s="39"/>
      <c r="H54" s="35"/>
      <c r="I54" s="39"/>
      <c r="J54" s="108">
        <f t="shared" si="5"/>
        <v>2324000</v>
      </c>
    </row>
    <row r="55" spans="1:10" s="62" customFormat="1" ht="18" customHeight="1">
      <c r="A55" s="151" t="s">
        <v>84</v>
      </c>
      <c r="B55" s="57" t="s">
        <v>87</v>
      </c>
      <c r="C55" s="17">
        <v>2013</v>
      </c>
      <c r="D55" s="141">
        <f>572000+485000-17000</f>
        <v>1040000</v>
      </c>
      <c r="E55" s="141"/>
      <c r="F55" s="141"/>
      <c r="G55" s="61"/>
      <c r="H55" s="35"/>
      <c r="I55" s="39"/>
      <c r="J55" s="108">
        <f t="shared" si="5"/>
        <v>1040000</v>
      </c>
    </row>
    <row r="56" spans="1:10" s="62" customFormat="1" ht="18" customHeight="1">
      <c r="A56" s="151" t="s">
        <v>88</v>
      </c>
      <c r="B56" s="57" t="s">
        <v>81</v>
      </c>
      <c r="C56" s="120">
        <v>2013</v>
      </c>
      <c r="D56" s="141">
        <v>548000</v>
      </c>
      <c r="E56" s="141"/>
      <c r="F56" s="141"/>
      <c r="G56" s="61"/>
      <c r="H56" s="35"/>
      <c r="I56" s="39"/>
      <c r="J56" s="108">
        <f t="shared" si="5"/>
        <v>548000</v>
      </c>
    </row>
    <row r="57" spans="1:10" s="62" customFormat="1" ht="18" customHeight="1">
      <c r="A57" s="151" t="s">
        <v>90</v>
      </c>
      <c r="B57" s="44" t="s">
        <v>83</v>
      </c>
      <c r="C57" s="17">
        <v>2013</v>
      </c>
      <c r="D57" s="141">
        <v>2764000</v>
      </c>
      <c r="E57" s="141"/>
      <c r="F57" s="141"/>
      <c r="G57" s="61"/>
      <c r="H57" s="35"/>
      <c r="I57" s="39"/>
      <c r="J57" s="108">
        <f t="shared" si="5"/>
        <v>2764000</v>
      </c>
    </row>
    <row r="58" spans="1:10" s="62" customFormat="1" ht="25.5">
      <c r="A58" s="151" t="s">
        <v>91</v>
      </c>
      <c r="B58" s="115" t="s">
        <v>66</v>
      </c>
      <c r="C58" s="157">
        <v>2013</v>
      </c>
      <c r="D58" s="158">
        <f>5945000+3704000-189000</f>
        <v>9460000</v>
      </c>
      <c r="E58" s="158"/>
      <c r="F58" s="158"/>
      <c r="G58" s="122"/>
      <c r="H58" s="121"/>
      <c r="I58" s="122"/>
      <c r="J58" s="123">
        <f t="shared" si="5"/>
        <v>9460000</v>
      </c>
    </row>
    <row r="59" spans="1:10" s="62" customFormat="1" ht="27.75" customHeight="1">
      <c r="A59" s="151" t="s">
        <v>92</v>
      </c>
      <c r="B59" s="124" t="s">
        <v>102</v>
      </c>
      <c r="C59" s="157">
        <v>2015</v>
      </c>
      <c r="D59" s="158">
        <f>1397000+1892000+3810000</f>
        <v>7099000</v>
      </c>
      <c r="E59" s="158">
        <f>7480-1397-382-5701</f>
        <v>0</v>
      </c>
      <c r="F59" s="159"/>
      <c r="G59" s="122"/>
      <c r="H59" s="122"/>
      <c r="I59" s="122"/>
      <c r="J59" s="123">
        <f t="shared" si="5"/>
        <v>7099000</v>
      </c>
    </row>
    <row r="60" spans="1:10" s="62" customFormat="1" ht="28.5" customHeight="1">
      <c r="A60" s="151" t="s">
        <v>93</v>
      </c>
      <c r="B60" s="117" t="s">
        <v>111</v>
      </c>
      <c r="C60" s="14">
        <v>2013</v>
      </c>
      <c r="D60" s="141">
        <f>24000+36000</f>
        <v>60000</v>
      </c>
      <c r="E60" s="140">
        <f>24000+36000-12000</f>
        <v>48000</v>
      </c>
      <c r="F60" s="148">
        <v>60000</v>
      </c>
      <c r="G60" s="35">
        <v>60000</v>
      </c>
      <c r="H60" s="39">
        <v>36000</v>
      </c>
      <c r="I60" s="39">
        <v>0</v>
      </c>
      <c r="J60" s="108">
        <f t="shared" si="5"/>
        <v>264000</v>
      </c>
    </row>
    <row r="61" spans="1:10" s="62" customFormat="1" ht="18" customHeight="1">
      <c r="A61" s="151" t="s">
        <v>95</v>
      </c>
      <c r="B61" s="44" t="s">
        <v>112</v>
      </c>
      <c r="C61" s="14">
        <v>2010</v>
      </c>
      <c r="D61" s="141">
        <f>24000+60000-12000+72000+60000+60000</f>
        <v>264000</v>
      </c>
      <c r="E61" s="141">
        <v>36000</v>
      </c>
      <c r="F61" s="149"/>
      <c r="G61" s="43"/>
      <c r="H61" s="61"/>
      <c r="I61" s="61"/>
      <c r="J61" s="108">
        <f t="shared" si="5"/>
        <v>300000</v>
      </c>
    </row>
    <row r="62" spans="1:10" s="62" customFormat="1" ht="18" customHeight="1">
      <c r="A62" s="151" t="s">
        <v>97</v>
      </c>
      <c r="B62" s="44" t="s">
        <v>113</v>
      </c>
      <c r="C62" s="14">
        <v>2014</v>
      </c>
      <c r="D62" s="141">
        <v>24000</v>
      </c>
      <c r="E62" s="141">
        <v>60000</v>
      </c>
      <c r="F62" s="149">
        <v>60000</v>
      </c>
      <c r="G62" s="61">
        <v>60000</v>
      </c>
      <c r="H62" s="61">
        <v>60000</v>
      </c>
      <c r="I62" s="61">
        <v>36000</v>
      </c>
      <c r="J62" s="108">
        <f t="shared" si="5"/>
        <v>300000</v>
      </c>
    </row>
    <row r="63" spans="1:10" s="62" customFormat="1" ht="18" customHeight="1">
      <c r="A63" s="151" t="s">
        <v>98</v>
      </c>
      <c r="B63" s="44" t="s">
        <v>69</v>
      </c>
      <c r="C63" s="14">
        <v>2013</v>
      </c>
      <c r="D63" s="141">
        <f>1474000+2196000-1125000</f>
        <v>2545000</v>
      </c>
      <c r="E63" s="141"/>
      <c r="F63" s="141"/>
      <c r="G63" s="61"/>
      <c r="H63" s="61"/>
      <c r="I63" s="61"/>
      <c r="J63" s="108">
        <f t="shared" si="5"/>
        <v>2545000</v>
      </c>
    </row>
    <row r="64" spans="1:10" s="62" customFormat="1" ht="24.75" customHeight="1">
      <c r="A64" s="151" t="s">
        <v>105</v>
      </c>
      <c r="B64" s="117" t="s">
        <v>75</v>
      </c>
      <c r="C64" s="42">
        <v>2013</v>
      </c>
      <c r="D64" s="141">
        <f>2268000+6806000-1632000</f>
        <v>7442000</v>
      </c>
      <c r="E64" s="141"/>
      <c r="F64" s="141"/>
      <c r="G64" s="61"/>
      <c r="H64" s="61" t="s">
        <v>77</v>
      </c>
      <c r="I64" s="61"/>
      <c r="J64" s="108">
        <f t="shared" si="5"/>
        <v>7442000</v>
      </c>
    </row>
    <row r="65" spans="1:10" s="62" customFormat="1" ht="18" customHeight="1">
      <c r="A65" s="151" t="s">
        <v>106</v>
      </c>
      <c r="B65" s="57" t="s">
        <v>104</v>
      </c>
      <c r="C65" s="53">
        <v>2013</v>
      </c>
      <c r="D65" s="140">
        <f>711000+1321000</f>
        <v>2032000</v>
      </c>
      <c r="E65" s="140"/>
      <c r="F65" s="140"/>
      <c r="G65" s="35"/>
      <c r="H65" s="35"/>
      <c r="I65" s="39"/>
      <c r="J65" s="108">
        <f t="shared" si="5"/>
        <v>2032000</v>
      </c>
    </row>
    <row r="66" spans="1:10" s="62" customFormat="1" ht="26.25" customHeight="1">
      <c r="A66" s="151" t="s">
        <v>116</v>
      </c>
      <c r="B66" s="115" t="s">
        <v>103</v>
      </c>
      <c r="C66" s="42">
        <v>2015</v>
      </c>
      <c r="D66" s="141">
        <v>660000</v>
      </c>
      <c r="E66" s="141">
        <f>10000000+24921000</f>
        <v>34921000</v>
      </c>
      <c r="F66" s="141"/>
      <c r="G66" s="43"/>
      <c r="H66" s="43"/>
      <c r="I66" s="113"/>
      <c r="J66" s="108">
        <f t="shared" si="5"/>
        <v>35581000</v>
      </c>
    </row>
    <row r="67" spans="1:10" s="62" customFormat="1" ht="28.5" customHeight="1">
      <c r="A67" s="151" t="s">
        <v>117</v>
      </c>
      <c r="B67" s="117" t="s">
        <v>74</v>
      </c>
      <c r="C67" s="42">
        <v>2013</v>
      </c>
      <c r="D67" s="141">
        <f>1250000+750000</f>
        <v>2000000</v>
      </c>
      <c r="E67" s="141">
        <f>750-750</f>
        <v>0</v>
      </c>
      <c r="F67" s="141">
        <v>0</v>
      </c>
      <c r="G67" s="43">
        <v>0</v>
      </c>
      <c r="H67" s="43">
        <v>0</v>
      </c>
      <c r="I67" s="113">
        <v>0</v>
      </c>
      <c r="J67" s="108">
        <f t="shared" si="5"/>
        <v>2000000</v>
      </c>
    </row>
    <row r="68" spans="1:10" s="62" customFormat="1" ht="28.5" customHeight="1">
      <c r="A68" s="151" t="s">
        <v>118</v>
      </c>
      <c r="B68" s="115" t="s">
        <v>89</v>
      </c>
      <c r="C68" s="53">
        <v>2014</v>
      </c>
      <c r="D68" s="140">
        <v>508000</v>
      </c>
      <c r="E68" s="140">
        <v>1000000</v>
      </c>
      <c r="F68" s="148">
        <v>1000000</v>
      </c>
      <c r="G68" s="39">
        <v>1000000</v>
      </c>
      <c r="H68" s="35">
        <v>1000000</v>
      </c>
      <c r="I68" s="150">
        <f>11000000-1000000</f>
        <v>10000000</v>
      </c>
      <c r="J68" s="108">
        <f t="shared" si="5"/>
        <v>14508000</v>
      </c>
    </row>
    <row r="69" spans="1:10" s="112" customFormat="1" ht="28.5" customHeight="1">
      <c r="A69" s="151" t="s">
        <v>119</v>
      </c>
      <c r="B69" s="117" t="s">
        <v>94</v>
      </c>
      <c r="C69" s="42">
        <v>2014</v>
      </c>
      <c r="D69" s="141">
        <v>100000</v>
      </c>
      <c r="E69" s="141">
        <v>1000000</v>
      </c>
      <c r="F69" s="141">
        <v>1000000</v>
      </c>
      <c r="G69" s="141">
        <v>1000000</v>
      </c>
      <c r="H69" s="141">
        <v>1000000</v>
      </c>
      <c r="I69" s="141">
        <v>1000000</v>
      </c>
      <c r="J69" s="108">
        <f t="shared" si="5"/>
        <v>5100000</v>
      </c>
    </row>
    <row r="70" spans="1:10" s="110" customFormat="1" ht="28.5" customHeight="1">
      <c r="A70" s="151" t="s">
        <v>127</v>
      </c>
      <c r="B70" s="115" t="s">
        <v>99</v>
      </c>
      <c r="C70" s="42">
        <v>2014</v>
      </c>
      <c r="D70" s="141">
        <f>11609000+9882000</f>
        <v>21491000</v>
      </c>
      <c r="E70" s="141">
        <f>9882-9882</f>
        <v>0</v>
      </c>
      <c r="F70" s="149">
        <v>0</v>
      </c>
      <c r="G70" s="61">
        <v>0</v>
      </c>
      <c r="H70" s="35">
        <v>0</v>
      </c>
      <c r="I70" s="114">
        <v>0</v>
      </c>
      <c r="J70" s="108">
        <f t="shared" si="5"/>
        <v>21491000</v>
      </c>
    </row>
    <row r="71" spans="1:10" s="110" customFormat="1" ht="28.5" customHeight="1">
      <c r="A71" s="151" t="s">
        <v>128</v>
      </c>
      <c r="B71" s="115" t="s">
        <v>107</v>
      </c>
      <c r="C71" s="17">
        <v>2014</v>
      </c>
      <c r="D71" s="140">
        <f>90954000+6075000-156000-96873000+94419000</f>
        <v>94419000</v>
      </c>
      <c r="E71" s="140">
        <f>90954000+6075000+39000</f>
        <v>97068000</v>
      </c>
      <c r="F71" s="140">
        <f>90953000+6075000+39000</f>
        <v>97067000</v>
      </c>
      <c r="G71" s="140">
        <f>90954000+90953000+6075000+6075000-90053000-6075000+39000</f>
        <v>97968000</v>
      </c>
      <c r="H71" s="148">
        <f>90953000+6075000+39000</f>
        <v>97067000</v>
      </c>
      <c r="I71" s="39"/>
      <c r="J71" s="108">
        <f t="shared" si="5"/>
        <v>483589000</v>
      </c>
    </row>
    <row r="72" spans="1:10" s="110" customFormat="1" ht="28.5" customHeight="1">
      <c r="A72" s="151" t="s">
        <v>129</v>
      </c>
      <c r="B72" s="115" t="s">
        <v>101</v>
      </c>
      <c r="C72" s="17">
        <v>2015</v>
      </c>
      <c r="D72" s="140">
        <v>5000</v>
      </c>
      <c r="E72" s="140">
        <v>5000</v>
      </c>
      <c r="F72" s="140">
        <v>5000</v>
      </c>
      <c r="G72" s="140">
        <v>5000</v>
      </c>
      <c r="H72" s="140">
        <v>5000</v>
      </c>
      <c r="I72" s="140">
        <v>55000</v>
      </c>
      <c r="J72" s="108">
        <f t="shared" si="5"/>
        <v>80000</v>
      </c>
    </row>
    <row r="73" spans="1:10" s="110" customFormat="1" ht="28.5" customHeight="1">
      <c r="A73" s="151" t="s">
        <v>133</v>
      </c>
      <c r="B73" s="117" t="s">
        <v>120</v>
      </c>
      <c r="C73" s="17">
        <v>2016</v>
      </c>
      <c r="D73" s="140">
        <v>0</v>
      </c>
      <c r="E73" s="140">
        <v>800100</v>
      </c>
      <c r="F73" s="140">
        <v>0</v>
      </c>
      <c r="G73" s="140">
        <v>0</v>
      </c>
      <c r="H73" s="140">
        <v>0</v>
      </c>
      <c r="I73" s="39">
        <v>0</v>
      </c>
      <c r="J73" s="108">
        <f t="shared" si="5"/>
        <v>800100</v>
      </c>
    </row>
    <row r="74" spans="1:10" s="110" customFormat="1" ht="28.5" customHeight="1">
      <c r="A74" s="151" t="s">
        <v>134</v>
      </c>
      <c r="B74" s="156" t="s">
        <v>122</v>
      </c>
      <c r="C74" s="17">
        <v>2016</v>
      </c>
      <c r="D74" s="140">
        <v>0</v>
      </c>
      <c r="E74" s="140">
        <v>750000</v>
      </c>
      <c r="F74" s="140">
        <v>0</v>
      </c>
      <c r="G74" s="140">
        <v>0</v>
      </c>
      <c r="H74" s="140">
        <v>0</v>
      </c>
      <c r="I74" s="39">
        <v>0</v>
      </c>
      <c r="J74" s="108">
        <f t="shared" si="5"/>
        <v>750000</v>
      </c>
    </row>
    <row r="75" spans="1:10" s="110" customFormat="1" ht="28.5" customHeight="1">
      <c r="A75" s="151" t="s">
        <v>135</v>
      </c>
      <c r="B75" s="153" t="s">
        <v>130</v>
      </c>
      <c r="C75" s="17">
        <v>2016</v>
      </c>
      <c r="D75" s="140">
        <v>0</v>
      </c>
      <c r="E75" s="140">
        <v>889000</v>
      </c>
      <c r="F75" s="140">
        <v>0</v>
      </c>
      <c r="G75" s="140">
        <v>0</v>
      </c>
      <c r="H75" s="140">
        <v>0</v>
      </c>
      <c r="I75" s="39">
        <v>0</v>
      </c>
      <c r="J75" s="108">
        <f t="shared" si="5"/>
        <v>889000</v>
      </c>
    </row>
    <row r="76" spans="1:10" s="110" customFormat="1" ht="28.5" customHeight="1">
      <c r="A76" s="151" t="s">
        <v>136</v>
      </c>
      <c r="B76" s="153" t="s">
        <v>123</v>
      </c>
      <c r="C76" s="17">
        <v>2016</v>
      </c>
      <c r="D76" s="140">
        <v>0</v>
      </c>
      <c r="E76" s="140">
        <v>1270000</v>
      </c>
      <c r="F76" s="140">
        <v>0</v>
      </c>
      <c r="G76" s="140">
        <v>0</v>
      </c>
      <c r="H76" s="140">
        <v>0</v>
      </c>
      <c r="I76" s="39">
        <v>0</v>
      </c>
      <c r="J76" s="108">
        <f t="shared" si="5"/>
        <v>1270000</v>
      </c>
    </row>
    <row r="77" spans="1:10" s="110" customFormat="1" ht="28.5" customHeight="1">
      <c r="A77" s="151" t="s">
        <v>137</v>
      </c>
      <c r="B77" s="153" t="s">
        <v>124</v>
      </c>
      <c r="C77" s="17">
        <v>2016</v>
      </c>
      <c r="D77" s="140">
        <v>0</v>
      </c>
      <c r="E77" s="140">
        <v>406400</v>
      </c>
      <c r="F77" s="140">
        <v>0</v>
      </c>
      <c r="G77" s="140">
        <v>0</v>
      </c>
      <c r="H77" s="140">
        <v>0</v>
      </c>
      <c r="I77" s="39">
        <v>0</v>
      </c>
      <c r="J77" s="108">
        <f t="shared" si="5"/>
        <v>406400</v>
      </c>
    </row>
    <row r="78" spans="1:10" s="110" customFormat="1" ht="28.5" customHeight="1">
      <c r="A78" s="151" t="s">
        <v>138</v>
      </c>
      <c r="B78" s="153" t="s">
        <v>125</v>
      </c>
      <c r="C78" s="17">
        <v>2016</v>
      </c>
      <c r="D78" s="140">
        <v>0</v>
      </c>
      <c r="E78" s="140">
        <v>990600</v>
      </c>
      <c r="F78" s="140">
        <v>0</v>
      </c>
      <c r="G78" s="140">
        <v>0</v>
      </c>
      <c r="H78" s="140">
        <v>0</v>
      </c>
      <c r="I78" s="39">
        <v>0</v>
      </c>
      <c r="J78" s="108">
        <f t="shared" si="5"/>
        <v>990600</v>
      </c>
    </row>
    <row r="79" spans="1:10" s="110" customFormat="1" ht="28.5" customHeight="1" thickBot="1">
      <c r="A79" s="151" t="s">
        <v>139</v>
      </c>
      <c r="B79" s="115" t="s">
        <v>132</v>
      </c>
      <c r="C79" s="17">
        <v>2016</v>
      </c>
      <c r="D79" s="140">
        <v>0</v>
      </c>
      <c r="E79" s="140">
        <v>3000000</v>
      </c>
      <c r="F79" s="140">
        <v>0</v>
      </c>
      <c r="G79" s="35">
        <v>0</v>
      </c>
      <c r="H79" s="39">
        <v>0</v>
      </c>
      <c r="I79" s="39">
        <v>0</v>
      </c>
      <c r="J79" s="116">
        <f>SUM(D79:I79)</f>
        <v>3000000</v>
      </c>
    </row>
    <row r="80" spans="1:10" s="60" customFormat="1" ht="18.75" customHeight="1" thickBot="1">
      <c r="A80" s="45" t="s">
        <v>140</v>
      </c>
      <c r="B80" s="46" t="s">
        <v>141</v>
      </c>
      <c r="C80" s="16"/>
      <c r="D80" s="111">
        <f t="shared" ref="D80:J80" si="6">SUM(D9,D11,D18,D43)</f>
        <v>2753318000</v>
      </c>
      <c r="E80" s="111">
        <f t="shared" si="6"/>
        <v>282479708</v>
      </c>
      <c r="F80" s="111">
        <f t="shared" si="6"/>
        <v>163290904</v>
      </c>
      <c r="G80" s="111">
        <f t="shared" si="6"/>
        <v>175462302</v>
      </c>
      <c r="H80" s="111">
        <f t="shared" si="6"/>
        <v>136145329</v>
      </c>
      <c r="I80" s="111">
        <f t="shared" si="6"/>
        <v>11091000</v>
      </c>
      <c r="J80" s="47">
        <f t="shared" si="6"/>
        <v>3521787243</v>
      </c>
    </row>
    <row r="81" spans="1:10" s="60" customFormat="1">
      <c r="A81" s="63"/>
      <c r="D81" s="64"/>
      <c r="E81" s="64"/>
      <c r="F81" s="64"/>
      <c r="J81" s="64"/>
    </row>
    <row r="82" spans="1:10" s="60" customFormat="1">
      <c r="A82" s="63"/>
      <c r="D82" s="64"/>
      <c r="E82" s="64"/>
      <c r="F82" s="64"/>
      <c r="J82" s="64"/>
    </row>
    <row r="83" spans="1:10" s="60" customFormat="1">
      <c r="A83" s="63"/>
      <c r="D83" s="64"/>
      <c r="E83" s="64"/>
      <c r="F83" s="64"/>
      <c r="J83" s="64"/>
    </row>
    <row r="84" spans="1:10" s="60" customFormat="1">
      <c r="D84" s="64"/>
      <c r="E84" s="64"/>
      <c r="F84" s="64"/>
      <c r="J84" s="64"/>
    </row>
  </sheetData>
  <mergeCells count="2">
    <mergeCell ref="A8:A9"/>
    <mergeCell ref="A10:A11"/>
  </mergeCells>
  <phoneticPr fontId="6" type="noConversion"/>
  <printOptions horizontalCentered="1"/>
  <pageMargins left="0.74803149606299213" right="0.74803149606299213" top="0.78740157480314965" bottom="0.31496062992125984" header="0.31496062992125984" footer="0.19685039370078741"/>
  <pageSetup paperSize="9" scale="70" fitToHeight="0" orientation="landscape" r:id="rId1"/>
  <headerFooter alignWithMargins="0">
    <oddHeader>&amp;C"22. melléklet a 8/2016. (II.25.) önkormányzati rendelethez"
Több éves kihatással járó döntésekből származó kötelezettségek célok szerint, évenkénti bontásban (Ft) 
2016. évi költségvetés&amp;R19. melléklet a 23/2016.(XII.16.)
önkormányzati rendelethez</oddHeader>
  </headerFooter>
  <rowBreaks count="2" manualBreakCount="2">
    <brk id="35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több éves köt.</vt:lpstr>
      <vt:lpstr>'több éves köt.'!Nyomtatási_cím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Gittáné Székely Magdolna</dc:creator>
  <cp:lastModifiedBy>ildi</cp:lastModifiedBy>
  <cp:lastPrinted>2016-12-19T09:33:50Z</cp:lastPrinted>
  <dcterms:created xsi:type="dcterms:W3CDTF">2003-01-09T14:33:47Z</dcterms:created>
  <dcterms:modified xsi:type="dcterms:W3CDTF">2016-12-21T14:34:48Z</dcterms:modified>
</cp:coreProperties>
</file>