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firstSheet="9" activeTab="13"/>
  </bookViews>
  <sheets>
    <sheet name="Borító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 (2)" sheetId="7" r:id="rId7"/>
    <sheet name="7.mell. - ellátottak jutt." sheetId="8" r:id="rId8"/>
    <sheet name="8.mell.berugázás" sheetId="9" r:id="rId9"/>
    <sheet name="9.mell.fejújítás" sheetId="10" r:id="rId10"/>
    <sheet name="10.mell. -tartalék" sheetId="11" r:id="rId11"/>
    <sheet name="11.mell. - közgazd.mérleg" sheetId="12" r:id="rId12"/>
    <sheet name="12.mell. -ei.felh.ütemt." sheetId="13" r:id="rId13"/>
    <sheet name="13.mell. -részesedések" sheetId="14" r:id="rId14"/>
    <sheet name="14.mell.- közvetett" sheetId="15" r:id="rId15"/>
    <sheet name="15.mell.-középtávú" sheetId="16" r:id="rId16"/>
    <sheet name="Munka1" sheetId="17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<sst xmlns="http://schemas.openxmlformats.org/spreadsheetml/2006/main" count="800" uniqueCount="475">
  <si>
    <t>Megnevezés</t>
  </si>
  <si>
    <t>Ft</t>
  </si>
  <si>
    <t>Összesen:</t>
  </si>
  <si>
    <t>létszám</t>
  </si>
  <si>
    <t>( e Ft-ban)</t>
  </si>
  <si>
    <t>e Ft</t>
  </si>
  <si>
    <t>állandó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</si>
  <si>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</si>
  <si>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</si>
  <si>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</si>
  <si>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</si>
  <si>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</si>
  <si>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</si>
  <si>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 xml:space="preserve"> ebből:</t>
  </si>
  <si>
    <t>MŰKÖDÉSI KIADÁSOK</t>
  </si>
  <si>
    <t>FELHALMOZÁSI KIADÁSOK</t>
  </si>
  <si>
    <t>tervezett</t>
  </si>
  <si>
    <t>változás</t>
  </si>
  <si>
    <t>M  e  g  n  e  v  e  z  é  s:</t>
  </si>
  <si>
    <t>%-a</t>
  </si>
  <si>
    <t>MŰKÖDÉSI BEVÉTELEK ÖSSZESEN:</t>
  </si>
  <si>
    <t>2.</t>
  </si>
  <si>
    <t>Háziorvosi alapellátás</t>
  </si>
  <si>
    <t>Köztemető-fenntartás és működtetés</t>
  </si>
  <si>
    <t>Könyvtári szolgáltatások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</si>
  <si>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</si>
  <si>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</si>
  <si>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</si>
  <si>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</si>
  <si>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</si>
  <si>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</si>
  <si>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</si>
  <si>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I.</t>
  </si>
  <si>
    <t>önkormányzati hivatal működésének támogatása</t>
  </si>
  <si>
    <t>település-üzemeltetéshez kapcsolódó feladatellátás támogatása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</si>
  <si>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</si>
  <si>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</si>
  <si>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</si>
  <si>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</si>
  <si>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</si>
  <si>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</si>
  <si>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</si>
  <si>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KÖZHATALMI BEVÉTELEK ÖSSZESEN:</t>
  </si>
  <si>
    <t>működési kiadások</t>
  </si>
  <si>
    <t>felhalmozási kiadások</t>
  </si>
  <si>
    <t>felújítások</t>
  </si>
  <si>
    <t>TÁRGYÉVI KÖLTSÉGVETÉSI HIÁNY:</t>
  </si>
  <si>
    <t xml:space="preserve">       - egyéb működési kiadások</t>
  </si>
  <si>
    <t xml:space="preserve">       - egyéb felhalmozási kiadások</t>
  </si>
  <si>
    <t>szociális étkeztetés térítési díja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</si>
  <si>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</si>
  <si>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</si>
  <si>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</si>
  <si>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</si>
  <si>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</si>
  <si>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</si>
  <si>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</si>
  <si>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</si>
  <si>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</si>
  <si>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</si>
  <si>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</si>
  <si>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</si>
  <si>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</si>
  <si>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</si>
  <si>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</si>
  <si>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</si>
  <si>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</si>
  <si>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</si>
  <si>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</si>
  <si>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</si>
  <si>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</si>
  <si>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</si>
  <si>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</si>
  <si>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</si>
  <si>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</si>
  <si>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Helyi önkormányzatok  működésének  általános támogatása összesen:</t>
  </si>
  <si>
    <t>MŰKÖDÉSI CÉLÚ TÁMOGATÁSOK ÁLLAMHÁZTARTÁSON BELÜLRŐL ÖSSZESEN:</t>
  </si>
  <si>
    <t>KÖZHATALMI BEVÉTELEK</t>
  </si>
  <si>
    <t>Értékesítési és forgalmi adók</t>
  </si>
  <si>
    <t>helyi iparűzési adó</t>
  </si>
  <si>
    <t>Gépjárműadók</t>
  </si>
  <si>
    <t>gépjárműadó helyi önkormányzatot megillető része</t>
  </si>
  <si>
    <t>Egyéb közhatalmi bevételek</t>
  </si>
  <si>
    <t>Igazgatási szolgáltatási díjak</t>
  </si>
  <si>
    <t>Helyi adópótlék, adóbírság</t>
  </si>
  <si>
    <t xml:space="preserve">IV. </t>
  </si>
  <si>
    <t>Ellátási díjak</t>
  </si>
  <si>
    <t>Kamatbevételek</t>
  </si>
  <si>
    <t>FELHALMOZÁSI CÉLÚ ÁTVETT PÉNZESZKÖZÖK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</si>
  <si>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</si>
  <si>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</si>
  <si>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</si>
  <si>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</si>
  <si>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</si>
  <si>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</si>
  <si>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2015. év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</si>
  <si>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</si>
  <si>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</si>
  <si>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</si>
  <si>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</si>
  <si>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BEVÉTELEINEK ÉS KIADÁSAINAK ALAKULÁSA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</si>
  <si>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</si>
  <si>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</si>
  <si>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</si>
  <si>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</si>
  <si>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</si>
  <si>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</si>
  <si>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</si>
  <si>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</si>
  <si>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</si>
  <si>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</si>
  <si>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</si>
  <si>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</si>
  <si>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</si>
  <si>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</si>
  <si>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</si>
  <si>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Ellátottak juttatásai</t>
  </si>
  <si>
    <t xml:space="preserve">       - Beruházások</t>
  </si>
  <si>
    <t xml:space="preserve">       - Felújítások</t>
  </si>
  <si>
    <t>FINANSZÍROZÁSI KIADÁSOK</t>
  </si>
  <si>
    <t xml:space="preserve">           befektetési célú részesedések vásárlása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</si>
  <si>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</si>
  <si>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</si>
  <si>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</si>
  <si>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</si>
  <si>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</si>
  <si>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</si>
  <si>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</si>
  <si>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</si>
  <si>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</si>
  <si>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</si>
  <si>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</si>
  <si>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</si>
  <si>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</si>
  <si>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</si>
  <si>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</si>
  <si>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</si>
  <si>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</si>
  <si>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</si>
  <si>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</si>
  <si>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</si>
  <si>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</si>
  <si>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</si>
  <si>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</si>
  <si>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</si>
  <si>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</si>
  <si>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</si>
  <si>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</si>
  <si>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</si>
  <si>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</si>
  <si>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</si>
  <si>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082044</t>
  </si>
  <si>
    <t>Lakásfenntartással, lakhatással összefüggő ellátások</t>
  </si>
  <si>
    <t>107051</t>
  </si>
  <si>
    <t>Egyéb szociális természetbeni és pénzbeni ellátások</t>
  </si>
  <si>
    <t>EGYÉB MŰKÖDÉSI KIADÁSOK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</si>
  <si>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</si>
  <si>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</si>
  <si>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</si>
  <si>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Sor-</t>
  </si>
  <si>
    <t>Feladat</t>
  </si>
  <si>
    <t>Mindösszesen: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</si>
  <si>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</si>
  <si>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</si>
  <si>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</si>
  <si>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</si>
  <si>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</si>
  <si>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>Közhatalmi bevételek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</si>
  <si>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</si>
  <si>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</si>
  <si>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</si>
  <si>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</si>
  <si>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</si>
  <si>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</si>
  <si>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</si>
  <si>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7.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</si>
  <si>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</si>
  <si>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</si>
  <si>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</si>
  <si>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</si>
  <si>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</si>
  <si>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</si>
  <si>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</si>
  <si>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</si>
  <si>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</si>
  <si>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</si>
  <si>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</si>
  <si>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</si>
  <si>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</si>
  <si>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</si>
  <si>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</si>
  <si>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</si>
  <si>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</si>
  <si>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</si>
  <si>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</si>
  <si>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</si>
  <si>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</si>
  <si>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</si>
  <si>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</si>
  <si>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</si>
  <si>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</si>
  <si>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</si>
  <si>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</si>
  <si>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</si>
  <si>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</si>
  <si>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</si>
  <si>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</si>
  <si>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</si>
  <si>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</si>
  <si>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</si>
  <si>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18.</t>
  </si>
  <si>
    <t>Finanszírozási kiadások összesen:</t>
  </si>
  <si>
    <t>Önkormányzat bevételei mindösszesen:</t>
  </si>
  <si>
    <t>Önkormányzat kiadásai mindösszesen: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</si>
  <si>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</si>
  <si>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</si>
  <si>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</si>
  <si>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</si>
  <si>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</si>
  <si>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</si>
  <si>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</si>
  <si>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</si>
  <si>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</si>
  <si>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</si>
  <si>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</si>
  <si>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</si>
  <si>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</si>
  <si>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</si>
  <si>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</si>
  <si>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</si>
  <si>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</si>
  <si>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</si>
  <si>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</si>
  <si>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</si>
  <si>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</si>
  <si>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</si>
  <si>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</si>
  <si>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</si>
  <si>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</si>
  <si>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</si>
  <si>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</si>
  <si>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</si>
  <si>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</si>
  <si>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</si>
  <si>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</si>
  <si>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</si>
  <si>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</si>
  <si>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</si>
  <si>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</si>
  <si>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</si>
  <si>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</si>
  <si>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</si>
  <si>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</si>
  <si>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</si>
  <si>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</si>
  <si>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</si>
  <si>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</si>
  <si>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</si>
  <si>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</si>
  <si>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</si>
  <si>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</si>
  <si>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</si>
  <si>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</si>
  <si>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</si>
  <si>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részesedések vásárlása</t>
  </si>
  <si>
    <t>19.</t>
  </si>
  <si>
    <t>Kiadások összesen</t>
  </si>
  <si>
    <t>bevételek és kiadások egyenlege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</si>
  <si>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</si>
  <si>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</si>
  <si>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</si>
  <si>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Rendszeres gyermekvédelmi kedvezményben részesülők részére Erzsébet utalvány</t>
  </si>
  <si>
    <t>2017.</t>
  </si>
  <si>
    <t>2018.</t>
  </si>
  <si>
    <t>KÖZVETETT TÁMOGATÁSOK</t>
  </si>
  <si>
    <t>A. helyi adónál biztosított közvetett támogatások</t>
  </si>
  <si>
    <t>1. Iparűzési adó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</si>
  <si>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</si>
  <si>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</si>
  <si>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</si>
  <si>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</si>
  <si>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</si>
  <si>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</si>
  <si>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</si>
  <si>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</si>
  <si>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</si>
  <si>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</si>
  <si>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</si>
  <si>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</si>
  <si>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</si>
  <si>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</si>
  <si>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</si>
  <si>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</si>
  <si>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</si>
  <si>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</si>
  <si>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</si>
  <si>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</si>
  <si>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</si>
  <si>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</si>
  <si>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</si>
  <si>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</si>
  <si>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</si>
  <si>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</si>
  <si>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</si>
  <si>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</si>
  <si>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</si>
  <si>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</si>
  <si>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</si>
  <si>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</si>
  <si>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</si>
  <si>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</si>
  <si>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</si>
  <si>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</si>
  <si>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</si>
  <si>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</si>
  <si>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</si>
  <si>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</si>
  <si>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</si>
  <si>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</si>
  <si>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</si>
  <si>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</si>
  <si>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</si>
  <si>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</si>
  <si>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</si>
  <si>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</si>
  <si>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</si>
  <si>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</si>
  <si>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</si>
  <si>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</si>
  <si>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</si>
  <si>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</si>
  <si>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</si>
  <si>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</si>
  <si>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</si>
  <si>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az I.1. jogcímekhez kapcsolódó kiegészítés</t>
  </si>
  <si>
    <t>Szolgáltatási bevételek</t>
  </si>
  <si>
    <t>II.</t>
  </si>
  <si>
    <t>Egyéb működési célú támogatások államháztartáson belülről</t>
  </si>
  <si>
    <t>2014. évről áthúzódó bérkompenzáció</t>
  </si>
  <si>
    <t>Szociális ágazati pótlék</t>
  </si>
  <si>
    <t>Egyéb működési célú támogatások államháztartáson belülről összesen:</t>
  </si>
  <si>
    <t>Szociális étkeztetés-szállítás (Porpác község Önkormányzata)</t>
  </si>
  <si>
    <t>BÖGÖT KÖZSÉG ÖNKORMÁNYZATA</t>
  </si>
  <si>
    <t>Bögöt község Önkormányzata saját bevételeinek, valamint az adósságot keletkeztető ügyleteiből eredő</t>
  </si>
  <si>
    <t>BEVÉTELEI FORRÁSONKÉNT</t>
  </si>
  <si>
    <t>Szociális étkeztetés</t>
  </si>
  <si>
    <t>082091</t>
  </si>
  <si>
    <t>Közművelődés - közösségi és társadalmi részvétel fejlesztése</t>
  </si>
  <si>
    <t xml:space="preserve">Szociális étkeztetés </t>
  </si>
  <si>
    <t>Falugondnoki, tanyagondnoki szolgáltatás</t>
  </si>
  <si>
    <t>Magyar Önkormányzatok Szövetsége tagdíj</t>
  </si>
  <si>
    <t>Települési Önkormányzatok Országos Szövetsége tagdíj</t>
  </si>
  <si>
    <t>Sárvári Többcélú Kistérségi Társulás tagdíj</t>
  </si>
  <si>
    <t>VASI VOLÁN működési költség hozzájárulás</t>
  </si>
  <si>
    <t>Falugondnokok Vas megyei Egyesülete pártolói támogatás</t>
  </si>
  <si>
    <t>SÁGHEGY Leader Egyesület tagdíj</t>
  </si>
  <si>
    <t>Időskorúak támogatása</t>
  </si>
  <si>
    <t>ELLÁTOTTAK JUTTATÁSAI</t>
  </si>
  <si>
    <t>Működési célú ellátások összesen:</t>
  </si>
  <si>
    <t>Ellátások összesen:</t>
  </si>
  <si>
    <t>RÉSZVÉNYEI, RÉSZESEDÉSEI</t>
  </si>
  <si>
    <t>költségvetési szerv, társadalmi szervezet</t>
  </si>
  <si>
    <t>Gjt. 5 §-a b) pont</t>
  </si>
  <si>
    <t>egyház</t>
  </si>
  <si>
    <t>Gjt. 6.§.(2) bek.</t>
  </si>
  <si>
    <t>Gjt. 5 §-a d) pont</t>
  </si>
  <si>
    <t>Bögöt, Sárvári u. 1. szám alatti ingatlan üzemeltetési és fenntartási költségeinek megtérítése</t>
  </si>
  <si>
    <t>MŰKÖDÉSI ÉS FELHALMOZÁSI CÉLÚ TARTALÉKOK</t>
  </si>
  <si>
    <t>KÖLTSÉGVETÉSI (MŰKÖDÉSI ÉS FELHALMOZÁSI) MÉRLEGE</t>
  </si>
  <si>
    <t xml:space="preserve">visszavásárlási kötelezettség kikötésével megkötött adásvételi szerződés eladói félként történő megkötése vásárlási kötelezettség kikötésével megkötött adásvételi szerződés </t>
  </si>
  <si>
    <t>Bögöt község Önkormányzata</t>
  </si>
  <si>
    <t>költségvetése</t>
  </si>
  <si>
    <t>jóváhagyva:</t>
  </si>
  <si>
    <t xml:space="preserve">2016. évi </t>
  </si>
  <si>
    <t>Gyermekvédelmi pénzbeni és szociális ellátások</t>
  </si>
  <si>
    <t>Köztemető-fenntartása és működtetése</t>
  </si>
  <si>
    <t>2016. év</t>
  </si>
  <si>
    <t>c,</t>
  </si>
  <si>
    <t>szociális étkezetés</t>
  </si>
  <si>
    <t>e,</t>
  </si>
  <si>
    <t>falugondnoki szolgálat</t>
  </si>
  <si>
    <t>rendkívüli önkormányzati költségvetési támogatás</t>
  </si>
  <si>
    <t>rendkívüli szociális támogatás</t>
  </si>
  <si>
    <t>Sírhely megváltása</t>
  </si>
  <si>
    <t>V.</t>
  </si>
  <si>
    <t>Egyéb tárgyi eszközök értékesítése</t>
  </si>
  <si>
    <t>régi busz értékesítése</t>
  </si>
  <si>
    <t>FELHALMOZÁSI BEVÉTELEK ÖSSZESEN:</t>
  </si>
  <si>
    <t>Gyermekek támogatása</t>
  </si>
  <si>
    <t>2017-2019. év</t>
  </si>
  <si>
    <t>2019.</t>
  </si>
  <si>
    <t>(2015. december 31-i állapot szerint)</t>
  </si>
  <si>
    <t>2016.év</t>
  </si>
  <si>
    <t>2016. ÉVI EGYÉB MŰKÖDÉSI CÉLÚ TÁMOGATÁSAI</t>
  </si>
  <si>
    <t>2016. évre</t>
  </si>
  <si>
    <t>Önkormányzatok elszámolása a közpönti kölségvetéssel</t>
  </si>
  <si>
    <t>Áht-n belüli megelőlegzések visszafizetése</t>
  </si>
  <si>
    <t>045160</t>
  </si>
  <si>
    <t>Közutak, hidak, alagutak üzemeltetése fenntartása</t>
  </si>
  <si>
    <t>Áht-n belüli megelőlegezések visszafizetése</t>
  </si>
  <si>
    <t xml:space="preserve"> - Áht-nbelüli megelőlegezések visszafizetése</t>
  </si>
  <si>
    <t xml:space="preserve"> ebből:  Áht-n belüli megelőlegezések visszafiz.</t>
  </si>
  <si>
    <t xml:space="preserve"> ebből: egyég tárgyi eszköz értékesítése</t>
  </si>
  <si>
    <t xml:space="preserve">         régi busz eladásából származó bevétel</t>
  </si>
  <si>
    <t>Önkormányzatok elszámolása központi költségvetéssel</t>
  </si>
  <si>
    <t>Közutak, hidak algutak üzemeltetése fenntartása</t>
  </si>
  <si>
    <t>BERUHÁZÁSI KIADÁSOK</t>
  </si>
  <si>
    <t xml:space="preserve">Összesen: </t>
  </si>
  <si>
    <t>082044 Könyvtári szolgáltatások</t>
  </si>
  <si>
    <t>Könyvtári infrasturktúra megújítására eszközvásárlás</t>
  </si>
  <si>
    <t>Beruházási célú előzetesen felszámított általános forgalmi adó</t>
  </si>
  <si>
    <t>BERUHÁZÁSOK ÖSSZESEN:</t>
  </si>
  <si>
    <t>Fűnyíró kistraktor beszerzése</t>
  </si>
  <si>
    <t>066020 Zöldterület kezelés</t>
  </si>
  <si>
    <t>FELÚJÍTÁSI KIADÁSOK</t>
  </si>
  <si>
    <t>FELÚJÍTÁSOK ÖSSZESEN:</t>
  </si>
  <si>
    <t>045160 Közutak, hidak, alagutak üzemeltetése fenntartása</t>
  </si>
  <si>
    <t>Egyéb építméní felújítása</t>
  </si>
  <si>
    <t>2015.évi Önkományzatok feladatfejlesztési támogatásából áthúzódó összeg</t>
  </si>
  <si>
    <t>- utak felújítása</t>
  </si>
  <si>
    <t>2/2016. (II.15.) ÖR</t>
  </si>
  <si>
    <t>13. melléklet a 2/2016. (II.15.) önkormányzati rendelethez</t>
  </si>
  <si>
    <t>14. melléklet  a  2/2016. (II.15.) önkormányzati rendelethez</t>
  </si>
  <si>
    <t>15. melléklet  a 2/2016. (II.15.) önkormányzati rendelethez</t>
  </si>
  <si>
    <t xml:space="preserve"> Ft</t>
  </si>
  <si>
    <t>Közfoglalkoztatottak támogatása</t>
  </si>
  <si>
    <t>2016. évi bérkompenzáció</t>
  </si>
  <si>
    <t>Működési költségvetési kiegészítő támogatás</t>
  </si>
  <si>
    <t xml:space="preserve">6. </t>
  </si>
  <si>
    <t>( Ft-ban)</t>
  </si>
  <si>
    <t>Hosszabb időtartamú közfoglalkoztatás</t>
  </si>
  <si>
    <t>041233</t>
  </si>
  <si>
    <t>Támogatási célú finanszírozási műveletek</t>
  </si>
  <si>
    <t>018030</t>
  </si>
  <si>
    <t>(Ft-ban)</t>
  </si>
  <si>
    <t>Hosszabb időtartamú közfogllkoztatás</t>
  </si>
  <si>
    <t>2015. évi lakásfenntartási támogatás visszfizetése</t>
  </si>
  <si>
    <t>ELVONÁSOK ÉS BEFIZETÉSEK</t>
  </si>
  <si>
    <t xml:space="preserve"> Tartalék</t>
  </si>
  <si>
    <t>- A helyi önkorm.előző évi elszamolásaból származó kiadásai</t>
  </si>
  <si>
    <t>(Ft.ban)</t>
  </si>
  <si>
    <t xml:space="preserve"> tartalék</t>
  </si>
  <si>
    <t xml:space="preserve"> - államháztártáson belülre </t>
  </si>
  <si>
    <t>1. melléklet  a 2./2016. (II. 15.) önkormányzati rendelethez</t>
  </si>
  <si>
    <t>2. melléklet  a 2./2016. (II. 15.) önkormányzati rendelethez</t>
  </si>
  <si>
    <t>3. melléklet  a 2./2016. (II.15.) önkormányzati rendelethez</t>
  </si>
  <si>
    <t>4. melléklet  a 2./2016. (II.15.) önkormányzati rendelethez</t>
  </si>
  <si>
    <t>5. melléklet  a  2./2016. (II.15.) önkormányzati rendelethez</t>
  </si>
  <si>
    <t>6. melléklet  a 2./2016. (II. 15.) önkormányzati rendelethez</t>
  </si>
  <si>
    <t>7. melléklet  a  2./2016. (II. 15.) önkormányzati rendelethez</t>
  </si>
  <si>
    <t>8 sz. melléklet a 2./2016.(II.15.) sz. önkormányzati rendelethez</t>
  </si>
  <si>
    <t>9 sz. melléklet a 2./2016.(II.15.) sz. önkormányzati rendelethez</t>
  </si>
  <si>
    <t>10. melléklet a 2./2016. (II.15.) önkormányzati rendelethez</t>
  </si>
  <si>
    <t>11.melléklet a 2./2016. (II. 15.) önkormányzati rendelethez</t>
  </si>
  <si>
    <t>12. melléklet a 15./2016. (II. 15.) önkormányzati rendelethez</t>
  </si>
  <si>
    <t>módosítva:</t>
  </si>
  <si>
    <t>9/2016. (V.30.) ÖR</t>
  </si>
  <si>
    <t>10/2016. (VII.8.) ÖR</t>
  </si>
  <si>
    <t>A Képviselő-testület döntésén alapuló szociális ellátások:</t>
  </si>
  <si>
    <t>2015. március 01-jétől hatályos Szoc. tr. alapján bevezetésre kerülő települési támogatások:</t>
  </si>
  <si>
    <t xml:space="preserve">Eseti társadalom, szociálpolitikai és egyéb társadalombiztosítási juttatások:  </t>
  </si>
  <si>
    <t>Sárvári szennyvízelvezetési agglomerációhoz csatlakozás felülvizsgálati tevezési díj</t>
  </si>
  <si>
    <t>066020  Város- és községgazdálkodsi egyéb szolgáltatások</t>
  </si>
  <si>
    <t>TERVEZET</t>
  </si>
  <si>
    <t>Felújítási célú előzetesen felszámított le nem vonható általános forgalmi adó</t>
  </si>
  <si>
    <t>tervezett  előirányzat         ( Ft)</t>
  </si>
  <si>
    <t>ELŐZŐ ÉVEK KÖLTSÉGVETÉSI MARADVÁNY IGÉNYBEVÉTELE</t>
  </si>
  <si>
    <t>Nyári diákmunka támogatása</t>
  </si>
  <si>
    <t>Kis értékű tárgyi eszköz beszerzéses ( pavilon, mikro)</t>
  </si>
  <si>
    <t>082091 Közművelődés- közösségi és társadalmi részvétel fejlesztése</t>
  </si>
  <si>
    <t>tervezett  előirányzat    ( Ft)</t>
  </si>
  <si>
    <t>sor- szám</t>
  </si>
  <si>
    <t>sor-szám</t>
  </si>
  <si>
    <t>11/2016. (IX.26.) ÖR</t>
  </si>
  <si>
    <t>12/2016. (XII.2.) ÖR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</si>
</sst>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_-* #,##0.000\ _F_t_-;\-* #,##0.000\ _F_t_-;_-* &quot;-&quot;??\ _F_t_-;_-@_-"/>
    <numFmt numFmtId="179" formatCode="_-* #,##0.000\ _F_t_-;\-* #,##0.000\ _F_t_-;_-* &quot;-&quot;???\ _F_t_-;_-@_-"/>
  </numFmts>
  <fonts count="71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1" borderId="7" applyNumberFormat="0" applyFon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9" borderId="8" applyNumberFormat="0" applyAlignment="0" applyProtection="0"/>
    <xf numFmtId="0" fontId="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68" fillId="31" borderId="0" applyNumberFormat="0" applyBorder="0" applyAlignment="0" applyProtection="0"/>
    <xf numFmtId="0" fontId="69" fillId="29" borderId="1" applyNumberFormat="0" applyAlignment="0" applyProtection="0"/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9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9" applyFont="1" applyBorder="1">
      <alignment/>
      <protection/>
    </xf>
    <xf numFmtId="0" fontId="10" fillId="0" borderId="0" xfId="59" applyFont="1">
      <alignment/>
      <protection/>
    </xf>
    <xf numFmtId="0" fontId="6" fillId="0" borderId="0" xfId="59" applyFont="1">
      <alignment/>
      <protection/>
    </xf>
    <xf numFmtId="164" fontId="6" fillId="0" borderId="0" xfId="59" applyNumberFormat="1" applyFont="1">
      <alignment/>
      <protection/>
    </xf>
    <xf numFmtId="164" fontId="10" fillId="0" borderId="0" xfId="59" applyNumberFormat="1" applyFont="1">
      <alignment/>
      <protection/>
    </xf>
    <xf numFmtId="0" fontId="4" fillId="0" borderId="0" xfId="62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61" applyFont="1">
      <alignment/>
      <protection/>
    </xf>
    <xf numFmtId="3" fontId="8" fillId="0" borderId="0" xfId="0" applyNumberFormat="1" applyFont="1" applyAlignment="1">
      <alignment/>
    </xf>
    <xf numFmtId="0" fontId="10" fillId="0" borderId="0" xfId="61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58" applyFont="1">
      <alignment/>
      <protection/>
    </xf>
    <xf numFmtId="0" fontId="4" fillId="0" borderId="0" xfId="58" applyFont="1">
      <alignment/>
      <protection/>
    </xf>
    <xf numFmtId="0" fontId="6" fillId="0" borderId="0" xfId="58" applyFont="1" applyAlignment="1">
      <alignment horizontal="centerContinuous"/>
      <protection/>
    </xf>
    <xf numFmtId="0" fontId="6" fillId="0" borderId="0" xfId="58" applyFont="1">
      <alignment/>
      <protection/>
    </xf>
    <xf numFmtId="0" fontId="12" fillId="0" borderId="0" xfId="58" applyFont="1" applyAlignment="1">
      <alignment/>
      <protection/>
    </xf>
    <xf numFmtId="41" fontId="6" fillId="0" borderId="0" xfId="58" applyNumberFormat="1" applyFont="1" applyAlignment="1">
      <alignment horizontal="centerContinuous"/>
      <protection/>
    </xf>
    <xf numFmtId="0" fontId="8" fillId="0" borderId="0" xfId="58" applyFont="1" applyAlignment="1">
      <alignment horizontal="centerContinuous"/>
      <protection/>
    </xf>
    <xf numFmtId="0" fontId="13" fillId="0" borderId="0" xfId="58" applyFont="1" applyAlignment="1">
      <alignment/>
      <protection/>
    </xf>
    <xf numFmtId="41" fontId="8" fillId="0" borderId="0" xfId="58" applyNumberFormat="1" applyFont="1" applyAlignment="1">
      <alignment horizontal="centerContinuous"/>
      <protection/>
    </xf>
    <xf numFmtId="0" fontId="9" fillId="0" borderId="0" xfId="58" applyFont="1">
      <alignment/>
      <protection/>
    </xf>
    <xf numFmtId="0" fontId="10" fillId="0" borderId="0" xfId="58" applyFont="1" applyAlignment="1">
      <alignment horizontal="right"/>
      <protection/>
    </xf>
    <xf numFmtId="41" fontId="11" fillId="0" borderId="0" xfId="58" applyNumberFormat="1" applyFont="1">
      <alignment/>
      <protection/>
    </xf>
    <xf numFmtId="41" fontId="6" fillId="0" borderId="0" xfId="58" applyNumberFormat="1" applyFont="1">
      <alignment/>
      <protection/>
    </xf>
    <xf numFmtId="0" fontId="12" fillId="0" borderId="0" xfId="58" applyFont="1">
      <alignment/>
      <protection/>
    </xf>
    <xf numFmtId="41" fontId="11" fillId="0" borderId="0" xfId="58" applyNumberFormat="1" applyFont="1" applyBorder="1">
      <alignment/>
      <protection/>
    </xf>
    <xf numFmtId="0" fontId="7" fillId="0" borderId="0" xfId="58" applyFont="1">
      <alignment/>
      <protection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9" fillId="0" borderId="13" xfId="61" applyFont="1" applyBorder="1">
      <alignment/>
      <protection/>
    </xf>
    <xf numFmtId="0" fontId="8" fillId="0" borderId="14" xfId="61" applyFont="1" applyBorder="1" applyAlignment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0" xfId="61" applyFont="1">
      <alignment/>
      <protection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Alignment="1">
      <alignment/>
      <protection/>
    </xf>
    <xf numFmtId="0" fontId="10" fillId="0" borderId="0" xfId="59" applyFont="1" applyAlignment="1">
      <alignment/>
      <protection/>
    </xf>
    <xf numFmtId="0" fontId="10" fillId="0" borderId="0" xfId="59" applyFont="1" applyAlignment="1">
      <alignment horizontal="left"/>
      <protection/>
    </xf>
    <xf numFmtId="0" fontId="10" fillId="0" borderId="16" xfId="59" applyFont="1" applyBorder="1" applyAlignment="1">
      <alignment horizontal="left"/>
      <protection/>
    </xf>
    <xf numFmtId="0" fontId="10" fillId="0" borderId="16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3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7" applyFont="1">
      <alignment/>
      <protection/>
    </xf>
    <xf numFmtId="0" fontId="8" fillId="0" borderId="0" xfId="59" applyFont="1" applyAlignment="1">
      <alignment/>
      <protection/>
    </xf>
    <xf numFmtId="0" fontId="4" fillId="0" borderId="0" xfId="59" applyFont="1">
      <alignment/>
      <protection/>
    </xf>
    <xf numFmtId="0" fontId="10" fillId="0" borderId="0" xfId="58" applyFont="1">
      <alignment/>
      <protection/>
    </xf>
    <xf numFmtId="168" fontId="9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68" fontId="10" fillId="0" borderId="0" xfId="59" applyNumberFormat="1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0" fillId="0" borderId="0" xfId="59" applyFont="1" applyBorder="1" applyAlignment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10" fillId="0" borderId="0" xfId="59" applyFont="1" applyBorder="1" applyAlignment="1">
      <alignment horizontal="left" vertical="center"/>
      <protection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14" fillId="0" borderId="0" xfId="0" applyNumberFormat="1" applyFont="1" applyAlignment="1">
      <alignment/>
    </xf>
    <xf numFmtId="0" fontId="21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2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61" applyFont="1">
      <alignment/>
      <protection/>
    </xf>
    <xf numFmtId="0" fontId="6" fillId="0" borderId="0" xfId="0" applyFont="1" applyAlignment="1">
      <alignment horizontal="left" wrapText="1"/>
    </xf>
    <xf numFmtId="0" fontId="9" fillId="0" borderId="0" xfId="62" applyFont="1">
      <alignment/>
      <protection/>
    </xf>
    <xf numFmtId="0" fontId="9" fillId="0" borderId="0" xfId="59" applyFont="1">
      <alignment/>
      <protection/>
    </xf>
    <xf numFmtId="0" fontId="9" fillId="0" borderId="17" xfId="61" applyFont="1" applyBorder="1" applyAlignment="1" quotePrefix="1">
      <alignment horizontal="center" vertical="center" wrapText="1"/>
      <protection/>
    </xf>
    <xf numFmtId="0" fontId="9" fillId="0" borderId="18" xfId="61" applyFont="1" applyBorder="1" applyAlignment="1">
      <alignment horizontal="left" wrapText="1"/>
      <protection/>
    </xf>
    <xf numFmtId="0" fontId="9" fillId="0" borderId="19" xfId="61" applyFont="1" applyBorder="1" applyAlignment="1" quotePrefix="1">
      <alignment horizontal="center" vertical="center" wrapText="1"/>
      <protection/>
    </xf>
    <xf numFmtId="0" fontId="9" fillId="0" borderId="20" xfId="62" applyFont="1" applyBorder="1">
      <alignment/>
      <protection/>
    </xf>
    <xf numFmtId="0" fontId="9" fillId="0" borderId="18" xfId="62" applyFont="1" applyBorder="1">
      <alignment/>
      <protection/>
    </xf>
    <xf numFmtId="0" fontId="9" fillId="0" borderId="0" xfId="0" applyFont="1" applyAlignment="1">
      <alignment horizontal="right"/>
    </xf>
    <xf numFmtId="0" fontId="10" fillId="0" borderId="0" xfId="61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0" fillId="0" borderId="0" xfId="59" applyFont="1">
      <alignment/>
      <protection/>
    </xf>
    <xf numFmtId="0" fontId="16" fillId="0" borderId="0" xfId="59" applyFont="1">
      <alignment/>
      <protection/>
    </xf>
    <xf numFmtId="0" fontId="16" fillId="0" borderId="0" xfId="0" applyFont="1" applyAlignment="1">
      <alignment/>
    </xf>
    <xf numFmtId="0" fontId="6" fillId="0" borderId="11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3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6" fillId="0" borderId="13" xfId="59" applyFont="1" applyBorder="1" applyAlignment="1">
      <alignment horizontal="center"/>
      <protection/>
    </xf>
    <xf numFmtId="0" fontId="6" fillId="0" borderId="15" xfId="59" applyFont="1" applyBorder="1">
      <alignment/>
      <protection/>
    </xf>
    <xf numFmtId="0" fontId="4" fillId="0" borderId="15" xfId="59" applyFont="1" applyBorder="1" applyAlignment="1">
      <alignment horizontal="center"/>
      <protection/>
    </xf>
    <xf numFmtId="0" fontId="6" fillId="0" borderId="16" xfId="59" applyFont="1" applyBorder="1">
      <alignment/>
      <protection/>
    </xf>
    <xf numFmtId="0" fontId="6" fillId="0" borderId="0" xfId="59" applyFont="1">
      <alignment/>
      <protection/>
    </xf>
    <xf numFmtId="0" fontId="10" fillId="0" borderId="21" xfId="59" applyFont="1" applyBorder="1" applyAlignment="1">
      <alignment horizontal="right"/>
      <protection/>
    </xf>
    <xf numFmtId="0" fontId="10" fillId="0" borderId="22" xfId="59" applyFont="1" applyBorder="1" applyAlignment="1">
      <alignment wrapText="1"/>
      <protection/>
    </xf>
    <xf numFmtId="0" fontId="10" fillId="0" borderId="0" xfId="59" applyFont="1" applyBorder="1" applyAlignment="1">
      <alignment horizontal="right"/>
      <protection/>
    </xf>
    <xf numFmtId="0" fontId="10" fillId="0" borderId="0" xfId="59" applyFont="1" applyBorder="1" applyAlignment="1">
      <alignment/>
      <protection/>
    </xf>
    <xf numFmtId="0" fontId="10" fillId="0" borderId="23" xfId="59" applyFont="1" applyBorder="1" applyAlignment="1">
      <alignment horizontal="right"/>
      <protection/>
    </xf>
    <xf numFmtId="168" fontId="6" fillId="0" borderId="0" xfId="59" applyNumberFormat="1" applyFont="1">
      <alignment/>
      <protection/>
    </xf>
    <xf numFmtId="0" fontId="6" fillId="0" borderId="0" xfId="59" applyFont="1" applyBorder="1" applyAlignment="1">
      <alignment horizontal="right"/>
      <protection/>
    </xf>
    <xf numFmtId="0" fontId="6" fillId="0" borderId="0" xfId="59" applyFont="1" applyBorder="1">
      <alignment/>
      <protection/>
    </xf>
    <xf numFmtId="0" fontId="10" fillId="0" borderId="0" xfId="60" applyFont="1">
      <alignment/>
      <protection/>
    </xf>
    <xf numFmtId="0" fontId="6" fillId="0" borderId="0" xfId="60" applyFont="1" applyBorder="1" applyAlignment="1">
      <alignment horizontal="center"/>
      <protection/>
    </xf>
    <xf numFmtId="0" fontId="23" fillId="0" borderId="23" xfId="0" applyFont="1" applyBorder="1" applyAlignment="1">
      <alignment/>
    </xf>
    <xf numFmtId="0" fontId="6" fillId="0" borderId="0" xfId="60" applyFont="1">
      <alignment/>
      <protection/>
    </xf>
    <xf numFmtId="0" fontId="6" fillId="0" borderId="21" xfId="60" applyFont="1" applyBorder="1" applyAlignment="1">
      <alignment horizontal="right"/>
      <protection/>
    </xf>
    <xf numFmtId="0" fontId="6" fillId="0" borderId="21" xfId="60" applyFont="1" applyBorder="1">
      <alignment/>
      <protection/>
    </xf>
    <xf numFmtId="168" fontId="6" fillId="0" borderId="0" xfId="60" applyNumberFormat="1" applyFont="1">
      <alignment/>
      <protection/>
    </xf>
    <xf numFmtId="0" fontId="10" fillId="0" borderId="0" xfId="60" applyFont="1" applyBorder="1" applyAlignment="1">
      <alignment horizontal="center" vertical="center"/>
      <protection/>
    </xf>
    <xf numFmtId="0" fontId="9" fillId="0" borderId="0" xfId="61" applyFont="1" applyAlignment="1">
      <alignment horizontal="left" wrapText="1"/>
      <protection/>
    </xf>
    <xf numFmtId="0" fontId="6" fillId="0" borderId="14" xfId="59" applyFont="1" applyBorder="1" applyAlignment="1">
      <alignment horizontal="center"/>
      <protection/>
    </xf>
    <xf numFmtId="0" fontId="21" fillId="0" borderId="21" xfId="59" applyFont="1" applyBorder="1" applyAlignment="1">
      <alignment horizontal="center"/>
      <protection/>
    </xf>
    <xf numFmtId="0" fontId="7" fillId="0" borderId="21" xfId="59" applyFont="1" applyBorder="1" applyAlignment="1">
      <alignment horizontal="center"/>
      <protection/>
    </xf>
    <xf numFmtId="0" fontId="24" fillId="0" borderId="0" xfId="59" applyFont="1">
      <alignment/>
      <protection/>
    </xf>
    <xf numFmtId="0" fontId="24" fillId="0" borderId="0" xfId="59" applyFont="1" applyAlignment="1">
      <alignment horizontal="center"/>
      <protection/>
    </xf>
    <xf numFmtId="0" fontId="9" fillId="0" borderId="0" xfId="59" applyFont="1">
      <alignment/>
      <protection/>
    </xf>
    <xf numFmtId="0" fontId="21" fillId="0" borderId="0" xfId="59" applyFont="1" applyAlignment="1">
      <alignment horizontal="center"/>
      <protection/>
    </xf>
    <xf numFmtId="0" fontId="4" fillId="0" borderId="0" xfId="0" applyFont="1" applyAlignment="1">
      <alignment/>
    </xf>
    <xf numFmtId="0" fontId="8" fillId="0" borderId="24" xfId="62" applyFont="1" applyBorder="1">
      <alignment/>
      <protection/>
    </xf>
    <xf numFmtId="0" fontId="8" fillId="0" borderId="21" xfId="62" applyFont="1" applyBorder="1">
      <alignment/>
      <protection/>
    </xf>
    <xf numFmtId="0" fontId="9" fillId="0" borderId="25" xfId="61" applyFont="1" applyBorder="1" applyAlignment="1" quotePrefix="1">
      <alignment horizontal="center" vertical="center" wrapText="1"/>
      <protection/>
    </xf>
    <xf numFmtId="0" fontId="4" fillId="0" borderId="21" xfId="0" applyFont="1" applyBorder="1" applyAlignment="1">
      <alignment/>
    </xf>
    <xf numFmtId="0" fontId="8" fillId="0" borderId="24" xfId="61" applyFont="1" applyBorder="1">
      <alignment/>
      <protection/>
    </xf>
    <xf numFmtId="0" fontId="8" fillId="0" borderId="21" xfId="61" applyFont="1" applyBorder="1">
      <alignment/>
      <protection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wrapText="1"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6" fillId="0" borderId="21" xfId="0" applyFont="1" applyBorder="1" applyAlignment="1">
      <alignment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1" fontId="6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6" fillId="0" borderId="24" xfId="0" applyFont="1" applyBorder="1" applyAlignment="1">
      <alignment/>
    </xf>
    <xf numFmtId="0" fontId="10" fillId="0" borderId="23" xfId="0" applyFont="1" applyBorder="1" applyAlignment="1">
      <alignment horizontal="left" wrapText="1"/>
    </xf>
    <xf numFmtId="168" fontId="1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29" fillId="0" borderId="0" xfId="40" applyNumberFormat="1" applyFont="1" applyAlignment="1">
      <alignment/>
    </xf>
    <xf numFmtId="0" fontId="10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0" fillId="0" borderId="0" xfId="40" applyNumberFormat="1" applyFont="1" applyAlignment="1">
      <alignment horizontal="center"/>
    </xf>
    <xf numFmtId="0" fontId="18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 horizontal="centerContinuous"/>
      <protection/>
    </xf>
    <xf numFmtId="0" fontId="6" fillId="0" borderId="11" xfId="58" applyFont="1" applyBorder="1" applyAlignment="1">
      <alignment horizontal="centerContinuous"/>
      <protection/>
    </xf>
    <xf numFmtId="0" fontId="6" fillId="0" borderId="13" xfId="58" applyFont="1" applyBorder="1" applyAlignment="1">
      <alignment horizontal="centerContinuous"/>
      <protection/>
    </xf>
    <xf numFmtId="0" fontId="6" fillId="0" borderId="21" xfId="58" applyFont="1" applyBorder="1" applyAlignment="1">
      <alignment horizontal="center"/>
      <protection/>
    </xf>
    <xf numFmtId="0" fontId="6" fillId="0" borderId="15" xfId="58" applyFont="1" applyBorder="1" applyAlignment="1">
      <alignment horizontal="centerContinuous"/>
      <protection/>
    </xf>
    <xf numFmtId="41" fontId="10" fillId="0" borderId="0" xfId="58" applyNumberFormat="1" applyFont="1">
      <alignment/>
      <protection/>
    </xf>
    <xf numFmtId="41" fontId="10" fillId="0" borderId="0" xfId="58" applyNumberFormat="1" applyFont="1" applyBorder="1" applyAlignment="1">
      <alignment horizontal="center"/>
      <protection/>
    </xf>
    <xf numFmtId="41" fontId="10" fillId="0" borderId="0" xfId="58" applyNumberFormat="1" applyFont="1" applyBorder="1">
      <alignment/>
      <protection/>
    </xf>
    <xf numFmtId="41" fontId="31" fillId="0" borderId="30" xfId="58" applyNumberFormat="1" applyFont="1" applyBorder="1" applyAlignment="1">
      <alignment horizontal="centerContinuous"/>
      <protection/>
    </xf>
    <xf numFmtId="0" fontId="19" fillId="0" borderId="0" xfId="58" applyFont="1" applyBorder="1" applyAlignment="1">
      <alignment horizontal="center"/>
      <protection/>
    </xf>
    <xf numFmtId="0" fontId="19" fillId="0" borderId="0" xfId="58" applyFont="1" applyBorder="1" applyAlignment="1">
      <alignment/>
      <protection/>
    </xf>
    <xf numFmtId="41" fontId="19" fillId="0" borderId="0" xfId="58" applyNumberFormat="1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5" fillId="0" borderId="0" xfId="58" applyFont="1" applyBorder="1" applyAlignment="1">
      <alignment horizontal="center"/>
      <protection/>
    </xf>
    <xf numFmtId="0" fontId="5" fillId="0" borderId="0" xfId="58" applyFont="1" applyBorder="1" applyAlignment="1">
      <alignment/>
      <protection/>
    </xf>
    <xf numFmtId="41" fontId="5" fillId="0" borderId="0" xfId="58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wrapText="1"/>
      <protection/>
    </xf>
    <xf numFmtId="41" fontId="10" fillId="0" borderId="30" xfId="58" applyNumberFormat="1" applyFont="1" applyBorder="1">
      <alignment/>
      <protection/>
    </xf>
    <xf numFmtId="0" fontId="19" fillId="0" borderId="0" xfId="58" applyFont="1" applyBorder="1" applyAlignment="1">
      <alignment wrapText="1"/>
      <protection/>
    </xf>
    <xf numFmtId="41" fontId="19" fillId="0" borderId="0" xfId="58" applyNumberFormat="1" applyFont="1" applyBorder="1">
      <alignment/>
      <protection/>
    </xf>
    <xf numFmtId="0" fontId="5" fillId="0" borderId="0" xfId="58" applyFont="1" applyBorder="1" applyAlignment="1">
      <alignment wrapText="1"/>
      <protection/>
    </xf>
    <xf numFmtId="41" fontId="5" fillId="0" borderId="0" xfId="58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Border="1">
      <alignment/>
      <protection/>
    </xf>
    <xf numFmtId="0" fontId="31" fillId="0" borderId="0" xfId="58" applyFont="1" applyBorder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9" fontId="6" fillId="0" borderId="0" xfId="0" applyNumberFormat="1" applyFont="1" applyAlignment="1">
      <alignment wrapText="1"/>
    </xf>
    <xf numFmtId="0" fontId="9" fillId="0" borderId="0" xfId="61" applyFont="1" applyBorder="1" applyAlignment="1">
      <alignment horizontal="left" wrapText="1"/>
      <protection/>
    </xf>
    <xf numFmtId="0" fontId="9" fillId="0" borderId="31" xfId="61" applyFont="1" applyBorder="1" applyAlignment="1" quotePrefix="1">
      <alignment horizontal="center" vertical="center" wrapText="1"/>
      <protection/>
    </xf>
    <xf numFmtId="178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center" vertical="center"/>
      <protection/>
    </xf>
    <xf numFmtId="0" fontId="6" fillId="0" borderId="23" xfId="59" applyFont="1" applyBorder="1" applyAlignment="1">
      <alignment/>
      <protection/>
    </xf>
    <xf numFmtId="0" fontId="10" fillId="0" borderId="0" xfId="0" applyFont="1" applyAlignment="1">
      <alignment vertical="center"/>
    </xf>
    <xf numFmtId="0" fontId="7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0" fontId="33" fillId="0" borderId="32" xfId="0" applyFont="1" applyBorder="1" applyAlignment="1">
      <alignment horizontal="center"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/>
    </xf>
    <xf numFmtId="0" fontId="34" fillId="0" borderId="0" xfId="0" applyFont="1" applyAlignment="1">
      <alignment wrapText="1"/>
    </xf>
    <xf numFmtId="0" fontId="0" fillId="0" borderId="0" xfId="0" applyAlignment="1" quotePrefix="1">
      <alignment/>
    </xf>
    <xf numFmtId="0" fontId="8" fillId="0" borderId="0" xfId="0" applyFont="1" applyAlignment="1">
      <alignment horizontal="left" wrapText="1"/>
    </xf>
    <xf numFmtId="168" fontId="9" fillId="0" borderId="0" xfId="42" applyNumberFormat="1" applyFont="1" applyAlignment="1">
      <alignment/>
    </xf>
    <xf numFmtId="168" fontId="6" fillId="0" borderId="0" xfId="42" applyNumberFormat="1" applyFont="1" applyAlignment="1">
      <alignment/>
    </xf>
    <xf numFmtId="168" fontId="10" fillId="0" borderId="0" xfId="42" applyNumberFormat="1" applyFont="1" applyAlignment="1">
      <alignment/>
    </xf>
    <xf numFmtId="168" fontId="4" fillId="0" borderId="0" xfId="42" applyNumberFormat="1" applyFont="1" applyAlignment="1">
      <alignment/>
    </xf>
    <xf numFmtId="168" fontId="8" fillId="0" borderId="0" xfId="42" applyNumberFormat="1" applyFont="1" applyAlignment="1">
      <alignment/>
    </xf>
    <xf numFmtId="0" fontId="34" fillId="0" borderId="0" xfId="0" applyFont="1" applyAlignment="1">
      <alignment horizontal="center"/>
    </xf>
    <xf numFmtId="168" fontId="10" fillId="0" borderId="0" xfId="42" applyNumberFormat="1" applyFont="1" applyAlignment="1">
      <alignment/>
    </xf>
    <xf numFmtId="168" fontId="10" fillId="0" borderId="0" xfId="42" applyNumberFormat="1" applyFont="1" applyBorder="1" applyAlignment="1">
      <alignment horizontal="center"/>
    </xf>
    <xf numFmtId="168" fontId="10" fillId="0" borderId="0" xfId="42" applyNumberFormat="1" applyFont="1" applyAlignment="1">
      <alignment wrapText="1"/>
    </xf>
    <xf numFmtId="168" fontId="6" fillId="0" borderId="0" xfId="42" applyNumberFormat="1" applyFont="1" applyAlignment="1">
      <alignment/>
    </xf>
    <xf numFmtId="168" fontId="16" fillId="0" borderId="0" xfId="42" applyNumberFormat="1" applyFont="1" applyAlignment="1">
      <alignment/>
    </xf>
    <xf numFmtId="168" fontId="6" fillId="0" borderId="0" xfId="42" applyNumberFormat="1" applyFont="1" applyAlignment="1">
      <alignment wrapText="1"/>
    </xf>
    <xf numFmtId="168" fontId="21" fillId="0" borderId="33" xfId="42" applyNumberFormat="1" applyFont="1" applyBorder="1" applyAlignment="1">
      <alignment horizontal="center"/>
    </xf>
    <xf numFmtId="168" fontId="21" fillId="0" borderId="11" xfId="42" applyNumberFormat="1" applyFont="1" applyBorder="1" applyAlignment="1">
      <alignment horizontal="center" wrapText="1"/>
    </xf>
    <xf numFmtId="168" fontId="21" fillId="0" borderId="11" xfId="42" applyNumberFormat="1" applyFont="1" applyBorder="1" applyAlignment="1">
      <alignment horizontal="center"/>
    </xf>
    <xf numFmtId="168" fontId="21" fillId="0" borderId="0" xfId="42" applyNumberFormat="1" applyFont="1" applyAlignment="1">
      <alignment horizontal="right"/>
    </xf>
    <xf numFmtId="168" fontId="21" fillId="0" borderId="0" xfId="42" applyNumberFormat="1" applyFont="1" applyAlignment="1">
      <alignment horizontal="centerContinuous"/>
    </xf>
    <xf numFmtId="0" fontId="16" fillId="0" borderId="0" xfId="0" applyFont="1" applyAlignment="1">
      <alignment horizontal="right"/>
    </xf>
    <xf numFmtId="0" fontId="0" fillId="0" borderId="0" xfId="0" applyAlignment="1">
      <alignment/>
    </xf>
    <xf numFmtId="168" fontId="24" fillId="0" borderId="0" xfId="42" applyNumberFormat="1" applyFont="1" applyAlignment="1">
      <alignment horizontal="right"/>
    </xf>
    <xf numFmtId="168" fontId="24" fillId="0" borderId="0" xfId="42" applyNumberFormat="1" applyFont="1" applyAlignment="1">
      <alignment/>
    </xf>
    <xf numFmtId="168" fontId="9" fillId="0" borderId="0" xfId="42" applyNumberFormat="1" applyFont="1" applyAlignment="1">
      <alignment/>
    </xf>
    <xf numFmtId="168" fontId="15" fillId="0" borderId="0" xfId="42" applyNumberFormat="1" applyFont="1" applyAlignment="1">
      <alignment/>
    </xf>
    <xf numFmtId="168" fontId="14" fillId="0" borderId="0" xfId="42" applyNumberFormat="1" applyFont="1" applyAlignment="1">
      <alignment/>
    </xf>
    <xf numFmtId="168" fontId="6" fillId="0" borderId="15" xfId="42" applyNumberFormat="1" applyFont="1" applyBorder="1" applyAlignment="1">
      <alignment/>
    </xf>
    <xf numFmtId="168" fontId="10" fillId="0" borderId="21" xfId="42" applyNumberFormat="1" applyFont="1" applyBorder="1" applyAlignment="1">
      <alignment/>
    </xf>
    <xf numFmtId="168" fontId="10" fillId="0" borderId="0" xfId="42" applyNumberFormat="1" applyFont="1" applyAlignment="1">
      <alignment/>
    </xf>
    <xf numFmtId="168" fontId="6" fillId="0" borderId="0" xfId="42" applyNumberFormat="1" applyFont="1" applyBorder="1" applyAlignment="1">
      <alignment horizontal="center"/>
    </xf>
    <xf numFmtId="168" fontId="6" fillId="0" borderId="13" xfId="42" applyNumberFormat="1" applyFont="1" applyBorder="1" applyAlignment="1">
      <alignment horizontal="center"/>
    </xf>
    <xf numFmtId="168" fontId="6" fillId="0" borderId="0" xfId="42" applyNumberFormat="1" applyFont="1" applyBorder="1" applyAlignment="1">
      <alignment/>
    </xf>
    <xf numFmtId="168" fontId="10" fillId="0" borderId="0" xfId="42" applyNumberFormat="1" applyFont="1" applyBorder="1" applyAlignment="1">
      <alignment/>
    </xf>
    <xf numFmtId="168" fontId="10" fillId="0" borderId="0" xfId="42" applyNumberFormat="1" applyFont="1" applyAlignment="1">
      <alignment horizontal="right"/>
    </xf>
    <xf numFmtId="169" fontId="10" fillId="0" borderId="0" xfId="42" applyNumberFormat="1" applyFont="1" applyAlignment="1">
      <alignment/>
    </xf>
    <xf numFmtId="168" fontId="10" fillId="0" borderId="34" xfId="42" applyNumberFormat="1" applyFont="1" applyBorder="1" applyAlignment="1">
      <alignment/>
    </xf>
    <xf numFmtId="168" fontId="10" fillId="0" borderId="35" xfId="42" applyNumberFormat="1" applyFont="1" applyBorder="1" applyAlignment="1">
      <alignment/>
    </xf>
    <xf numFmtId="168" fontId="6" fillId="0" borderId="21" xfId="42" applyNumberFormat="1" applyFont="1" applyBorder="1" applyAlignment="1">
      <alignment/>
    </xf>
    <xf numFmtId="168" fontId="6" fillId="0" borderId="36" xfId="42" applyNumberFormat="1" applyFont="1" applyBorder="1" applyAlignment="1">
      <alignment/>
    </xf>
    <xf numFmtId="168" fontId="10" fillId="0" borderId="37" xfId="42" applyNumberFormat="1" applyFont="1" applyBorder="1" applyAlignment="1">
      <alignment/>
    </xf>
    <xf numFmtId="168" fontId="10" fillId="0" borderId="23" xfId="42" applyNumberFormat="1" applyFont="1" applyBorder="1" applyAlignment="1">
      <alignment/>
    </xf>
    <xf numFmtId="0" fontId="10" fillId="0" borderId="23" xfId="0" applyFont="1" applyBorder="1" applyAlignment="1" quotePrefix="1">
      <alignment/>
    </xf>
    <xf numFmtId="168" fontId="10" fillId="0" borderId="38" xfId="42" applyNumberFormat="1" applyFont="1" applyBorder="1" applyAlignment="1">
      <alignment/>
    </xf>
    <xf numFmtId="168" fontId="10" fillId="0" borderId="23" xfId="42" applyNumberFormat="1" applyFont="1" applyFill="1" applyBorder="1" applyAlignment="1">
      <alignment/>
    </xf>
    <xf numFmtId="168" fontId="10" fillId="0" borderId="39" xfId="42" applyNumberFormat="1" applyFont="1" applyFill="1" applyBorder="1" applyAlignment="1">
      <alignment/>
    </xf>
    <xf numFmtId="168" fontId="27" fillId="0" borderId="39" xfId="42" applyNumberFormat="1" applyFont="1" applyFill="1" applyBorder="1" applyAlignment="1">
      <alignment/>
    </xf>
    <xf numFmtId="168" fontId="27" fillId="0" borderId="23" xfId="42" applyNumberFormat="1" applyFont="1" applyFill="1" applyBorder="1" applyAlignment="1">
      <alignment/>
    </xf>
    <xf numFmtId="168" fontId="10" fillId="0" borderId="23" xfId="42" applyNumberFormat="1" applyFont="1" applyBorder="1" applyAlignment="1">
      <alignment/>
    </xf>
    <xf numFmtId="168" fontId="10" fillId="0" borderId="15" xfId="42" applyNumberFormat="1" applyFont="1" applyBorder="1" applyAlignment="1">
      <alignment/>
    </xf>
    <xf numFmtId="168" fontId="10" fillId="0" borderId="40" xfId="42" applyNumberFormat="1" applyFont="1" applyBorder="1" applyAlignment="1">
      <alignment/>
    </xf>
    <xf numFmtId="168" fontId="10" fillId="0" borderId="41" xfId="42" applyNumberFormat="1" applyFont="1" applyBorder="1" applyAlignment="1">
      <alignment/>
    </xf>
    <xf numFmtId="168" fontId="10" fillId="0" borderId="42" xfId="42" applyNumberFormat="1" applyFont="1" applyBorder="1" applyAlignment="1">
      <alignment/>
    </xf>
    <xf numFmtId="168" fontId="10" fillId="0" borderId="43" xfId="42" applyNumberFormat="1" applyFont="1" applyBorder="1" applyAlignment="1">
      <alignment horizontal="center"/>
    </xf>
    <xf numFmtId="168" fontId="10" fillId="0" borderId="44" xfId="42" applyNumberFormat="1" applyFont="1" applyBorder="1" applyAlignment="1">
      <alignment horizontal="center"/>
    </xf>
    <xf numFmtId="168" fontId="10" fillId="0" borderId="45" xfId="42" applyNumberFormat="1" applyFont="1" applyBorder="1" applyAlignment="1">
      <alignment horizontal="center"/>
    </xf>
    <xf numFmtId="168" fontId="10" fillId="0" borderId="13" xfId="42" applyNumberFormat="1" applyFont="1" applyBorder="1" applyAlignment="1">
      <alignment horizontal="center"/>
    </xf>
    <xf numFmtId="168" fontId="10" fillId="0" borderId="11" xfId="42" applyNumberFormat="1" applyFont="1" applyBorder="1" applyAlignment="1">
      <alignment/>
    </xf>
    <xf numFmtId="168" fontId="10" fillId="0" borderId="46" xfId="42" applyNumberFormat="1" applyFont="1" applyBorder="1" applyAlignment="1">
      <alignment/>
    </xf>
    <xf numFmtId="168" fontId="10" fillId="0" borderId="47" xfId="42" applyNumberFormat="1" applyFont="1" applyBorder="1" applyAlignment="1">
      <alignment/>
    </xf>
    <xf numFmtId="168" fontId="6" fillId="0" borderId="47" xfId="42" applyNumberFormat="1" applyFont="1" applyBorder="1" applyAlignment="1">
      <alignment/>
    </xf>
    <xf numFmtId="168" fontId="6" fillId="0" borderId="46" xfId="42" applyNumberFormat="1" applyFont="1" applyBorder="1" applyAlignment="1">
      <alignment/>
    </xf>
    <xf numFmtId="168" fontId="6" fillId="0" borderId="48" xfId="42" applyNumberFormat="1" applyFont="1" applyBorder="1" applyAlignment="1">
      <alignment/>
    </xf>
    <xf numFmtId="168" fontId="6" fillId="0" borderId="11" xfId="42" applyNumberFormat="1" applyFont="1" applyBorder="1" applyAlignment="1">
      <alignment/>
    </xf>
    <xf numFmtId="168" fontId="10" fillId="0" borderId="0" xfId="42" applyNumberFormat="1" applyFont="1" applyAlignment="1">
      <alignment horizontal="center"/>
    </xf>
    <xf numFmtId="168" fontId="6" fillId="0" borderId="0" xfId="42" applyNumberFormat="1" applyFont="1" applyBorder="1" applyAlignment="1">
      <alignment/>
    </xf>
    <xf numFmtId="178" fontId="1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9" fillId="0" borderId="36" xfId="61" applyFont="1" applyBorder="1" applyAlignment="1">
      <alignment horizontal="left" wrapText="1"/>
      <protection/>
    </xf>
    <xf numFmtId="0" fontId="8" fillId="0" borderId="0" xfId="61" applyFont="1" applyAlignment="1">
      <alignment horizontal="left" wrapText="1"/>
      <protection/>
    </xf>
    <xf numFmtId="0" fontId="8" fillId="0" borderId="0" xfId="61" applyFont="1" applyAlignment="1">
      <alignment wrapText="1"/>
      <protection/>
    </xf>
    <xf numFmtId="3" fontId="0" fillId="0" borderId="30" xfId="0" applyNumberFormat="1" applyBorder="1" applyAlignment="1">
      <alignment/>
    </xf>
    <xf numFmtId="0" fontId="0" fillId="0" borderId="0" xfId="0" applyAlignment="1">
      <alignment wrapText="1"/>
    </xf>
    <xf numFmtId="0" fontId="34" fillId="0" borderId="0" xfId="0" applyFont="1" applyAlignment="1" quotePrefix="1">
      <alignment/>
    </xf>
    <xf numFmtId="3" fontId="0" fillId="0" borderId="3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1" xfId="0" applyBorder="1" applyAlignment="1">
      <alignment horizontal="center" wrapText="1"/>
    </xf>
    <xf numFmtId="0" fontId="33" fillId="0" borderId="21" xfId="0" applyFont="1" applyBorder="1" applyAlignment="1">
      <alignment horizontal="center"/>
    </xf>
    <xf numFmtId="3" fontId="8" fillId="0" borderId="0" xfId="42" applyNumberFormat="1" applyFont="1" applyAlignment="1">
      <alignment/>
    </xf>
    <xf numFmtId="3" fontId="9" fillId="0" borderId="0" xfId="42" applyNumberFormat="1" applyFont="1" applyAlignment="1">
      <alignment/>
    </xf>
    <xf numFmtId="3" fontId="8" fillId="0" borderId="0" xfId="42" applyNumberFormat="1" applyFont="1" applyAlignment="1">
      <alignment/>
    </xf>
    <xf numFmtId="3" fontId="7" fillId="0" borderId="0" xfId="42" applyNumberFormat="1" applyFont="1" applyAlignment="1">
      <alignment horizontal="right"/>
    </xf>
    <xf numFmtId="3" fontId="9" fillId="0" borderId="0" xfId="42" applyNumberFormat="1" applyFont="1" applyAlignment="1">
      <alignment horizontal="right"/>
    </xf>
    <xf numFmtId="3" fontId="7" fillId="0" borderId="0" xfId="42" applyNumberFormat="1" applyFont="1" applyAlignment="1">
      <alignment/>
    </xf>
    <xf numFmtId="3" fontId="8" fillId="0" borderId="0" xfId="42" applyNumberFormat="1" applyFont="1" applyAlignment="1">
      <alignment horizontal="right"/>
    </xf>
    <xf numFmtId="3" fontId="9" fillId="0" borderId="0" xfId="0" applyNumberFormat="1" applyFont="1" applyAlignment="1">
      <alignment/>
    </xf>
    <xf numFmtId="3" fontId="8" fillId="0" borderId="0" xfId="42" applyNumberFormat="1" applyFont="1" applyBorder="1" applyAlignment="1">
      <alignment horizontal="center"/>
    </xf>
    <xf numFmtId="3" fontId="8" fillId="0" borderId="0" xfId="42" applyNumberFormat="1" applyFont="1" applyBorder="1" applyAlignment="1">
      <alignment/>
    </xf>
    <xf numFmtId="3" fontId="10" fillId="0" borderId="0" xfId="59" applyNumberFormat="1" applyFont="1" applyBorder="1" applyAlignment="1">
      <alignment horizontal="center"/>
      <protection/>
    </xf>
    <xf numFmtId="3" fontId="6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0" fillId="0" borderId="0" xfId="42" applyNumberFormat="1" applyFont="1" applyAlignment="1">
      <alignment/>
    </xf>
    <xf numFmtId="3" fontId="10" fillId="0" borderId="0" xfId="42" applyNumberFormat="1" applyFont="1" applyBorder="1" applyAlignment="1">
      <alignment/>
    </xf>
    <xf numFmtId="3" fontId="10" fillId="0" borderId="0" xfId="42" applyNumberFormat="1" applyFont="1" applyBorder="1" applyAlignment="1">
      <alignment horizontal="center"/>
    </xf>
    <xf numFmtId="3" fontId="6" fillId="0" borderId="0" xfId="42" applyNumberFormat="1" applyFont="1" applyBorder="1" applyAlignment="1">
      <alignment/>
    </xf>
    <xf numFmtId="3" fontId="6" fillId="0" borderId="0" xfId="42" applyNumberFormat="1" applyFont="1" applyAlignment="1">
      <alignment/>
    </xf>
    <xf numFmtId="3" fontId="6" fillId="0" borderId="0" xfId="0" applyNumberFormat="1" applyFont="1" applyAlignment="1">
      <alignment wrapText="1"/>
    </xf>
    <xf numFmtId="3" fontId="10" fillId="0" borderId="0" xfId="42" applyNumberFormat="1" applyFont="1" applyAlignment="1">
      <alignment wrapText="1"/>
    </xf>
    <xf numFmtId="3" fontId="6" fillId="0" borderId="0" xfId="42" applyNumberFormat="1" applyFont="1" applyBorder="1" applyAlignment="1">
      <alignment horizontal="center"/>
    </xf>
    <xf numFmtId="170" fontId="10" fillId="0" borderId="0" xfId="42" applyNumberFormat="1" applyFont="1" applyBorder="1" applyAlignment="1">
      <alignment/>
    </xf>
    <xf numFmtId="170" fontId="16" fillId="0" borderId="0" xfId="42" applyNumberFormat="1" applyFont="1" applyAlignment="1">
      <alignment/>
    </xf>
    <xf numFmtId="170" fontId="10" fillId="0" borderId="0" xfId="42" applyNumberFormat="1" applyFont="1" applyAlignment="1">
      <alignment/>
    </xf>
    <xf numFmtId="170" fontId="10" fillId="0" borderId="0" xfId="42" applyNumberFormat="1" applyFont="1" applyAlignment="1">
      <alignment wrapText="1"/>
    </xf>
    <xf numFmtId="3" fontId="16" fillId="0" borderId="0" xfId="42" applyNumberFormat="1" applyFont="1" applyAlignment="1">
      <alignment/>
    </xf>
    <xf numFmtId="3" fontId="10" fillId="0" borderId="0" xfId="59" applyNumberFormat="1" applyFont="1">
      <alignment/>
      <protection/>
    </xf>
    <xf numFmtId="3" fontId="6" fillId="0" borderId="0" xfId="42" applyNumberFormat="1" applyFont="1" applyAlignment="1">
      <alignment wrapText="1"/>
    </xf>
    <xf numFmtId="3" fontId="16" fillId="0" borderId="0" xfId="59" applyNumberFormat="1" applyFont="1">
      <alignment/>
      <protection/>
    </xf>
    <xf numFmtId="3" fontId="16" fillId="0" borderId="0" xfId="42" applyNumberFormat="1" applyFont="1" applyAlignment="1">
      <alignment wrapText="1"/>
    </xf>
    <xf numFmtId="170" fontId="4" fillId="0" borderId="21" xfId="42" applyNumberFormat="1" applyFont="1" applyBorder="1" applyAlignment="1">
      <alignment/>
    </xf>
    <xf numFmtId="170" fontId="4" fillId="0" borderId="37" xfId="42" applyNumberFormat="1" applyFont="1" applyBorder="1" applyAlignment="1">
      <alignment/>
    </xf>
    <xf numFmtId="170" fontId="4" fillId="0" borderId="23" xfId="42" applyNumberFormat="1" applyFont="1" applyBorder="1" applyAlignment="1">
      <alignment/>
    </xf>
    <xf numFmtId="170" fontId="4" fillId="0" borderId="49" xfId="42" applyNumberFormat="1" applyFont="1" applyBorder="1" applyAlignment="1">
      <alignment/>
    </xf>
    <xf numFmtId="170" fontId="4" fillId="0" borderId="29" xfId="42" applyNumberFormat="1" applyFont="1" applyBorder="1" applyAlignment="1">
      <alignment/>
    </xf>
    <xf numFmtId="3" fontId="8" fillId="0" borderId="21" xfId="61" applyNumberFormat="1" applyFont="1" applyBorder="1" applyAlignment="1">
      <alignment horizontal="right"/>
      <protection/>
    </xf>
    <xf numFmtId="3" fontId="8" fillId="0" borderId="24" xfId="61" applyNumberFormat="1" applyFont="1" applyBorder="1" applyAlignment="1">
      <alignment horizontal="right"/>
      <protection/>
    </xf>
    <xf numFmtId="3" fontId="9" fillId="0" borderId="23" xfId="62" applyNumberFormat="1" applyFont="1" applyBorder="1">
      <alignment/>
      <protection/>
    </xf>
    <xf numFmtId="3" fontId="9" fillId="0" borderId="39" xfId="62" applyNumberFormat="1" applyFont="1" applyBorder="1">
      <alignment/>
      <protection/>
    </xf>
    <xf numFmtId="3" fontId="9" fillId="0" borderId="37" xfId="61" applyNumberFormat="1" applyFont="1" applyBorder="1">
      <alignment/>
      <protection/>
    </xf>
    <xf numFmtId="3" fontId="9" fillId="0" borderId="39" xfId="61" applyNumberFormat="1" applyFont="1" applyBorder="1">
      <alignment/>
      <protection/>
    </xf>
    <xf numFmtId="3" fontId="20" fillId="0" borderId="39" xfId="61" applyNumberFormat="1" applyFont="1" applyBorder="1">
      <alignment/>
      <protection/>
    </xf>
    <xf numFmtId="3" fontId="9" fillId="0" borderId="23" xfId="61" applyNumberFormat="1" applyFont="1" applyBorder="1">
      <alignment/>
      <protection/>
    </xf>
    <xf numFmtId="3" fontId="20" fillId="0" borderId="23" xfId="61" applyNumberFormat="1" applyFont="1" applyBorder="1">
      <alignment/>
      <protection/>
    </xf>
    <xf numFmtId="3" fontId="9" fillId="0" borderId="23" xfId="61" applyNumberFormat="1" applyFont="1" applyBorder="1" applyAlignment="1">
      <alignment horizontal="right"/>
      <protection/>
    </xf>
    <xf numFmtId="3" fontId="9" fillId="0" borderId="20" xfId="61" applyNumberFormat="1" applyFont="1" applyBorder="1" applyAlignment="1">
      <alignment horizontal="right"/>
      <protection/>
    </xf>
    <xf numFmtId="3" fontId="9" fillId="0" borderId="50" xfId="61" applyNumberFormat="1" applyFont="1" applyBorder="1" applyAlignment="1">
      <alignment horizontal="right"/>
      <protection/>
    </xf>
    <xf numFmtId="0" fontId="9" fillId="0" borderId="18" xfId="62" applyFont="1" applyBorder="1" applyAlignment="1">
      <alignment wrapText="1"/>
      <protection/>
    </xf>
    <xf numFmtId="3" fontId="9" fillId="0" borderId="50" xfId="62" applyNumberFormat="1" applyFont="1" applyBorder="1">
      <alignment/>
      <protection/>
    </xf>
    <xf numFmtId="3" fontId="9" fillId="0" borderId="51" xfId="62" applyNumberFormat="1" applyFont="1" applyBorder="1">
      <alignment/>
      <protection/>
    </xf>
    <xf numFmtId="3" fontId="9" fillId="0" borderId="29" xfId="62" applyNumberFormat="1" applyFont="1" applyBorder="1">
      <alignment/>
      <protection/>
    </xf>
    <xf numFmtId="0" fontId="0" fillId="0" borderId="52" xfId="0" applyBorder="1" applyAlignment="1">
      <alignment horizontal="center" wrapText="1"/>
    </xf>
    <xf numFmtId="170" fontId="6" fillId="0" borderId="21" xfId="60" applyNumberFormat="1" applyFont="1" applyBorder="1" applyAlignment="1">
      <alignment/>
      <protection/>
    </xf>
    <xf numFmtId="170" fontId="6" fillId="0" borderId="23" xfId="42" applyNumberFormat="1" applyFont="1" applyBorder="1" applyAlignment="1">
      <alignment/>
    </xf>
    <xf numFmtId="170" fontId="10" fillId="0" borderId="23" xfId="42" applyNumberFormat="1" applyFont="1" applyBorder="1" applyAlignment="1">
      <alignment/>
    </xf>
    <xf numFmtId="3" fontId="6" fillId="0" borderId="21" xfId="42" applyNumberFormat="1" applyFont="1" applyBorder="1" applyAlignment="1">
      <alignment/>
    </xf>
    <xf numFmtId="3" fontId="6" fillId="0" borderId="21" xfId="59" applyNumberFormat="1" applyFont="1" applyBorder="1">
      <alignment/>
      <protection/>
    </xf>
    <xf numFmtId="3" fontId="6" fillId="0" borderId="21" xfId="59" applyNumberFormat="1" applyFont="1" applyBorder="1" applyAlignment="1">
      <alignment horizontal="right"/>
      <protection/>
    </xf>
    <xf numFmtId="3" fontId="10" fillId="0" borderId="23" xfId="42" applyNumberFormat="1" applyFont="1" applyBorder="1" applyAlignment="1">
      <alignment/>
    </xf>
    <xf numFmtId="3" fontId="10" fillId="0" borderId="23" xfId="59" applyNumberFormat="1" applyFont="1" applyBorder="1" applyAlignment="1">
      <alignment/>
      <protection/>
    </xf>
    <xf numFmtId="3" fontId="10" fillId="0" borderId="23" xfId="59" applyNumberFormat="1" applyFont="1" applyBorder="1" applyAlignment="1">
      <alignment horizontal="right"/>
      <protection/>
    </xf>
    <xf numFmtId="3" fontId="10" fillId="0" borderId="0" xfId="42" applyNumberFormat="1" applyFont="1" applyAlignment="1">
      <alignment/>
    </xf>
    <xf numFmtId="3" fontId="23" fillId="0" borderId="0" xfId="0" applyNumberFormat="1" applyFont="1" applyAlignment="1">
      <alignment/>
    </xf>
    <xf numFmtId="3" fontId="10" fillId="0" borderId="0" xfId="59" applyNumberFormat="1" applyFont="1" applyAlignment="1">
      <alignment horizontal="right"/>
      <protection/>
    </xf>
    <xf numFmtId="3" fontId="10" fillId="0" borderId="0" xfId="0" applyNumberFormat="1" applyFont="1" applyAlignment="1">
      <alignment wrapText="1"/>
    </xf>
    <xf numFmtId="3" fontId="10" fillId="0" borderId="0" xfId="59" applyNumberFormat="1" applyFont="1" applyBorder="1" applyAlignment="1">
      <alignment wrapText="1"/>
      <protection/>
    </xf>
    <xf numFmtId="3" fontId="10" fillId="0" borderId="0" xfId="59" applyNumberFormat="1" applyFont="1" applyAlignment="1">
      <alignment/>
      <protection/>
    </xf>
    <xf numFmtId="3" fontId="10" fillId="0" borderId="0" xfId="59" applyNumberFormat="1" applyFont="1" applyBorder="1" applyAlignment="1">
      <alignment/>
      <protection/>
    </xf>
    <xf numFmtId="3" fontId="10" fillId="0" borderId="0" xfId="59" applyNumberFormat="1" applyFont="1" applyBorder="1" applyAlignment="1">
      <alignment horizontal="right"/>
      <protection/>
    </xf>
    <xf numFmtId="3" fontId="10" fillId="0" borderId="0" xfId="59" applyNumberFormat="1" applyFont="1" quotePrefix="1">
      <alignment/>
      <protection/>
    </xf>
    <xf numFmtId="3" fontId="10" fillId="0" borderId="0" xfId="42" applyNumberFormat="1" applyFont="1" applyAlignment="1">
      <alignment horizontal="right"/>
    </xf>
    <xf numFmtId="3" fontId="10" fillId="0" borderId="0" xfId="42" applyNumberFormat="1" applyFont="1" applyAlignment="1">
      <alignment/>
    </xf>
    <xf numFmtId="3" fontId="23" fillId="0" borderId="0" xfId="0" applyNumberFormat="1" applyFont="1" applyAlignment="1">
      <alignment/>
    </xf>
    <xf numFmtId="3" fontId="10" fillId="0" borderId="0" xfId="0" applyNumberFormat="1" applyFont="1" applyAlignment="1">
      <alignment wrapTex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61" applyFont="1" applyBorder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6" fillId="0" borderId="0" xfId="59" applyFont="1" applyAlignment="1">
      <alignment horizontal="center"/>
      <protection/>
    </xf>
    <xf numFmtId="0" fontId="6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59" applyFont="1" applyBorder="1" applyAlignment="1">
      <alignment horizontal="left" vertical="center" wrapText="1"/>
      <protection/>
    </xf>
    <xf numFmtId="0" fontId="10" fillId="0" borderId="10" xfId="59" applyFont="1" applyBorder="1" applyAlignment="1">
      <alignment horizontal="center" vertical="center"/>
      <protection/>
    </xf>
    <xf numFmtId="0" fontId="10" fillId="0" borderId="53" xfId="59" applyFont="1" applyBorder="1" applyAlignment="1">
      <alignment horizontal="center" vertical="center"/>
      <protection/>
    </xf>
    <xf numFmtId="0" fontId="10" fillId="0" borderId="33" xfId="59" applyFont="1" applyBorder="1" applyAlignment="1">
      <alignment horizontal="center" vertical="center"/>
      <protection/>
    </xf>
    <xf numFmtId="0" fontId="10" fillId="0" borderId="12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0" fontId="10" fillId="0" borderId="54" xfId="59" applyFont="1" applyBorder="1" applyAlignment="1">
      <alignment horizontal="center" vertical="center"/>
      <protection/>
    </xf>
    <xf numFmtId="0" fontId="10" fillId="0" borderId="14" xfId="59" applyFont="1" applyBorder="1" applyAlignment="1">
      <alignment horizontal="center" vertical="center"/>
      <protection/>
    </xf>
    <xf numFmtId="0" fontId="10" fillId="0" borderId="16" xfId="59" applyFont="1" applyBorder="1" applyAlignment="1">
      <alignment horizontal="center" vertical="center"/>
      <protection/>
    </xf>
    <xf numFmtId="0" fontId="10" fillId="0" borderId="55" xfId="59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34" fillId="0" borderId="0" xfId="0" applyFont="1" applyAlignment="1">
      <alignment horizontal="left" vertical="center"/>
    </xf>
    <xf numFmtId="0" fontId="10" fillId="0" borderId="0" xfId="59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6" fillId="0" borderId="0" xfId="59" applyFont="1" applyBorder="1" applyAlignment="1">
      <alignment horizontal="left" vertic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53" xfId="59" applyFont="1" applyBorder="1" applyAlignment="1">
      <alignment horizontal="center"/>
      <protection/>
    </xf>
    <xf numFmtId="0" fontId="10" fillId="0" borderId="33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0" fillId="0" borderId="0" xfId="59" applyFont="1" applyBorder="1" applyAlignment="1">
      <alignment horizontal="center"/>
      <protection/>
    </xf>
    <xf numFmtId="0" fontId="10" fillId="0" borderId="54" xfId="59" applyFont="1" applyBorder="1" applyAlignment="1">
      <alignment horizontal="center"/>
      <protection/>
    </xf>
    <xf numFmtId="0" fontId="10" fillId="0" borderId="14" xfId="59" applyFont="1" applyBorder="1" applyAlignment="1">
      <alignment horizontal="center"/>
      <protection/>
    </xf>
    <xf numFmtId="0" fontId="10" fillId="0" borderId="16" xfId="59" applyFont="1" applyBorder="1" applyAlignment="1">
      <alignment horizontal="center"/>
      <protection/>
    </xf>
    <xf numFmtId="0" fontId="10" fillId="0" borderId="55" xfId="59" applyFont="1" applyBorder="1" applyAlignment="1">
      <alignment horizontal="center"/>
      <protection/>
    </xf>
    <xf numFmtId="0" fontId="8" fillId="0" borderId="0" xfId="59" applyFont="1" applyAlignment="1">
      <alignment horizontal="center"/>
      <protection/>
    </xf>
    <xf numFmtId="0" fontId="8" fillId="0" borderId="0" xfId="59" applyFont="1" applyAlignment="1">
      <alignment horizontal="center" wrapText="1"/>
      <protection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21" fillId="0" borderId="11" xfId="59" applyFont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center" vertical="center" wrapText="1"/>
      <protection/>
    </xf>
    <xf numFmtId="0" fontId="21" fillId="0" borderId="15" xfId="59" applyFont="1" applyBorder="1" applyAlignment="1">
      <alignment horizontal="center" vertical="center" wrapText="1"/>
      <protection/>
    </xf>
    <xf numFmtId="168" fontId="21" fillId="0" borderId="22" xfId="42" applyNumberFormat="1" applyFont="1" applyBorder="1" applyAlignment="1">
      <alignment horizontal="center"/>
    </xf>
    <xf numFmtId="168" fontId="21" fillId="0" borderId="56" xfId="42" applyNumberFormat="1" applyFont="1" applyBorder="1" applyAlignment="1">
      <alignment horizontal="center"/>
    </xf>
    <xf numFmtId="168" fontId="21" fillId="0" borderId="10" xfId="42" applyNumberFormat="1" applyFont="1" applyBorder="1" applyAlignment="1">
      <alignment horizontal="center"/>
    </xf>
    <xf numFmtId="168" fontId="21" fillId="0" borderId="53" xfId="42" applyNumberFormat="1" applyFont="1" applyBorder="1" applyAlignment="1">
      <alignment horizontal="center"/>
    </xf>
    <xf numFmtId="168" fontId="21" fillId="0" borderId="33" xfId="42" applyNumberFormat="1" applyFont="1" applyBorder="1" applyAlignment="1">
      <alignment horizontal="center"/>
    </xf>
    <xf numFmtId="168" fontId="21" fillId="0" borderId="12" xfId="42" applyNumberFormat="1" applyFont="1" applyBorder="1" applyAlignment="1">
      <alignment horizontal="center"/>
    </xf>
    <xf numFmtId="168" fontId="21" fillId="0" borderId="0" xfId="42" applyNumberFormat="1" applyFont="1" applyBorder="1" applyAlignment="1">
      <alignment horizontal="center"/>
    </xf>
    <xf numFmtId="168" fontId="21" fillId="0" borderId="54" xfId="42" applyNumberFormat="1" applyFont="1" applyBorder="1" applyAlignment="1">
      <alignment horizontal="center"/>
    </xf>
    <xf numFmtId="168" fontId="21" fillId="0" borderId="14" xfId="42" applyNumberFormat="1" applyFont="1" applyBorder="1" applyAlignment="1">
      <alignment horizontal="center"/>
    </xf>
    <xf numFmtId="168" fontId="21" fillId="0" borderId="16" xfId="42" applyNumberFormat="1" applyFont="1" applyBorder="1" applyAlignment="1">
      <alignment horizontal="center"/>
    </xf>
    <xf numFmtId="168" fontId="21" fillId="0" borderId="55" xfId="42" applyNumberFormat="1" applyFont="1" applyBorder="1" applyAlignment="1">
      <alignment horizontal="center"/>
    </xf>
    <xf numFmtId="0" fontId="9" fillId="0" borderId="11" xfId="59" applyFont="1" applyBorder="1" applyAlignment="1">
      <alignment horizontal="center" vertical="center" wrapText="1"/>
      <protection/>
    </xf>
    <xf numFmtId="0" fontId="9" fillId="0" borderId="13" xfId="59" applyFont="1" applyBorder="1" applyAlignment="1">
      <alignment horizontal="center" vertical="center" wrapText="1"/>
      <protection/>
    </xf>
    <xf numFmtId="0" fontId="9" fillId="0" borderId="15" xfId="59" applyFont="1" applyBorder="1" applyAlignment="1">
      <alignment horizontal="center" vertical="center" wrapText="1"/>
      <protection/>
    </xf>
    <xf numFmtId="0" fontId="8" fillId="0" borderId="0" xfId="62" applyFont="1" applyAlignment="1">
      <alignment horizontal="center"/>
      <protection/>
    </xf>
    <xf numFmtId="0" fontId="9" fillId="0" borderId="11" xfId="59" applyFont="1" applyBorder="1" applyAlignment="1">
      <alignment horizontal="center" vertical="center"/>
      <protection/>
    </xf>
    <xf numFmtId="0" fontId="9" fillId="0" borderId="13" xfId="59" applyFont="1" applyBorder="1" applyAlignment="1">
      <alignment horizontal="center" vertical="center"/>
      <protection/>
    </xf>
    <xf numFmtId="0" fontId="9" fillId="0" borderId="15" xfId="59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62" applyFont="1" applyAlignment="1">
      <alignment horizontal="left"/>
      <protection/>
    </xf>
    <xf numFmtId="0" fontId="9" fillId="0" borderId="24" xfId="59" applyFont="1" applyBorder="1" applyAlignment="1">
      <alignment horizontal="center"/>
      <protection/>
    </xf>
    <xf numFmtId="0" fontId="9" fillId="0" borderId="22" xfId="59" applyFont="1" applyBorder="1" applyAlignment="1">
      <alignment horizontal="center"/>
      <protection/>
    </xf>
    <xf numFmtId="0" fontId="9" fillId="0" borderId="56" xfId="59" applyFont="1" applyBorder="1" applyAlignment="1">
      <alignment horizontal="center"/>
      <protection/>
    </xf>
    <xf numFmtId="0" fontId="9" fillId="0" borderId="11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5" xfId="61" applyFont="1" applyBorder="1" applyAlignment="1">
      <alignment horizontal="center" vertical="center"/>
      <protection/>
    </xf>
    <xf numFmtId="0" fontId="7" fillId="0" borderId="24" xfId="59" applyFont="1" applyBorder="1" applyAlignment="1">
      <alignment horizontal="center"/>
      <protection/>
    </xf>
    <xf numFmtId="0" fontId="7" fillId="0" borderId="56" xfId="59" applyFont="1" applyBorder="1" applyAlignment="1">
      <alignment horizontal="center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7" fillId="0" borderId="14" xfId="59" applyFont="1" applyBorder="1" applyAlignment="1">
      <alignment horizontal="center"/>
      <protection/>
    </xf>
    <xf numFmtId="0" fontId="7" fillId="0" borderId="55" xfId="59" applyFont="1" applyBorder="1" applyAlignment="1">
      <alignment horizontal="center"/>
      <protection/>
    </xf>
    <xf numFmtId="0" fontId="9" fillId="0" borderId="24" xfId="59" applyFont="1" applyBorder="1" applyAlignment="1">
      <alignment horizontal="center" wrapText="1"/>
      <protection/>
    </xf>
    <xf numFmtId="0" fontId="9" fillId="0" borderId="22" xfId="59" applyFont="1" applyBorder="1" applyAlignment="1">
      <alignment horizontal="center" wrapText="1"/>
      <protection/>
    </xf>
    <xf numFmtId="0" fontId="9" fillId="0" borderId="56" xfId="59" applyFont="1" applyBorder="1" applyAlignment="1">
      <alignment horizontal="center" wrapText="1"/>
      <protection/>
    </xf>
    <xf numFmtId="44" fontId="9" fillId="0" borderId="24" xfId="66" applyFont="1" applyBorder="1" applyAlignment="1">
      <alignment horizontal="center"/>
    </xf>
    <xf numFmtId="44" fontId="9" fillId="0" borderId="22" xfId="66" applyFont="1" applyBorder="1" applyAlignment="1">
      <alignment horizontal="center"/>
    </xf>
    <xf numFmtId="44" fontId="9" fillId="0" borderId="56" xfId="66" applyFont="1" applyBorder="1" applyAlignment="1">
      <alignment horizontal="center"/>
    </xf>
    <xf numFmtId="0" fontId="9" fillId="0" borderId="16" xfId="62" applyFont="1" applyBorder="1" applyAlignment="1">
      <alignment horizontal="right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25" fillId="0" borderId="13" xfId="59" applyFont="1" applyBorder="1" applyAlignment="1">
      <alignment horizontal="center" vertical="center" wrapText="1"/>
      <protection/>
    </xf>
    <xf numFmtId="0" fontId="25" fillId="0" borderId="15" xfId="59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5" xfId="61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/>
      <protection/>
    </xf>
    <xf numFmtId="0" fontId="7" fillId="0" borderId="54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10" fillId="0" borderId="0" xfId="61" applyFont="1" applyBorder="1" applyAlignment="1">
      <alignment horizontal="left" wrapText="1"/>
      <protection/>
    </xf>
    <xf numFmtId="0" fontId="8" fillId="0" borderId="5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0" fillId="0" borderId="0" xfId="61" applyFont="1" applyBorder="1" applyAlignment="1">
      <alignment horizontal="left" wrapText="1"/>
      <protection/>
    </xf>
    <xf numFmtId="0" fontId="10" fillId="0" borderId="0" xfId="61" applyFont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9" fillId="0" borderId="0" xfId="0" applyFont="1" applyAlignment="1">
      <alignment horizontal="left"/>
    </xf>
    <xf numFmtId="0" fontId="8" fillId="0" borderId="0" xfId="61" applyFont="1" applyAlignment="1">
      <alignment horizontal="center"/>
      <protection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59" applyFont="1" applyAlignment="1">
      <alignment horizontal="center"/>
      <protection/>
    </xf>
    <xf numFmtId="168" fontId="6" fillId="0" borderId="11" xfId="42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6" fillId="0" borderId="11" xfId="59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0" fillId="0" borderId="0" xfId="59" applyNumberFormat="1" applyFont="1" applyBorder="1" applyAlignment="1">
      <alignment horizontal="center"/>
      <protection/>
    </xf>
    <xf numFmtId="3" fontId="5" fillId="0" borderId="0" xfId="59" applyNumberFormat="1" applyFont="1" applyBorder="1" applyAlignment="1">
      <alignment horizontal="center"/>
      <protection/>
    </xf>
    <xf numFmtId="0" fontId="16" fillId="0" borderId="0" xfId="59" applyFont="1" applyAlignment="1">
      <alignment/>
      <protection/>
    </xf>
    <xf numFmtId="3" fontId="6" fillId="0" borderId="11" xfId="59" applyNumberFormat="1" applyFont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6" fillId="0" borderId="11" xfId="42" applyNumberFormat="1" applyFont="1" applyBorder="1" applyAlignment="1">
      <alignment horizontal="center" vertical="center" wrapText="1"/>
    </xf>
    <xf numFmtId="0" fontId="6" fillId="0" borderId="11" xfId="59" applyFont="1" applyBorder="1" applyAlignment="1">
      <alignment vertical="center" wrapText="1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/>
      <protection/>
    </xf>
    <xf numFmtId="0" fontId="5" fillId="0" borderId="53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10" fillId="0" borderId="2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168" fontId="10" fillId="0" borderId="27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 wrapText="1"/>
    </xf>
    <xf numFmtId="0" fontId="10" fillId="0" borderId="23" xfId="0" applyFont="1" applyBorder="1" applyAlignment="1">
      <alignment horizontal="center"/>
    </xf>
    <xf numFmtId="168" fontId="10" fillId="0" borderId="23" xfId="40" applyNumberFormat="1" applyFont="1" applyBorder="1" applyAlignment="1">
      <alignment horizontal="center"/>
    </xf>
    <xf numFmtId="0" fontId="10" fillId="0" borderId="5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wrapText="1"/>
    </xf>
    <xf numFmtId="0" fontId="28" fillId="0" borderId="44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168" fontId="10" fillId="0" borderId="27" xfId="40" applyNumberFormat="1" applyFont="1" applyBorder="1" applyAlignment="1">
      <alignment horizontal="center"/>
    </xf>
    <xf numFmtId="168" fontId="10" fillId="0" borderId="44" xfId="40" applyNumberFormat="1" applyFont="1" applyBorder="1" applyAlignment="1">
      <alignment horizontal="center"/>
    </xf>
    <xf numFmtId="168" fontId="10" fillId="0" borderId="29" xfId="4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10" fillId="0" borderId="27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168" fontId="10" fillId="0" borderId="10" xfId="40" applyNumberFormat="1" applyFont="1" applyBorder="1" applyAlignment="1">
      <alignment horizontal="center"/>
    </xf>
    <xf numFmtId="168" fontId="10" fillId="0" borderId="33" xfId="40" applyNumberFormat="1" applyFont="1" applyBorder="1" applyAlignment="1">
      <alignment horizontal="center"/>
    </xf>
    <xf numFmtId="168" fontId="10" fillId="0" borderId="14" xfId="40" applyNumberFormat="1" applyFont="1" applyBorder="1" applyAlignment="1">
      <alignment horizontal="center"/>
    </xf>
    <xf numFmtId="168" fontId="10" fillId="0" borderId="55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33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10" fillId="0" borderId="61" xfId="40" applyNumberFormat="1" applyFont="1" applyBorder="1" applyAlignment="1">
      <alignment horizontal="center"/>
    </xf>
    <xf numFmtId="168" fontId="10" fillId="0" borderId="62" xfId="4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58" applyFont="1" applyAlignment="1">
      <alignment horizont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wrapText="1"/>
    </xf>
    <xf numFmtId="0" fontId="10" fillId="0" borderId="5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6" fillId="0" borderId="24" xfId="58" applyFont="1" applyBorder="1" applyAlignment="1">
      <alignment horizontal="center"/>
      <protection/>
    </xf>
    <xf numFmtId="0" fontId="6" fillId="0" borderId="22" xfId="58" applyFont="1" applyBorder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bev.99" xfId="57"/>
    <cellStyle name="Normál_KONEPC99" xfId="58"/>
    <cellStyle name="Normál_KTGV99" xfId="59"/>
    <cellStyle name="Normál_mérleg" xfId="60"/>
    <cellStyle name="Normál_PHKV99" xfId="61"/>
    <cellStyle name="Normál_SIKONC99" xfId="62"/>
    <cellStyle name="Összesen" xfId="63"/>
    <cellStyle name="Currency" xfId="64"/>
    <cellStyle name="Currency [0]" xfId="65"/>
    <cellStyle name="Pénznem 2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_2016.%20(XII.2.)%20&#214;r.%20a%20k&#246;lts&#233;gvet.%20m&#243;d.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1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2:V58"/>
  <sheetViews>
    <sheetView zoomScalePageLayoutView="0" workbookViewId="0" topLeftCell="E34">
      <selection activeCell="Q58" sqref="Q58"/>
    </sheetView>
  </sheetViews>
  <sheetFormatPr defaultColWidth="9.00390625" defaultRowHeight="12.75"/>
  <cols>
    <col min="14" max="14" width="10.875" style="0" customWidth="1"/>
  </cols>
  <sheetData>
    <row r="42" spans="14:22" ht="22.5">
      <c r="N42" s="395" t="s">
        <v>370</v>
      </c>
      <c r="O42" s="395"/>
      <c r="P42" s="395"/>
      <c r="Q42" s="395"/>
      <c r="R42" s="395"/>
      <c r="S42" s="395"/>
      <c r="T42" s="395"/>
      <c r="U42" s="395"/>
      <c r="V42" s="395"/>
    </row>
    <row r="43" spans="14:21" ht="22.5">
      <c r="N43" s="395"/>
      <c r="O43" s="395"/>
      <c r="P43" s="395"/>
      <c r="Q43" s="395"/>
      <c r="R43" s="395"/>
      <c r="S43" s="395"/>
      <c r="T43" s="395"/>
      <c r="U43" s="395"/>
    </row>
    <row r="44" spans="14:22" ht="22.5">
      <c r="N44" s="395" t="s">
        <v>373</v>
      </c>
      <c r="O44" s="395"/>
      <c r="P44" s="395"/>
      <c r="Q44" s="395"/>
      <c r="R44" s="395"/>
      <c r="S44" s="395"/>
      <c r="T44" s="395"/>
      <c r="U44" s="395"/>
      <c r="V44" s="395"/>
    </row>
    <row r="45" spans="14:22" ht="22.5">
      <c r="N45" s="395" t="s">
        <v>371</v>
      </c>
      <c r="O45" s="395"/>
      <c r="P45" s="395"/>
      <c r="Q45" s="395"/>
      <c r="R45" s="395"/>
      <c r="S45" s="395"/>
      <c r="T45" s="395"/>
      <c r="U45" s="395"/>
      <c r="V45" s="395"/>
    </row>
    <row r="47" spans="17:19" ht="12.75">
      <c r="Q47" s="396"/>
      <c r="R47" s="397"/>
      <c r="S47" s="397"/>
    </row>
    <row r="48" spans="17:19" ht="12.75">
      <c r="Q48" s="397"/>
      <c r="R48" s="397"/>
      <c r="S48" s="397"/>
    </row>
    <row r="53" spans="14:16" s="142" customFormat="1" ht="15.75">
      <c r="N53" s="228" t="s">
        <v>372</v>
      </c>
      <c r="O53" s="18" t="s">
        <v>420</v>
      </c>
      <c r="P53" s="21"/>
    </row>
    <row r="55" spans="14:15" ht="12.75">
      <c r="N55" t="s">
        <v>455</v>
      </c>
      <c r="O55" s="239" t="s">
        <v>456</v>
      </c>
    </row>
    <row r="56" ht="12.75">
      <c r="O56" s="239" t="s">
        <v>457</v>
      </c>
    </row>
    <row r="57" ht="12.75">
      <c r="O57" s="239" t="s">
        <v>473</v>
      </c>
    </row>
    <row r="58" ht="12.75">
      <c r="O58" s="239" t="s">
        <v>474</v>
      </c>
    </row>
  </sheetData>
  <sheetProtection/>
  <mergeCells count="5">
    <mergeCell ref="N45:V45"/>
    <mergeCell ref="N43:U43"/>
    <mergeCell ref="N42:V42"/>
    <mergeCell ref="N44:V44"/>
    <mergeCell ref="Q47:S48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75.125" style="0" customWidth="1"/>
    <col min="2" max="2" width="13.00390625" style="0" customWidth="1"/>
    <col min="3" max="3" width="11.625" style="0" customWidth="1"/>
    <col min="4" max="4" width="11.125" style="0" customWidth="1"/>
  </cols>
  <sheetData>
    <row r="2" spans="1:2" ht="12.75">
      <c r="A2" s="411"/>
      <c r="B2" s="411"/>
    </row>
    <row r="3" ht="12.75">
      <c r="A3" t="s">
        <v>451</v>
      </c>
    </row>
    <row r="6" spans="1:2" ht="12.75">
      <c r="A6" s="399"/>
      <c r="B6" s="399"/>
    </row>
    <row r="7" spans="1:2" ht="12.75">
      <c r="A7" s="237" t="s">
        <v>342</v>
      </c>
      <c r="B7" s="237"/>
    </row>
    <row r="8" spans="1:2" ht="12.75">
      <c r="A8" s="399" t="s">
        <v>414</v>
      </c>
      <c r="B8" s="399"/>
    </row>
    <row r="9" spans="1:2" ht="12.75">
      <c r="A9" s="399" t="s">
        <v>376</v>
      </c>
      <c r="B9" s="399"/>
    </row>
    <row r="10" spans="1:2" ht="12.75">
      <c r="A10" s="249"/>
      <c r="B10" s="249"/>
    </row>
    <row r="11" spans="1:2" ht="13.5" thickBot="1">
      <c r="A11" s="249"/>
      <c r="B11" s="249"/>
    </row>
    <row r="12" spans="1:2" ht="45.75" customHeight="1" thickBot="1">
      <c r="A12" s="318" t="s">
        <v>0</v>
      </c>
      <c r="B12" s="317" t="s">
        <v>465</v>
      </c>
    </row>
    <row r="15" ht="12.75">
      <c r="A15" s="239" t="s">
        <v>416</v>
      </c>
    </row>
    <row r="17" ht="12.75">
      <c r="A17" t="s">
        <v>417</v>
      </c>
    </row>
    <row r="18" ht="12.75">
      <c r="A18" t="s">
        <v>418</v>
      </c>
    </row>
    <row r="19" spans="1:2" ht="12.75">
      <c r="A19" s="242" t="s">
        <v>419</v>
      </c>
      <c r="B19" s="316">
        <f>913000+384+8</f>
        <v>913392</v>
      </c>
    </row>
    <row r="20" spans="1:2" ht="12.75">
      <c r="A20" t="s">
        <v>464</v>
      </c>
      <c r="B20" s="315">
        <f>247000-384</f>
        <v>246616</v>
      </c>
    </row>
    <row r="21" spans="1:2" ht="12.75">
      <c r="A21" t="s">
        <v>407</v>
      </c>
      <c r="B21" s="236">
        <f>B19+B20</f>
        <v>1160008</v>
      </c>
    </row>
    <row r="23" ht="12.75">
      <c r="B23" s="236"/>
    </row>
    <row r="25" spans="1:2" ht="12.75">
      <c r="A25" s="239" t="s">
        <v>415</v>
      </c>
      <c r="B25" s="240">
        <f>B21</f>
        <v>1160008</v>
      </c>
    </row>
    <row r="27" ht="12.75">
      <c r="B27" s="236"/>
    </row>
  </sheetData>
  <sheetProtection/>
  <mergeCells count="4">
    <mergeCell ref="A6:B6"/>
    <mergeCell ref="A8:B8"/>
    <mergeCell ref="A9:B9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5.75390625" style="105" customWidth="1"/>
    <col min="2" max="2" width="74.375" style="105" customWidth="1"/>
    <col min="3" max="3" width="19.875" style="105" customWidth="1"/>
    <col min="4" max="16384" width="9.125" style="105" customWidth="1"/>
  </cols>
  <sheetData>
    <row r="1" spans="1:3" ht="15.75">
      <c r="A1" s="400"/>
      <c r="B1" s="411"/>
      <c r="C1" s="411"/>
    </row>
    <row r="2" s="106" customFormat="1" ht="15.75"/>
    <row r="3" spans="1:3" ht="15.75">
      <c r="A3" s="403" t="s">
        <v>452</v>
      </c>
      <c r="B3" s="409"/>
      <c r="C3" s="409"/>
    </row>
    <row r="4" spans="1:3" ht="15.75">
      <c r="A4" s="530"/>
      <c r="B4" s="530"/>
      <c r="C4" s="530"/>
    </row>
    <row r="5" spans="1:3" ht="15.75">
      <c r="A5" s="522" t="s">
        <v>463</v>
      </c>
      <c r="B5" s="522"/>
      <c r="C5" s="522"/>
    </row>
    <row r="6" spans="1:3" ht="15.75">
      <c r="A6" s="530" t="s">
        <v>342</v>
      </c>
      <c r="B6" s="530"/>
      <c r="C6" s="530"/>
    </row>
    <row r="7" spans="1:3" ht="15.75">
      <c r="A7" s="530" t="s">
        <v>367</v>
      </c>
      <c r="B7" s="530"/>
      <c r="C7" s="530"/>
    </row>
    <row r="8" spans="1:3" ht="15.75">
      <c r="A8" s="530" t="s">
        <v>376</v>
      </c>
      <c r="B8" s="530"/>
      <c r="C8" s="530"/>
    </row>
    <row r="9" ht="16.5" thickBot="1"/>
    <row r="10" spans="1:3" s="3" customFormat="1" ht="15.75">
      <c r="A10" s="108" t="s">
        <v>159</v>
      </c>
      <c r="B10" s="109"/>
      <c r="C10" s="110" t="s">
        <v>16</v>
      </c>
    </row>
    <row r="11" spans="1:3" s="3" customFormat="1" ht="15.75">
      <c r="A11" s="111"/>
      <c r="B11" s="112" t="s">
        <v>160</v>
      </c>
      <c r="C11" s="113" t="s">
        <v>7</v>
      </c>
    </row>
    <row r="12" spans="1:3" s="3" customFormat="1" ht="16.5" thickBot="1">
      <c r="A12" s="114" t="s">
        <v>26</v>
      </c>
      <c r="B12" s="135"/>
      <c r="C12" s="115" t="s">
        <v>434</v>
      </c>
    </row>
    <row r="13" spans="1:3" s="67" customFormat="1" ht="41.25" customHeight="1" thickBot="1">
      <c r="A13" s="118" t="s">
        <v>27</v>
      </c>
      <c r="B13" s="119" t="s">
        <v>438</v>
      </c>
      <c r="C13" s="269">
        <f>1800000-63487-2000-10980+2821554-754205-729224+397875-23560</f>
        <v>3435973</v>
      </c>
    </row>
    <row r="14" spans="1:3" s="3" customFormat="1" ht="42" customHeight="1" thickBot="1">
      <c r="A14" s="114"/>
      <c r="B14" s="116" t="s">
        <v>161</v>
      </c>
      <c r="C14" s="268">
        <f>C13</f>
        <v>3435973</v>
      </c>
    </row>
    <row r="18" ht="15.75">
      <c r="A18" s="117"/>
    </row>
    <row r="19" ht="15.75">
      <c r="A19" s="117"/>
    </row>
    <row r="107" ht="15.75">
      <c r="A107" s="117"/>
    </row>
  </sheetData>
  <sheetProtection/>
  <mergeCells count="7">
    <mergeCell ref="A8:C8"/>
    <mergeCell ref="A4:C4"/>
    <mergeCell ref="A6:C6"/>
    <mergeCell ref="A7:C7"/>
    <mergeCell ref="A1:C1"/>
    <mergeCell ref="A3:C3"/>
    <mergeCell ref="A5:C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75390625" style="7" customWidth="1"/>
    <col min="2" max="2" width="74.00390625" style="7" customWidth="1"/>
    <col min="3" max="3" width="17.625" style="270" customWidth="1"/>
    <col min="4" max="4" width="9.125" style="7" customWidth="1"/>
    <col min="5" max="5" width="12.625" style="7" bestFit="1" customWidth="1"/>
    <col min="6" max="6" width="14.25390625" style="7" bestFit="1" customWidth="1"/>
    <col min="7" max="16384" width="9.125" style="7" customWidth="1"/>
  </cols>
  <sheetData>
    <row r="1" spans="1:3" ht="15.75">
      <c r="A1" s="400"/>
      <c r="B1" s="411"/>
      <c r="C1" s="411"/>
    </row>
    <row r="2" s="106" customFormat="1" ht="15.75"/>
    <row r="3" spans="1:3" ht="15.75">
      <c r="A3" s="539" t="s">
        <v>453</v>
      </c>
      <c r="B3" s="539"/>
      <c r="C3" s="472"/>
    </row>
    <row r="4" spans="1:3" s="96" customFormat="1" ht="15.75">
      <c r="A4" s="107"/>
      <c r="B4" s="66"/>
      <c r="C4" s="66"/>
    </row>
    <row r="5" spans="1:3" s="96" customFormat="1" ht="15.75">
      <c r="A5" s="522"/>
      <c r="B5" s="399"/>
      <c r="C5" s="399"/>
    </row>
    <row r="6" spans="1:3" ht="15.75">
      <c r="A6" s="530" t="s">
        <v>342</v>
      </c>
      <c r="B6" s="530"/>
      <c r="C6" s="530"/>
    </row>
    <row r="7" spans="1:3" ht="15.75">
      <c r="A7" s="412" t="s">
        <v>368</v>
      </c>
      <c r="B7" s="412"/>
      <c r="C7" s="412"/>
    </row>
    <row r="8" spans="1:3" ht="15.75">
      <c r="A8" s="412" t="s">
        <v>162</v>
      </c>
      <c r="B8" s="412"/>
      <c r="C8" s="412"/>
    </row>
    <row r="9" spans="1:3" ht="15.75">
      <c r="A9" s="412" t="s">
        <v>376</v>
      </c>
      <c r="B9" s="412"/>
      <c r="C9" s="412"/>
    </row>
    <row r="10" ht="16.5" thickBot="1">
      <c r="C10" s="275" t="s">
        <v>440</v>
      </c>
    </row>
    <row r="11" spans="1:3" ht="15.75">
      <c r="A11" s="544" t="s">
        <v>472</v>
      </c>
      <c r="B11" s="550" t="s">
        <v>0</v>
      </c>
      <c r="C11" s="531" t="s">
        <v>8</v>
      </c>
    </row>
    <row r="12" spans="1:3" ht="15.75">
      <c r="A12" s="541"/>
      <c r="B12" s="535"/>
      <c r="C12" s="532"/>
    </row>
    <row r="13" spans="1:3" ht="20.25" customHeight="1" thickBot="1">
      <c r="A13" s="542"/>
      <c r="B13" s="536"/>
      <c r="C13" s="533"/>
    </row>
    <row r="14" spans="1:3" ht="20.25" customHeight="1">
      <c r="A14" s="549" t="s">
        <v>163</v>
      </c>
      <c r="B14" s="549"/>
      <c r="C14" s="549"/>
    </row>
    <row r="15" spans="1:3" ht="20.25" customHeight="1">
      <c r="A15" s="120" t="s">
        <v>27</v>
      </c>
      <c r="B15" s="121" t="s">
        <v>164</v>
      </c>
      <c r="C15" s="274"/>
    </row>
    <row r="16" spans="1:3" ht="20.25" customHeight="1">
      <c r="A16" s="389"/>
      <c r="B16" s="331" t="s">
        <v>165</v>
      </c>
      <c r="C16" s="335">
        <f>16098000+48+24003+67818+8001+24003+33909+397875+16002+33909</f>
        <v>16703568</v>
      </c>
    </row>
    <row r="17" spans="1:5" ht="20.25" customHeight="1">
      <c r="A17" s="389"/>
      <c r="B17" s="394" t="s">
        <v>166</v>
      </c>
      <c r="C17" s="335">
        <f>1717000+812474+683433+130245+310002</f>
        <v>3653154</v>
      </c>
      <c r="D17" s="75"/>
      <c r="E17" s="75"/>
    </row>
    <row r="18" spans="1:3" ht="20.25" customHeight="1">
      <c r="A18" s="389" t="s">
        <v>21</v>
      </c>
      <c r="B18" s="388" t="s">
        <v>167</v>
      </c>
      <c r="C18" s="335">
        <v>1495000</v>
      </c>
    </row>
    <row r="19" spans="1:3" ht="20.25" customHeight="1">
      <c r="A19" s="389" t="s">
        <v>28</v>
      </c>
      <c r="B19" s="388" t="s">
        <v>168</v>
      </c>
      <c r="C19" s="335">
        <v>515000</v>
      </c>
    </row>
    <row r="20" spans="1:3" ht="20.25" customHeight="1">
      <c r="A20" s="389" t="s">
        <v>68</v>
      </c>
      <c r="B20" s="386" t="s">
        <v>169</v>
      </c>
      <c r="C20" s="335"/>
    </row>
    <row r="21" spans="1:5" ht="36" customHeight="1">
      <c r="A21" s="389"/>
      <c r="B21" s="394" t="s">
        <v>170</v>
      </c>
      <c r="C21" s="335"/>
      <c r="D21" s="77"/>
      <c r="E21" s="77"/>
    </row>
    <row r="22" spans="1:3" ht="20.25" customHeight="1">
      <c r="A22" s="389"/>
      <c r="B22" s="331" t="s">
        <v>171</v>
      </c>
      <c r="C22" s="335"/>
    </row>
    <row r="23" spans="1:3" ht="36" customHeight="1">
      <c r="A23" s="381"/>
      <c r="B23" s="380" t="s">
        <v>172</v>
      </c>
      <c r="C23" s="379">
        <f>SUM(C16:C22)</f>
        <v>22366722</v>
      </c>
    </row>
    <row r="24" spans="1:3" ht="21" customHeight="1">
      <c r="A24" s="384" t="s">
        <v>69</v>
      </c>
      <c r="B24" s="388" t="s">
        <v>173</v>
      </c>
      <c r="C24" s="392">
        <f>5046000+18900+53400+639743+6300+18900+662061+102555+26700+224950+12600+26700+273130</f>
        <v>7111939</v>
      </c>
    </row>
    <row r="25" spans="1:3" ht="21" customHeight="1">
      <c r="A25" s="384" t="s">
        <v>74</v>
      </c>
      <c r="B25" s="388" t="s">
        <v>174</v>
      </c>
      <c r="C25" s="392">
        <f>1398000+5103+14418+172731+1701+5103+7209+21372+27690+146072+3402+7209+36872</f>
        <v>1846882</v>
      </c>
    </row>
    <row r="26" spans="1:3" ht="21" customHeight="1">
      <c r="A26" s="384" t="s">
        <v>175</v>
      </c>
      <c r="B26" s="393" t="s">
        <v>176</v>
      </c>
      <c r="C26" s="392">
        <f>9556000+48+63487+2000+625337+358202+23560</f>
        <v>10628634</v>
      </c>
    </row>
    <row r="27" spans="1:3" ht="21" customHeight="1">
      <c r="A27" s="384" t="s">
        <v>177</v>
      </c>
      <c r="B27" s="393" t="s">
        <v>178</v>
      </c>
      <c r="C27" s="392">
        <f>1361000-498000</f>
        <v>863000</v>
      </c>
    </row>
    <row r="28" spans="1:3" ht="21" customHeight="1">
      <c r="A28" s="384" t="s">
        <v>179</v>
      </c>
      <c r="B28" s="393" t="s">
        <v>180</v>
      </c>
      <c r="C28" s="392"/>
    </row>
    <row r="29" spans="1:3" ht="21" customHeight="1">
      <c r="A29" s="384"/>
      <c r="B29" s="393"/>
      <c r="C29" s="392"/>
    </row>
    <row r="30" spans="1:3" ht="15.75">
      <c r="A30" s="384"/>
      <c r="B30" s="383" t="s">
        <v>181</v>
      </c>
      <c r="C30" s="391">
        <v>288000</v>
      </c>
    </row>
    <row r="31" spans="1:3" ht="15.75">
      <c r="A31" s="384"/>
      <c r="B31" s="383" t="s">
        <v>182</v>
      </c>
      <c r="C31" s="382">
        <f>1800000-63487-2000-10980+2821554-754205-729224+397875-23560</f>
        <v>3435973</v>
      </c>
    </row>
    <row r="32" spans="1:5" ht="15.75">
      <c r="A32" s="384"/>
      <c r="B32" s="390" t="s">
        <v>439</v>
      </c>
      <c r="C32" s="387">
        <f>10980+55360</f>
        <v>66340</v>
      </c>
      <c r="E32" s="78"/>
    </row>
    <row r="33" spans="1:6" ht="33.75" customHeight="1">
      <c r="A33" s="381"/>
      <c r="B33" s="380" t="s">
        <v>183</v>
      </c>
      <c r="C33" s="379">
        <f>SUM(C24:C32)</f>
        <v>24240768</v>
      </c>
      <c r="E33" s="78"/>
      <c r="F33" s="78"/>
    </row>
    <row r="34" spans="1:6" ht="21.75" customHeight="1">
      <c r="A34" s="389"/>
      <c r="B34" s="388"/>
      <c r="C34" s="335"/>
      <c r="E34" s="78"/>
      <c r="F34" s="78"/>
    </row>
    <row r="35" spans="1:6" ht="22.5" customHeight="1">
      <c r="A35" s="389"/>
      <c r="B35" s="388"/>
      <c r="C35" s="335"/>
      <c r="E35" s="78"/>
      <c r="F35" s="78"/>
    </row>
    <row r="36" spans="1:3" ht="19.5" customHeight="1" thickBot="1">
      <c r="A36" s="537"/>
      <c r="B36" s="537"/>
      <c r="C36" s="537"/>
    </row>
    <row r="37" spans="1:3" ht="15.75">
      <c r="A37" s="540" t="s">
        <v>471</v>
      </c>
      <c r="B37" s="534" t="s">
        <v>0</v>
      </c>
      <c r="C37" s="543" t="s">
        <v>8</v>
      </c>
    </row>
    <row r="38" spans="1:3" ht="15.75">
      <c r="A38" s="541"/>
      <c r="B38" s="535"/>
      <c r="C38" s="532"/>
    </row>
    <row r="39" spans="1:3" ht="15.75" customHeight="1" thickBot="1">
      <c r="A39" s="542"/>
      <c r="B39" s="536"/>
      <c r="C39" s="533"/>
    </row>
    <row r="40" spans="1:3" ht="21" customHeight="1">
      <c r="A40" s="538" t="s">
        <v>184</v>
      </c>
      <c r="B40" s="538"/>
      <c r="C40" s="538"/>
    </row>
    <row r="41" spans="1:3" ht="21" customHeight="1">
      <c r="A41" s="384" t="s">
        <v>185</v>
      </c>
      <c r="B41" s="387" t="s">
        <v>186</v>
      </c>
      <c r="C41" s="382"/>
    </row>
    <row r="42" spans="1:3" ht="16.5" customHeight="1">
      <c r="A42" s="384" t="s">
        <v>187</v>
      </c>
      <c r="B42" s="387" t="s">
        <v>188</v>
      </c>
      <c r="C42" s="382">
        <v>1800000</v>
      </c>
    </row>
    <row r="43" spans="1:3" ht="15" customHeight="1">
      <c r="A43" s="384" t="s">
        <v>189</v>
      </c>
      <c r="B43" s="386" t="s">
        <v>190</v>
      </c>
      <c r="C43" s="382"/>
    </row>
    <row r="44" spans="1:3" ht="30" customHeight="1">
      <c r="A44" s="384"/>
      <c r="B44" s="385" t="s">
        <v>191</v>
      </c>
      <c r="C44" s="382"/>
    </row>
    <row r="45" spans="1:3" ht="15.75" customHeight="1">
      <c r="A45" s="384"/>
      <c r="B45" s="332" t="s">
        <v>192</v>
      </c>
      <c r="C45" s="382"/>
    </row>
    <row r="46" spans="1:5" ht="32.25" customHeight="1">
      <c r="A46" s="381"/>
      <c r="B46" s="380" t="s">
        <v>193</v>
      </c>
      <c r="C46" s="379">
        <f>SUM(C41:C45)</f>
        <v>1800000</v>
      </c>
      <c r="E46" s="78"/>
    </row>
    <row r="47" spans="1:3" ht="21" customHeight="1">
      <c r="A47" s="384" t="s">
        <v>194</v>
      </c>
      <c r="B47" s="387" t="s">
        <v>195</v>
      </c>
      <c r="C47" s="382">
        <f>1016000+571500</f>
        <v>1587500</v>
      </c>
    </row>
    <row r="48" spans="1:3" ht="21" customHeight="1">
      <c r="A48" s="384" t="s">
        <v>196</v>
      </c>
      <c r="B48" s="387" t="s">
        <v>197</v>
      </c>
      <c r="C48" s="382">
        <f>1160000+8</f>
        <v>1160008</v>
      </c>
    </row>
    <row r="49" spans="1:3" ht="18.75" customHeight="1">
      <c r="A49" s="384" t="s">
        <v>198</v>
      </c>
      <c r="B49" s="386" t="s">
        <v>199</v>
      </c>
      <c r="C49" s="382"/>
    </row>
    <row r="50" spans="1:3" ht="33" customHeight="1">
      <c r="A50" s="384"/>
      <c r="B50" s="385" t="s">
        <v>200</v>
      </c>
      <c r="C50" s="382"/>
    </row>
    <row r="51" spans="1:3" ht="18" customHeight="1">
      <c r="A51" s="384"/>
      <c r="B51" s="383" t="s">
        <v>201</v>
      </c>
      <c r="C51" s="382"/>
    </row>
    <row r="52" spans="1:3" ht="18" customHeight="1">
      <c r="A52" s="384"/>
      <c r="B52" s="383" t="s">
        <v>182</v>
      </c>
      <c r="C52" s="382"/>
    </row>
    <row r="53" spans="1:6" s="8" customFormat="1" ht="27" customHeight="1" thickBot="1">
      <c r="A53" s="381"/>
      <c r="B53" s="380" t="s">
        <v>202</v>
      </c>
      <c r="C53" s="379">
        <f>SUM(C47:C52)</f>
        <v>2747508</v>
      </c>
      <c r="F53" s="123"/>
    </row>
    <row r="54" spans="1:3" s="8" customFormat="1" ht="27" customHeight="1" thickBot="1">
      <c r="A54" s="378"/>
      <c r="B54" s="377" t="s">
        <v>203</v>
      </c>
      <c r="C54" s="376">
        <f>C23+C46</f>
        <v>24166722</v>
      </c>
    </row>
    <row r="55" spans="1:6" s="8" customFormat="1" ht="27" customHeight="1" thickBot="1">
      <c r="A55" s="378"/>
      <c r="B55" s="377" t="s">
        <v>204</v>
      </c>
      <c r="C55" s="376">
        <f>C33+C53</f>
        <v>26988276</v>
      </c>
      <c r="F55" s="123"/>
    </row>
    <row r="56" spans="1:3" s="8" customFormat="1" ht="15.75">
      <c r="A56" s="124"/>
      <c r="B56" s="125"/>
      <c r="C56" s="273"/>
    </row>
    <row r="57" spans="1:3" s="126" customFormat="1" ht="16.5" thickBot="1">
      <c r="A57" s="125"/>
      <c r="B57" s="133"/>
      <c r="C57" s="271"/>
    </row>
    <row r="58" spans="1:3" s="126" customFormat="1" ht="19.5" customHeight="1">
      <c r="A58" s="544" t="s">
        <v>471</v>
      </c>
      <c r="B58" s="545" t="s">
        <v>0</v>
      </c>
      <c r="C58" s="531" t="s">
        <v>8</v>
      </c>
    </row>
    <row r="59" spans="1:3" s="126" customFormat="1" ht="15.75">
      <c r="A59" s="541"/>
      <c r="B59" s="546"/>
      <c r="C59" s="532"/>
    </row>
    <row r="60" spans="1:3" s="126" customFormat="1" ht="12" customHeight="1" thickBot="1">
      <c r="A60" s="542"/>
      <c r="B60" s="547"/>
      <c r="C60" s="533"/>
    </row>
    <row r="61" spans="1:3" s="126" customFormat="1" ht="15.75">
      <c r="A61" s="125"/>
      <c r="B61" s="133"/>
      <c r="C61" s="271"/>
    </row>
    <row r="62" spans="1:3" ht="15" customHeight="1">
      <c r="A62" s="548" t="s">
        <v>205</v>
      </c>
      <c r="B62" s="548"/>
      <c r="C62" s="548"/>
    </row>
    <row r="63" spans="1:3" ht="15" customHeight="1">
      <c r="A63" s="127"/>
      <c r="B63" s="127"/>
      <c r="C63" s="127"/>
    </row>
    <row r="64" spans="1:3" ht="20.25" customHeight="1">
      <c r="A64" s="122" t="s">
        <v>206</v>
      </c>
      <c r="B64" s="128" t="s">
        <v>207</v>
      </c>
      <c r="C64" s="375">
        <f>913446+2821554</f>
        <v>3735000</v>
      </c>
    </row>
    <row r="65" spans="1:3" ht="21" customHeight="1">
      <c r="A65" s="122"/>
      <c r="B65" s="231" t="s">
        <v>208</v>
      </c>
      <c r="C65" s="374">
        <f>SUM(C64:C64)</f>
        <v>3735000</v>
      </c>
    </row>
    <row r="66" spans="1:3" ht="15.75">
      <c r="A66" s="120" t="s">
        <v>209</v>
      </c>
      <c r="B66" s="128" t="s">
        <v>399</v>
      </c>
      <c r="C66" s="375">
        <v>913446</v>
      </c>
    </row>
    <row r="67" spans="1:3" s="129" customFormat="1" ht="27" customHeight="1" thickBot="1">
      <c r="A67" s="122"/>
      <c r="B67" s="231" t="s">
        <v>211</v>
      </c>
      <c r="C67" s="374">
        <f>SUM(C66:C66)</f>
        <v>913446</v>
      </c>
    </row>
    <row r="68" spans="1:5" s="129" customFormat="1" ht="27" customHeight="1" thickBot="1">
      <c r="A68" s="130"/>
      <c r="B68" s="131" t="s">
        <v>212</v>
      </c>
      <c r="C68" s="373">
        <f>C54+C65</f>
        <v>27901722</v>
      </c>
      <c r="E68" s="132"/>
    </row>
    <row r="69" spans="1:5" ht="27" customHeight="1" thickBot="1">
      <c r="A69" s="130"/>
      <c r="B69" s="131" t="s">
        <v>213</v>
      </c>
      <c r="C69" s="373">
        <f>C55+C67</f>
        <v>27901722</v>
      </c>
      <c r="E69" s="132"/>
    </row>
  </sheetData>
  <sheetProtection/>
  <mergeCells count="20">
    <mergeCell ref="A58:A60"/>
    <mergeCell ref="C58:C60"/>
    <mergeCell ref="B58:B60"/>
    <mergeCell ref="A62:C62"/>
    <mergeCell ref="A7:C7"/>
    <mergeCell ref="A8:C8"/>
    <mergeCell ref="A9:C9"/>
    <mergeCell ref="A14:C14"/>
    <mergeCell ref="B11:B13"/>
    <mergeCell ref="A11:A13"/>
    <mergeCell ref="C11:C13"/>
    <mergeCell ref="B37:B39"/>
    <mergeCell ref="A36:C36"/>
    <mergeCell ref="A40:C40"/>
    <mergeCell ref="A3:C3"/>
    <mergeCell ref="A1:C1"/>
    <mergeCell ref="A5:C5"/>
    <mergeCell ref="A6:C6"/>
    <mergeCell ref="A37:A39"/>
    <mergeCell ref="C37:C3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.125" style="53" customWidth="1"/>
    <col min="2" max="2" width="43.625" style="53" customWidth="1"/>
    <col min="3" max="15" width="15.375" style="246" customWidth="1"/>
    <col min="16" max="16" width="12.625" style="53" bestFit="1" customWidth="1"/>
    <col min="17" max="16384" width="9.125" style="53" customWidth="1"/>
  </cols>
  <sheetData>
    <row r="1" spans="3:15" s="227" customFormat="1" ht="15.75"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15" s="79" customFormat="1" ht="15.75">
      <c r="A2" s="441"/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</row>
    <row r="3" spans="1:15" ht="15.75">
      <c r="A3" s="442" t="s">
        <v>454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</row>
    <row r="4" spans="2:15" ht="15.75"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2:15" ht="15.75"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</row>
    <row r="6" spans="2:15" ht="15.75">
      <c r="B6" s="401" t="s">
        <v>342</v>
      </c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</row>
    <row r="7" spans="2:15" ht="15.75">
      <c r="B7" s="401" t="s">
        <v>230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</row>
    <row r="8" spans="2:15" ht="15.75">
      <c r="B8" s="401" t="s">
        <v>376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</row>
    <row r="9" spans="3:15" ht="16.5" thickBot="1">
      <c r="C9" s="245"/>
      <c r="D9" s="245"/>
      <c r="E9" s="245"/>
      <c r="F9" s="306"/>
      <c r="G9" s="245"/>
      <c r="H9" s="245"/>
      <c r="I9" s="245"/>
      <c r="J9" s="245"/>
      <c r="O9" s="305" t="s">
        <v>429</v>
      </c>
    </row>
    <row r="10" spans="1:15" ht="15.75">
      <c r="A10" s="149" t="s">
        <v>25</v>
      </c>
      <c r="B10" s="150"/>
      <c r="C10" s="304"/>
      <c r="D10" s="303"/>
      <c r="E10" s="302"/>
      <c r="F10" s="301"/>
      <c r="G10" s="301"/>
      <c r="H10" s="301"/>
      <c r="I10" s="301"/>
      <c r="J10" s="301"/>
      <c r="K10" s="300"/>
      <c r="L10" s="300"/>
      <c r="M10" s="300"/>
      <c r="N10" s="299"/>
      <c r="O10" s="298"/>
    </row>
    <row r="11" spans="1:15" ht="15.75">
      <c r="A11" s="151"/>
      <c r="B11" s="152" t="s">
        <v>0</v>
      </c>
      <c r="C11" s="297" t="s">
        <v>231</v>
      </c>
      <c r="D11" s="296" t="s">
        <v>232</v>
      </c>
      <c r="E11" s="294" t="s">
        <v>233</v>
      </c>
      <c r="F11" s="295" t="s">
        <v>234</v>
      </c>
      <c r="G11" s="295" t="s">
        <v>235</v>
      </c>
      <c r="H11" s="295" t="s">
        <v>236</v>
      </c>
      <c r="I11" s="295" t="s">
        <v>237</v>
      </c>
      <c r="J11" s="295" t="s">
        <v>238</v>
      </c>
      <c r="K11" s="295" t="s">
        <v>239</v>
      </c>
      <c r="L11" s="295" t="s">
        <v>240</v>
      </c>
      <c r="M11" s="295" t="s">
        <v>241</v>
      </c>
      <c r="N11" s="294" t="s">
        <v>242</v>
      </c>
      <c r="O11" s="272" t="s">
        <v>227</v>
      </c>
    </row>
    <row r="12" spans="1:15" ht="16.5" thickBot="1">
      <c r="A12" s="153" t="s">
        <v>26</v>
      </c>
      <c r="B12" s="154"/>
      <c r="C12" s="290"/>
      <c r="D12" s="293"/>
      <c r="E12" s="291"/>
      <c r="F12" s="292"/>
      <c r="G12" s="292"/>
      <c r="H12" s="292"/>
      <c r="I12" s="292"/>
      <c r="J12" s="292"/>
      <c r="K12" s="292"/>
      <c r="L12" s="292"/>
      <c r="M12" s="292"/>
      <c r="N12" s="291"/>
      <c r="O12" s="290"/>
    </row>
    <row r="13" spans="1:15" ht="28.5" customHeight="1">
      <c r="A13" s="155"/>
      <c r="B13" s="156" t="s">
        <v>243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1"/>
    </row>
    <row r="14" spans="1:15" ht="28.5" customHeight="1">
      <c r="A14" s="155" t="s">
        <v>27</v>
      </c>
      <c r="B14" s="156" t="s">
        <v>244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1"/>
    </row>
    <row r="15" spans="1:15" ht="28.5" customHeight="1">
      <c r="A15" s="155"/>
      <c r="B15" s="156" t="s">
        <v>245</v>
      </c>
      <c r="C15" s="282">
        <v>852000</v>
      </c>
      <c r="D15" s="282">
        <f>1386000+48</f>
        <v>1386048</v>
      </c>
      <c r="E15" s="282">
        <v>1386000</v>
      </c>
      <c r="F15" s="282">
        <f>1386000+24003+67818</f>
        <v>1477821</v>
      </c>
      <c r="G15" s="282">
        <f>1386000+8001</f>
        <v>1394001</v>
      </c>
      <c r="H15" s="282">
        <f>1386000+8001</f>
        <v>1394001</v>
      </c>
      <c r="I15" s="282">
        <f>1386000+8001</f>
        <v>1394001</v>
      </c>
      <c r="J15" s="282">
        <f>1386000+8001+33909+397875</f>
        <v>1825785</v>
      </c>
      <c r="K15" s="282">
        <f>1386000+8001</f>
        <v>1394001</v>
      </c>
      <c r="L15" s="282">
        <f>1386000+8001+33909</f>
        <v>1427910</v>
      </c>
      <c r="M15" s="282">
        <v>1386000</v>
      </c>
      <c r="N15" s="282">
        <v>1386000</v>
      </c>
      <c r="O15" s="281">
        <f>SUM(C15:N15)</f>
        <v>16703568</v>
      </c>
    </row>
    <row r="16" spans="1:15" ht="28.5" customHeight="1">
      <c r="A16" s="155"/>
      <c r="B16" s="156" t="s">
        <v>246</v>
      </c>
      <c r="C16" s="282">
        <f>2000+39000</f>
        <v>41000</v>
      </c>
      <c r="D16" s="282"/>
      <c r="E16" s="282"/>
      <c r="F16" s="282"/>
      <c r="G16" s="282">
        <v>632792</v>
      </c>
      <c r="H16" s="282">
        <f>140000+179682</f>
        <v>319682</v>
      </c>
      <c r="I16" s="282"/>
      <c r="J16" s="282">
        <f>38000+503751+70485</f>
        <v>612236</v>
      </c>
      <c r="K16" s="282">
        <f>725000+179682+59760</f>
        <v>964442</v>
      </c>
      <c r="L16" s="282">
        <v>130321</v>
      </c>
      <c r="M16" s="282">
        <f>38000+179681</f>
        <v>217681</v>
      </c>
      <c r="N16" s="282">
        <v>735000</v>
      </c>
      <c r="O16" s="281">
        <f>SUM(C16:N16)</f>
        <v>3653154</v>
      </c>
    </row>
    <row r="17" spans="1:15" ht="28.5" customHeight="1">
      <c r="A17" s="155" t="s">
        <v>21</v>
      </c>
      <c r="B17" s="156" t="s">
        <v>247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1">
        <f>SUM(C17:N17)</f>
        <v>0</v>
      </c>
    </row>
    <row r="18" spans="1:15" ht="15.75">
      <c r="A18" s="155" t="s">
        <v>28</v>
      </c>
      <c r="B18" s="156" t="s">
        <v>248</v>
      </c>
      <c r="C18" s="282">
        <v>23000</v>
      </c>
      <c r="D18" s="282">
        <v>83000</v>
      </c>
      <c r="E18" s="282">
        <v>415000</v>
      </c>
      <c r="F18" s="282">
        <v>69000</v>
      </c>
      <c r="G18" s="282">
        <v>64000</v>
      </c>
      <c r="H18" s="282">
        <v>24000</v>
      </c>
      <c r="I18" s="282">
        <v>9000</v>
      </c>
      <c r="J18" s="282">
        <v>120000</v>
      </c>
      <c r="K18" s="282">
        <v>410000</v>
      </c>
      <c r="L18" s="282">
        <v>22000</v>
      </c>
      <c r="M18" s="282">
        <v>184000</v>
      </c>
      <c r="N18" s="282">
        <v>72000</v>
      </c>
      <c r="O18" s="281">
        <f>SUM(C18:N18)</f>
        <v>1495000</v>
      </c>
    </row>
    <row r="19" spans="1:17" ht="15.75">
      <c r="A19" s="155" t="s">
        <v>68</v>
      </c>
      <c r="B19" s="156" t="s">
        <v>249</v>
      </c>
      <c r="C19" s="282">
        <v>43000</v>
      </c>
      <c r="D19" s="282">
        <v>43000</v>
      </c>
      <c r="E19" s="282">
        <v>43000</v>
      </c>
      <c r="F19" s="282">
        <v>43000</v>
      </c>
      <c r="G19" s="282">
        <v>43000</v>
      </c>
      <c r="H19" s="282">
        <v>43000</v>
      </c>
      <c r="I19" s="282">
        <v>43000</v>
      </c>
      <c r="J19" s="282">
        <v>43000</v>
      </c>
      <c r="K19" s="282">
        <v>42000</v>
      </c>
      <c r="L19" s="282">
        <v>43000</v>
      </c>
      <c r="M19" s="282">
        <v>43000</v>
      </c>
      <c r="N19" s="282">
        <v>43000</v>
      </c>
      <c r="O19" s="281">
        <f>SUM(C19:N19)</f>
        <v>515000</v>
      </c>
      <c r="P19" s="167"/>
      <c r="Q19" s="167"/>
    </row>
    <row r="20" spans="1:15" ht="15.75">
      <c r="A20" s="155" t="s">
        <v>69</v>
      </c>
      <c r="B20" s="157" t="s">
        <v>250</v>
      </c>
      <c r="C20" s="289">
        <v>1800000</v>
      </c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1">
        <f>SUM(C20:N20)</f>
        <v>1800000</v>
      </c>
    </row>
    <row r="21" spans="1:15" ht="15.75">
      <c r="A21" s="155" t="s">
        <v>74</v>
      </c>
      <c r="B21" s="157" t="s">
        <v>169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7"/>
      <c r="O21" s="281">
        <f>SUM(C21:N21)</f>
        <v>0</v>
      </c>
    </row>
    <row r="22" spans="1:15" ht="31.5">
      <c r="A22" s="155"/>
      <c r="B22" s="156" t="s">
        <v>251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281">
        <f>SUM(C22:N22)</f>
        <v>0</v>
      </c>
    </row>
    <row r="23" spans="1:15" ht="17.25" customHeight="1">
      <c r="A23" s="155"/>
      <c r="B23" s="156" t="s">
        <v>252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6"/>
      <c r="O23" s="281">
        <f>SUM(C23:N23)</f>
        <v>0</v>
      </c>
    </row>
    <row r="24" spans="1:15" ht="15.75">
      <c r="A24" s="155" t="s">
        <v>175</v>
      </c>
      <c r="B24" s="157" t="s">
        <v>253</v>
      </c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6"/>
      <c r="O24" s="281">
        <f>SUM(C24:N24)</f>
        <v>0</v>
      </c>
    </row>
    <row r="25" spans="1:15" ht="47.25">
      <c r="A25" s="155"/>
      <c r="B25" s="166" t="s">
        <v>254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6"/>
      <c r="O25" s="281">
        <f>SUM(C25:N25)</f>
        <v>0</v>
      </c>
    </row>
    <row r="26" spans="1:15" ht="15.75">
      <c r="A26" s="155"/>
      <c r="B26" s="156" t="s">
        <v>255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6"/>
      <c r="O26" s="281">
        <f>SUM(C26:N26)</f>
        <v>0</v>
      </c>
    </row>
    <row r="27" spans="1:15" ht="15.75">
      <c r="A27" s="155" t="s">
        <v>177</v>
      </c>
      <c r="B27" s="157" t="s">
        <v>256</v>
      </c>
      <c r="C27" s="285">
        <v>913446</v>
      </c>
      <c r="D27" s="285"/>
      <c r="E27" s="285"/>
      <c r="F27" s="285"/>
      <c r="G27" s="285">
        <v>2821554</v>
      </c>
      <c r="H27" s="285"/>
      <c r="I27" s="285"/>
      <c r="J27" s="285"/>
      <c r="K27" s="285"/>
      <c r="L27" s="285"/>
      <c r="M27" s="285"/>
      <c r="N27" s="286"/>
      <c r="O27" s="281">
        <f>SUM(C27:N27)</f>
        <v>3735000</v>
      </c>
    </row>
    <row r="28" spans="1:15" ht="16.5" thickBot="1">
      <c r="A28" s="158" t="s">
        <v>179</v>
      </c>
      <c r="B28" s="159" t="s">
        <v>257</v>
      </c>
      <c r="C28" s="285"/>
      <c r="D28" s="285">
        <f>C48</f>
        <v>1268952</v>
      </c>
      <c r="E28" s="285">
        <f>D48</f>
        <v>1369000</v>
      </c>
      <c r="F28" s="285">
        <f>E48</f>
        <v>1088000</v>
      </c>
      <c r="G28" s="285">
        <f>F48</f>
        <v>1172000</v>
      </c>
      <c r="H28" s="285">
        <f>G48</f>
        <v>1736638</v>
      </c>
      <c r="I28" s="285">
        <f>H48</f>
        <v>288670</v>
      </c>
      <c r="J28" s="285">
        <f>I48</f>
        <v>66759</v>
      </c>
      <c r="K28" s="285">
        <f>J48</f>
        <v>94226</v>
      </c>
      <c r="L28" s="285">
        <f>K48</f>
        <v>506703</v>
      </c>
      <c r="M28" s="285">
        <f>L48</f>
        <v>427016</v>
      </c>
      <c r="N28" s="285">
        <f>M48</f>
        <v>400912</v>
      </c>
      <c r="O28" s="281"/>
    </row>
    <row r="29" spans="1:16" s="18" customFormat="1" ht="27.75" customHeight="1" thickBot="1">
      <c r="A29" s="160"/>
      <c r="B29" s="160" t="s">
        <v>258</v>
      </c>
      <c r="C29" s="280">
        <f>SUM(C15:C28)</f>
        <v>3672446</v>
      </c>
      <c r="D29" s="280">
        <f>SUM(D15:D28)</f>
        <v>2781000</v>
      </c>
      <c r="E29" s="280">
        <f>SUM(E15:E28)</f>
        <v>3213000</v>
      </c>
      <c r="F29" s="280">
        <f>SUM(F15:F28)</f>
        <v>2677821</v>
      </c>
      <c r="G29" s="280">
        <f>SUM(G15:G28)</f>
        <v>6127347</v>
      </c>
      <c r="H29" s="280">
        <f>SUM(H15:H28)</f>
        <v>3517321</v>
      </c>
      <c r="I29" s="280">
        <f>SUM(I15:I28)</f>
        <v>1734671</v>
      </c>
      <c r="J29" s="280">
        <f>SUM(J15:J28)</f>
        <v>2667780</v>
      </c>
      <c r="K29" s="280">
        <f>SUM(K15:K28)</f>
        <v>2904669</v>
      </c>
      <c r="L29" s="280">
        <f>SUM(L15:L28)</f>
        <v>2129934</v>
      </c>
      <c r="M29" s="280">
        <f>SUM(M15:M28)</f>
        <v>2257697</v>
      </c>
      <c r="N29" s="280">
        <f>SUM(N15:N28)</f>
        <v>2636912</v>
      </c>
      <c r="O29" s="279">
        <f>SUM(O14:O28)</f>
        <v>27901722</v>
      </c>
      <c r="P29" s="85"/>
    </row>
    <row r="30" spans="1:15" ht="15.75">
      <c r="A30" s="161"/>
      <c r="B30" s="162" t="s">
        <v>259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4"/>
    </row>
    <row r="31" spans="1:16" ht="15.75">
      <c r="A31" s="155" t="s">
        <v>185</v>
      </c>
      <c r="B31" s="157" t="s">
        <v>127</v>
      </c>
      <c r="C31" s="282">
        <v>421000</v>
      </c>
      <c r="D31" s="282">
        <v>421000</v>
      </c>
      <c r="E31" s="282">
        <v>421000</v>
      </c>
      <c r="F31" s="282">
        <f>421000+18900+53400</f>
        <v>493300</v>
      </c>
      <c r="G31" s="282">
        <f>421000+498261+6300</f>
        <v>925561</v>
      </c>
      <c r="H31" s="282">
        <f>421000+141482+6300</f>
        <v>568782</v>
      </c>
      <c r="I31" s="282">
        <f>421000+6300+220687</f>
        <v>647987</v>
      </c>
      <c r="J31" s="282">
        <f>421000+6300+8900+220687+55500</f>
        <v>712387</v>
      </c>
      <c r="K31" s="282">
        <f>421000+8900+224950+220687+47055+6300</f>
        <v>928892</v>
      </c>
      <c r="L31" s="282">
        <f>421000+8900+6300+8900+114820</f>
        <v>559920</v>
      </c>
      <c r="M31" s="282">
        <f>415000+8900+158310</f>
        <v>582210</v>
      </c>
      <c r="N31" s="282">
        <f>421000+8900</f>
        <v>429900</v>
      </c>
      <c r="O31" s="281">
        <f>SUM(C31:N31)</f>
        <v>7111939</v>
      </c>
      <c r="P31" s="167"/>
    </row>
    <row r="32" spans="1:15" ht="31.5">
      <c r="A32" s="155" t="s">
        <v>187</v>
      </c>
      <c r="B32" s="166" t="s">
        <v>260</v>
      </c>
      <c r="C32" s="282">
        <v>117000</v>
      </c>
      <c r="D32" s="282">
        <v>116000</v>
      </c>
      <c r="E32" s="282">
        <v>116000</v>
      </c>
      <c r="F32" s="282">
        <f>116000+5103+14418</f>
        <v>135521</v>
      </c>
      <c r="G32" s="282">
        <f>116000+134531+1701</f>
        <v>252232</v>
      </c>
      <c r="H32" s="282">
        <f>116000+38200+1701</f>
        <v>155901</v>
      </c>
      <c r="I32" s="282">
        <f>116000+1701+7124</f>
        <v>124825</v>
      </c>
      <c r="J32" s="282">
        <f>116000+1701+2403+14985+7124</f>
        <v>142213</v>
      </c>
      <c r="K32" s="282">
        <f>116000+2403+146072+12705+7124</f>
        <v>284304</v>
      </c>
      <c r="L32" s="282">
        <f>2403+116000+1701+15501+2403</f>
        <v>138008</v>
      </c>
      <c r="M32" s="282">
        <f>121000+1701+2403+21371</f>
        <v>146475</v>
      </c>
      <c r="N32" s="282">
        <f>116000+2403</f>
        <v>118403</v>
      </c>
      <c r="O32" s="281">
        <f>SUM(C32:N32)</f>
        <v>1846882</v>
      </c>
    </row>
    <row r="33" spans="1:17" ht="15.75">
      <c r="A33" s="155" t="s">
        <v>189</v>
      </c>
      <c r="B33" s="157" t="s">
        <v>129</v>
      </c>
      <c r="C33" s="282">
        <f>796000+48</f>
        <v>796048</v>
      </c>
      <c r="D33" s="282">
        <v>750000</v>
      </c>
      <c r="E33" s="282">
        <v>800000</v>
      </c>
      <c r="F33" s="282">
        <v>794000</v>
      </c>
      <c r="G33" s="282">
        <f>760000+63487+2000</f>
        <v>825487</v>
      </c>
      <c r="H33" s="282">
        <f>654000</f>
        <v>654000</v>
      </c>
      <c r="I33" s="282">
        <f>817000+65000</f>
        <v>882000</v>
      </c>
      <c r="J33" s="282">
        <f>796000+127337+358202</f>
        <v>1281539</v>
      </c>
      <c r="K33" s="282">
        <f>840000+498000-209330</f>
        <v>1128670</v>
      </c>
      <c r="L33" s="282">
        <f>790000+144330+23560</f>
        <v>957890</v>
      </c>
      <c r="M33" s="282">
        <f>934000</f>
        <v>934000</v>
      </c>
      <c r="N33" s="282">
        <f>825000</f>
        <v>825000</v>
      </c>
      <c r="O33" s="281">
        <f>SUM(C33:N33)</f>
        <v>10628634</v>
      </c>
      <c r="Q33" s="233"/>
    </row>
    <row r="34" spans="1:15" ht="15.75">
      <c r="A34" s="155" t="s">
        <v>194</v>
      </c>
      <c r="B34" s="157" t="s">
        <v>130</v>
      </c>
      <c r="C34" s="282">
        <v>115000</v>
      </c>
      <c r="D34" s="282">
        <v>115000</v>
      </c>
      <c r="E34" s="282">
        <v>110000</v>
      </c>
      <c r="F34" s="282">
        <v>62000</v>
      </c>
      <c r="G34" s="282">
        <v>13100</v>
      </c>
      <c r="H34" s="282">
        <v>13100</v>
      </c>
      <c r="I34" s="282">
        <v>13100</v>
      </c>
      <c r="J34" s="282">
        <v>63100</v>
      </c>
      <c r="K34" s="282">
        <v>13100</v>
      </c>
      <c r="L34" s="282">
        <v>13100</v>
      </c>
      <c r="M34" s="282">
        <v>63100</v>
      </c>
      <c r="N34" s="282">
        <v>269300</v>
      </c>
      <c r="O34" s="281">
        <f>SUM(C34:N34)</f>
        <v>863000</v>
      </c>
    </row>
    <row r="35" spans="1:15" ht="15.75">
      <c r="A35" s="155" t="s">
        <v>196</v>
      </c>
      <c r="B35" s="157" t="s">
        <v>261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1"/>
    </row>
    <row r="36" spans="1:15" ht="15.75">
      <c r="A36" s="155"/>
      <c r="B36" s="283" t="s">
        <v>442</v>
      </c>
      <c r="C36" s="282"/>
      <c r="D36" s="282"/>
      <c r="E36" s="282"/>
      <c r="F36" s="282"/>
      <c r="G36" s="282">
        <v>10980</v>
      </c>
      <c r="H36" s="282">
        <v>55360</v>
      </c>
      <c r="I36" s="282"/>
      <c r="J36" s="282"/>
      <c r="K36" s="282"/>
      <c r="L36" s="282"/>
      <c r="M36" s="282"/>
      <c r="N36" s="282"/>
      <c r="O36" s="281">
        <f>SUM(C36:N36)</f>
        <v>66340</v>
      </c>
    </row>
    <row r="37" spans="1:16" ht="15.75">
      <c r="A37" s="155"/>
      <c r="B37" s="157" t="s">
        <v>263</v>
      </c>
      <c r="C37" s="282">
        <v>41000</v>
      </c>
      <c r="D37" s="282">
        <f>10000</f>
        <v>10000</v>
      </c>
      <c r="E37" s="282">
        <f>43000</f>
        <v>43000</v>
      </c>
      <c r="F37" s="282">
        <f>21000</f>
        <v>21000</v>
      </c>
      <c r="G37" s="282">
        <v>46000</v>
      </c>
      <c r="H37" s="282">
        <v>50000</v>
      </c>
      <c r="I37" s="282"/>
      <c r="J37" s="282"/>
      <c r="K37" s="282">
        <f>43000</f>
        <v>43000</v>
      </c>
      <c r="L37" s="282">
        <v>34000</v>
      </c>
      <c r="M37" s="282"/>
      <c r="N37" s="282"/>
      <c r="O37" s="281">
        <f>SUM(C37:N37)</f>
        <v>288000</v>
      </c>
      <c r="P37" s="167"/>
    </row>
    <row r="38" spans="1:15" ht="15.75">
      <c r="A38" s="155" t="s">
        <v>198</v>
      </c>
      <c r="B38" s="157" t="s">
        <v>133</v>
      </c>
      <c r="C38" s="282"/>
      <c r="D38" s="282"/>
      <c r="E38" s="282">
        <v>635000</v>
      </c>
      <c r="F38" s="282"/>
      <c r="G38" s="282">
        <v>250000</v>
      </c>
      <c r="H38" s="282">
        <v>571500</v>
      </c>
      <c r="I38" s="282"/>
      <c r="J38" s="282"/>
      <c r="K38" s="282"/>
      <c r="L38" s="282"/>
      <c r="M38" s="282">
        <v>131000</v>
      </c>
      <c r="N38" s="282"/>
      <c r="O38" s="281">
        <f>SUM(C38:N38)</f>
        <v>1587500</v>
      </c>
    </row>
    <row r="39" spans="1:15" ht="15.75">
      <c r="A39" s="155" t="s">
        <v>206</v>
      </c>
      <c r="B39" s="157" t="s">
        <v>45</v>
      </c>
      <c r="C39" s="282"/>
      <c r="D39" s="282"/>
      <c r="E39" s="282"/>
      <c r="F39" s="282"/>
      <c r="G39" s="282"/>
      <c r="H39" s="282">
        <f>1160000+8</f>
        <v>1160008</v>
      </c>
      <c r="I39" s="282"/>
      <c r="J39" s="282"/>
      <c r="K39" s="282"/>
      <c r="L39" s="282"/>
      <c r="M39" s="282"/>
      <c r="N39" s="282"/>
      <c r="O39" s="281">
        <f>SUM(C39:N39)</f>
        <v>1160008</v>
      </c>
    </row>
    <row r="40" spans="1:15" ht="20.25" customHeight="1">
      <c r="A40" s="155" t="s">
        <v>209</v>
      </c>
      <c r="B40" s="157" t="s">
        <v>199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1">
        <f>SUM(C40:N40)</f>
        <v>0</v>
      </c>
    </row>
    <row r="41" spans="1:15" ht="20.25" customHeight="1">
      <c r="A41" s="155"/>
      <c r="B41" s="157" t="s">
        <v>262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1">
        <f>SUM(C41:N41)</f>
        <v>0</v>
      </c>
    </row>
    <row r="42" spans="1:15" ht="15.75">
      <c r="A42" s="155"/>
      <c r="B42" s="157" t="s">
        <v>263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1">
        <f>SUM(C42:N42)</f>
        <v>0</v>
      </c>
    </row>
    <row r="43" spans="1:15" ht="15.75">
      <c r="A43" s="155" t="s">
        <v>210</v>
      </c>
      <c r="B43" s="157" t="s">
        <v>126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1">
        <f>SUM(C43:N43)</f>
        <v>0</v>
      </c>
    </row>
    <row r="44" spans="1:15" ht="15.75">
      <c r="A44" s="155"/>
      <c r="B44" s="157" t="s">
        <v>400</v>
      </c>
      <c r="C44" s="282">
        <v>913446</v>
      </c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1">
        <f>SUM(C44:N44)</f>
        <v>913446</v>
      </c>
    </row>
    <row r="45" spans="1:15" ht="15.75">
      <c r="A45" s="155"/>
      <c r="B45" s="157" t="s">
        <v>264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1">
        <f>SUM(C45:N45)</f>
        <v>0</v>
      </c>
    </row>
    <row r="46" spans="1:16" ht="16.5" thickBot="1">
      <c r="A46" s="155" t="s">
        <v>265</v>
      </c>
      <c r="B46" s="157" t="s">
        <v>441</v>
      </c>
      <c r="C46" s="282"/>
      <c r="D46" s="282"/>
      <c r="E46" s="282"/>
      <c r="F46" s="282"/>
      <c r="G46" s="282">
        <f>2821554-754205</f>
        <v>2067349</v>
      </c>
      <c r="H46" s="282"/>
      <c r="I46" s="282"/>
      <c r="J46" s="282">
        <f>397875-23560</f>
        <v>374315</v>
      </c>
      <c r="K46" s="282"/>
      <c r="L46" s="282"/>
      <c r="M46" s="282"/>
      <c r="N46" s="282">
        <f>1800000-76467-729224</f>
        <v>994309</v>
      </c>
      <c r="O46" s="281">
        <f>SUM(C46:N46)</f>
        <v>3435973</v>
      </c>
      <c r="P46" s="167"/>
    </row>
    <row r="47" spans="1:19" s="18" customFormat="1" ht="24" customHeight="1" thickBot="1">
      <c r="A47" s="160"/>
      <c r="B47" s="160" t="s">
        <v>266</v>
      </c>
      <c r="C47" s="280">
        <f>SUM(C31:C46)</f>
        <v>2403494</v>
      </c>
      <c r="D47" s="280">
        <f>SUM(D31:D46)</f>
        <v>1412000</v>
      </c>
      <c r="E47" s="280">
        <f>SUM(E31:E46)</f>
        <v>2125000</v>
      </c>
      <c r="F47" s="280">
        <f>SUM(F31:F46)</f>
        <v>1505821</v>
      </c>
      <c r="G47" s="280">
        <f>SUM(G31:G46)</f>
        <v>4390709</v>
      </c>
      <c r="H47" s="280">
        <f>SUM(H31:H46)</f>
        <v>3228651</v>
      </c>
      <c r="I47" s="280">
        <f>SUM(I31:I46)</f>
        <v>1667912</v>
      </c>
      <c r="J47" s="280">
        <f>SUM(J31:J46)</f>
        <v>2573554</v>
      </c>
      <c r="K47" s="280">
        <f>SUM(K31:K46)</f>
        <v>2397966</v>
      </c>
      <c r="L47" s="280">
        <f>SUM(L31:L46)</f>
        <v>1702918</v>
      </c>
      <c r="M47" s="280">
        <f>SUM(M31:M46)</f>
        <v>1856785</v>
      </c>
      <c r="N47" s="280">
        <f>SUM(N31:N46)</f>
        <v>2636912</v>
      </c>
      <c r="O47" s="279">
        <f>SUM(O31:O46)</f>
        <v>27901722</v>
      </c>
      <c r="S47" s="163"/>
    </row>
    <row r="48" spans="1:15" ht="26.25" customHeight="1" thickBot="1">
      <c r="A48" s="164"/>
      <c r="B48" s="165" t="s">
        <v>267</v>
      </c>
      <c r="C48" s="278">
        <f>C29-C47</f>
        <v>1268952</v>
      </c>
      <c r="D48" s="278">
        <f>D29-D47</f>
        <v>1369000</v>
      </c>
      <c r="E48" s="278">
        <f>E29-E47</f>
        <v>1088000</v>
      </c>
      <c r="F48" s="278">
        <f>F29-F47</f>
        <v>1172000</v>
      </c>
      <c r="G48" s="278">
        <f>G29-G47</f>
        <v>1736638</v>
      </c>
      <c r="H48" s="278">
        <f>H29-H47</f>
        <v>288670</v>
      </c>
      <c r="I48" s="278">
        <f>I29-I47</f>
        <v>66759</v>
      </c>
      <c r="J48" s="278">
        <f>J29-J47</f>
        <v>94226</v>
      </c>
      <c r="K48" s="278">
        <f>K29-K47</f>
        <v>506703</v>
      </c>
      <c r="L48" s="278">
        <f>L29-L47</f>
        <v>427016</v>
      </c>
      <c r="M48" s="278">
        <f>M29-M47</f>
        <v>400912</v>
      </c>
      <c r="N48" s="278">
        <f>N29-N47</f>
        <v>0</v>
      </c>
      <c r="O48" s="277"/>
    </row>
    <row r="50" spans="3:14" ht="15.75"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</row>
  </sheetData>
  <sheetProtection/>
  <mergeCells count="7">
    <mergeCell ref="B8:O8"/>
    <mergeCell ref="B4:O4"/>
    <mergeCell ref="B5:O5"/>
    <mergeCell ref="B6:O6"/>
    <mergeCell ref="B7:O7"/>
    <mergeCell ref="A2:O2"/>
    <mergeCell ref="A3:O3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.75390625" style="25" customWidth="1"/>
    <col min="2" max="2" width="56.25390625" style="25" customWidth="1"/>
    <col min="3" max="3" width="17.875" style="25" customWidth="1"/>
    <col min="4" max="4" width="4.875" style="25" customWidth="1"/>
    <col min="5" max="16384" width="9.125" style="25" customWidth="1"/>
  </cols>
  <sheetData>
    <row r="1" spans="1:5" ht="15.75">
      <c r="A1" s="79" t="s">
        <v>421</v>
      </c>
      <c r="B1" s="79"/>
      <c r="C1" s="79"/>
      <c r="D1" s="79"/>
      <c r="E1" s="24"/>
    </row>
    <row r="2" spans="1:5" ht="15.75">
      <c r="A2" s="26"/>
      <c r="B2" s="26"/>
      <c r="C2" s="26"/>
      <c r="D2" s="27"/>
      <c r="E2" s="24"/>
    </row>
    <row r="3" spans="1:5" ht="12.75" customHeight="1">
      <c r="A3" s="27"/>
      <c r="B3" s="27"/>
      <c r="C3" s="27"/>
      <c r="D3" s="27"/>
      <c r="E3" s="24"/>
    </row>
    <row r="4" spans="1:5" ht="15.75">
      <c r="A4" s="551" t="s">
        <v>342</v>
      </c>
      <c r="B4" s="551"/>
      <c r="C4" s="551"/>
      <c r="D4" s="551"/>
      <c r="E4" s="24"/>
    </row>
    <row r="5" spans="1:5" ht="15.75">
      <c r="A5" s="551" t="s">
        <v>360</v>
      </c>
      <c r="B5" s="551"/>
      <c r="C5" s="551"/>
      <c r="D5" s="551"/>
      <c r="E5" s="24"/>
    </row>
    <row r="6" spans="1:5" ht="15.75">
      <c r="A6" s="551" t="s">
        <v>391</v>
      </c>
      <c r="B6" s="551"/>
      <c r="C6" s="551"/>
      <c r="D6" s="551"/>
      <c r="E6" s="24"/>
    </row>
    <row r="7" spans="1:5" ht="15.75">
      <c r="A7" s="26"/>
      <c r="B7" s="26"/>
      <c r="C7" s="26"/>
      <c r="D7" s="24"/>
      <c r="E7" s="24"/>
    </row>
    <row r="8" spans="1:5" ht="15.75">
      <c r="A8" s="26"/>
      <c r="B8" s="26"/>
      <c r="C8" s="26"/>
      <c r="D8" s="24"/>
      <c r="E8" s="24"/>
    </row>
    <row r="9" spans="1:5" ht="15.75">
      <c r="A9" s="26"/>
      <c r="B9" s="26"/>
      <c r="C9" s="26"/>
      <c r="D9" s="24"/>
      <c r="E9" s="24"/>
    </row>
    <row r="10" spans="1:5" ht="15.75">
      <c r="A10" s="26"/>
      <c r="B10" s="26"/>
      <c r="C10" s="26"/>
      <c r="D10" s="24"/>
      <c r="E10" s="24"/>
    </row>
    <row r="11" spans="1:5" ht="15.75">
      <c r="A11" s="26"/>
      <c r="B11" s="28" t="s">
        <v>9</v>
      </c>
      <c r="C11" s="26"/>
      <c r="D11" s="24"/>
      <c r="E11" s="24"/>
    </row>
    <row r="12" spans="1:5" ht="10.5" customHeight="1">
      <c r="A12" s="26"/>
      <c r="B12" s="28"/>
      <c r="C12" s="26"/>
      <c r="D12" s="24"/>
      <c r="E12" s="24"/>
    </row>
    <row r="13" spans="1:5" ht="12" customHeight="1">
      <c r="A13" s="26"/>
      <c r="B13" s="28"/>
      <c r="C13" s="29"/>
      <c r="D13" s="24"/>
      <c r="E13" s="24"/>
    </row>
    <row r="14" spans="1:3" s="33" customFormat="1" ht="15">
      <c r="A14" s="30"/>
      <c r="B14" s="31" t="s">
        <v>10</v>
      </c>
      <c r="C14" s="32"/>
    </row>
    <row r="15" spans="1:5" ht="19.5" customHeight="1">
      <c r="A15" s="34"/>
      <c r="B15" s="24" t="s">
        <v>11</v>
      </c>
      <c r="C15" s="35">
        <v>1740000</v>
      </c>
      <c r="D15" s="24" t="s">
        <v>1</v>
      </c>
      <c r="E15" s="24"/>
    </row>
    <row r="16" spans="1:5" ht="19.5" customHeight="1">
      <c r="A16" s="24"/>
      <c r="B16" s="27" t="s">
        <v>12</v>
      </c>
      <c r="C16" s="36">
        <f>SUM(C15)</f>
        <v>1740000</v>
      </c>
      <c r="D16" s="27" t="s">
        <v>1</v>
      </c>
      <c r="E16" s="24"/>
    </row>
    <row r="17" spans="1:5" ht="19.5" customHeight="1">
      <c r="A17" s="24"/>
      <c r="B17" s="27"/>
      <c r="C17" s="36"/>
      <c r="D17" s="27"/>
      <c r="E17" s="24"/>
    </row>
    <row r="18" spans="1:5" ht="19.5" customHeight="1">
      <c r="A18" s="24"/>
      <c r="B18" s="27"/>
      <c r="C18" s="36"/>
      <c r="D18" s="27"/>
      <c r="E18" s="24"/>
    </row>
    <row r="19" spans="1:5" ht="10.5" customHeight="1">
      <c r="A19" s="24"/>
      <c r="B19" s="27"/>
      <c r="C19" s="36"/>
      <c r="D19" s="27"/>
      <c r="E19" s="24"/>
    </row>
    <row r="20" spans="1:5" ht="15.75">
      <c r="A20" s="24"/>
      <c r="B20" s="37"/>
      <c r="C20" s="36"/>
      <c r="D20" s="24"/>
      <c r="E20" s="24"/>
    </row>
    <row r="21" spans="1:5" ht="18">
      <c r="A21" s="24"/>
      <c r="B21" s="24"/>
      <c r="C21" s="38"/>
      <c r="D21" s="24"/>
      <c r="E21" s="24"/>
    </row>
    <row r="22" spans="1:5" s="39" customFormat="1" ht="15.75">
      <c r="A22" s="27"/>
      <c r="B22" s="27"/>
      <c r="C22" s="36"/>
      <c r="D22" s="27"/>
      <c r="E22" s="27"/>
    </row>
    <row r="23" spans="1:5" ht="15.75">
      <c r="A23" s="24"/>
      <c r="B23" s="24"/>
      <c r="C23" s="24"/>
      <c r="D23" s="24"/>
      <c r="E23" s="24"/>
    </row>
    <row r="24" spans="1:5" ht="15.75">
      <c r="A24" s="24"/>
      <c r="B24" s="68"/>
      <c r="C24" s="24"/>
      <c r="D24" s="24"/>
      <c r="E24" s="24"/>
    </row>
    <row r="25" spans="1:5" ht="15.75">
      <c r="A25" s="24"/>
      <c r="B25" s="24"/>
      <c r="C25" s="24"/>
      <c r="D25" s="24"/>
      <c r="E25" s="24"/>
    </row>
    <row r="26" spans="1:5" ht="15.75">
      <c r="A26" s="24"/>
      <c r="B26" s="24"/>
      <c r="C26" s="24"/>
      <c r="D26" s="24"/>
      <c r="E26" s="24"/>
    </row>
    <row r="27" spans="1:5" ht="15.75">
      <c r="A27" s="24"/>
      <c r="B27" s="24"/>
      <c r="C27" s="24"/>
      <c r="D27" s="24"/>
      <c r="E27" s="24"/>
    </row>
    <row r="28" spans="1:5" ht="15.75">
      <c r="A28" s="24"/>
      <c r="B28" s="24"/>
      <c r="C28" s="24"/>
      <c r="D28" s="24"/>
      <c r="E28" s="24"/>
    </row>
    <row r="29" spans="1:5" ht="15.75">
      <c r="A29" s="24"/>
      <c r="B29" s="24"/>
      <c r="C29" s="24"/>
      <c r="D29" s="24"/>
      <c r="E29" s="24"/>
    </row>
    <row r="30" spans="1:5" ht="15.75">
      <c r="A30" s="24"/>
      <c r="B30" s="24"/>
      <c r="C30" s="24"/>
      <c r="D30" s="24"/>
      <c r="E30" s="24"/>
    </row>
    <row r="31" spans="1:5" ht="15.75">
      <c r="A31" s="24"/>
      <c r="B31" s="24"/>
      <c r="C31" s="24"/>
      <c r="D31" s="24"/>
      <c r="E31" s="24"/>
    </row>
    <row r="32" spans="1:5" ht="15.75">
      <c r="A32" s="24"/>
      <c r="B32" s="24"/>
      <c r="C32" s="24"/>
      <c r="D32" s="24"/>
      <c r="E32" s="24"/>
    </row>
  </sheetData>
  <sheetProtection/>
  <mergeCells count="3">
    <mergeCell ref="A6:D6"/>
    <mergeCell ref="A4:D4"/>
    <mergeCell ref="A5:D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6">
      <selection activeCell="A5" sqref="A5:M5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1:13" ht="12.75" customHeight="1">
      <c r="K1" s="589"/>
      <c r="L1" s="589"/>
      <c r="M1" s="589"/>
    </row>
    <row r="2" spans="1:13" ht="12.75">
      <c r="A2" s="402"/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</row>
    <row r="3" spans="1:13" ht="15.75">
      <c r="A3" s="107" t="s">
        <v>422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5.75">
      <c r="A4" s="107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53" customFormat="1" ht="15.75">
      <c r="A5" s="401" t="s">
        <v>342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s="53" customFormat="1" ht="15.75">
      <c r="A6" s="401" t="s">
        <v>274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</row>
    <row r="7" spans="1:13" s="53" customFormat="1" ht="15.75">
      <c r="A7" s="401" t="s">
        <v>376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</row>
    <row r="8" spans="1:13" ht="12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3" s="53" customFormat="1" ht="15.75">
      <c r="A9" s="172" t="s">
        <v>275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2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1:13" ht="15.75">
      <c r="A11" s="173" t="s">
        <v>276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13" ht="12" customHeight="1" thickBot="1">
      <c r="A12" s="171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</row>
    <row r="13" spans="1:13" ht="16.5" thickBot="1">
      <c r="A13" s="596" t="s">
        <v>277</v>
      </c>
      <c r="B13" s="597"/>
      <c r="C13" s="597"/>
      <c r="D13" s="574" t="s">
        <v>278</v>
      </c>
      <c r="E13" s="575"/>
      <c r="F13" s="576"/>
      <c r="G13" s="574" t="s">
        <v>279</v>
      </c>
      <c r="H13" s="575"/>
      <c r="I13" s="576"/>
      <c r="J13" s="574" t="s">
        <v>280</v>
      </c>
      <c r="K13" s="575"/>
      <c r="L13" s="576"/>
      <c r="M13" s="577" t="s">
        <v>281</v>
      </c>
    </row>
    <row r="14" spans="1:13" ht="15.75">
      <c r="A14" s="598"/>
      <c r="B14" s="599"/>
      <c r="C14" s="599"/>
      <c r="D14" s="174" t="s">
        <v>282</v>
      </c>
      <c r="E14" s="175" t="s">
        <v>283</v>
      </c>
      <c r="F14" s="176" t="s">
        <v>284</v>
      </c>
      <c r="G14" s="175" t="s">
        <v>285</v>
      </c>
      <c r="H14" s="175" t="s">
        <v>283</v>
      </c>
      <c r="I14" s="176" t="s">
        <v>286</v>
      </c>
      <c r="J14" s="175" t="s">
        <v>285</v>
      </c>
      <c r="K14" s="176" t="s">
        <v>283</v>
      </c>
      <c r="L14" s="175" t="s">
        <v>286</v>
      </c>
      <c r="M14" s="578"/>
    </row>
    <row r="15" spans="1:13" ht="16.5" thickBot="1">
      <c r="A15" s="598"/>
      <c r="B15" s="599"/>
      <c r="C15" s="599"/>
      <c r="D15" s="177" t="s">
        <v>287</v>
      </c>
      <c r="E15" s="178" t="s">
        <v>288</v>
      </c>
      <c r="F15" s="179" t="s">
        <v>5</v>
      </c>
      <c r="G15" s="180" t="s">
        <v>287</v>
      </c>
      <c r="H15" s="178" t="s">
        <v>288</v>
      </c>
      <c r="I15" s="179" t="s">
        <v>5</v>
      </c>
      <c r="J15" s="180" t="s">
        <v>287</v>
      </c>
      <c r="K15" s="179" t="s">
        <v>288</v>
      </c>
      <c r="L15" s="178" t="s">
        <v>5</v>
      </c>
      <c r="M15" s="579"/>
    </row>
    <row r="16" spans="1:13" ht="7.5" customHeight="1">
      <c r="A16" s="580"/>
      <c r="B16" s="581"/>
      <c r="C16" s="582"/>
      <c r="D16" s="568"/>
      <c r="E16" s="552"/>
      <c r="F16" s="571"/>
      <c r="G16" s="590"/>
      <c r="H16" s="593"/>
      <c r="I16" s="611"/>
      <c r="J16" s="552"/>
      <c r="K16" s="552"/>
      <c r="L16" s="552"/>
      <c r="M16" s="555"/>
    </row>
    <row r="17" spans="1:13" ht="7.5" customHeight="1">
      <c r="A17" s="583"/>
      <c r="B17" s="584"/>
      <c r="C17" s="585"/>
      <c r="D17" s="569"/>
      <c r="E17" s="553"/>
      <c r="F17" s="572"/>
      <c r="G17" s="591"/>
      <c r="H17" s="594"/>
      <c r="I17" s="553"/>
      <c r="J17" s="553"/>
      <c r="K17" s="553"/>
      <c r="L17" s="553"/>
      <c r="M17" s="553"/>
    </row>
    <row r="18" spans="1:13" ht="15.75" customHeight="1" thickBot="1">
      <c r="A18" s="586"/>
      <c r="B18" s="587"/>
      <c r="C18" s="588"/>
      <c r="D18" s="570"/>
      <c r="E18" s="554"/>
      <c r="F18" s="573"/>
      <c r="G18" s="592"/>
      <c r="H18" s="595"/>
      <c r="I18" s="612"/>
      <c r="J18" s="554"/>
      <c r="K18" s="554"/>
      <c r="L18" s="554"/>
      <c r="M18" s="554"/>
    </row>
    <row r="19" spans="1:13" s="91" customFormat="1" ht="12.75" customHeight="1">
      <c r="A19" s="600" t="s">
        <v>2</v>
      </c>
      <c r="B19" s="601"/>
      <c r="C19" s="602"/>
      <c r="D19" s="606"/>
      <c r="E19" s="606"/>
      <c r="F19" s="608">
        <f>SUM(F16)</f>
        <v>0</v>
      </c>
      <c r="G19" s="606"/>
      <c r="H19" s="606"/>
      <c r="I19" s="606"/>
      <c r="J19" s="606"/>
      <c r="K19" s="606"/>
      <c r="L19" s="606"/>
      <c r="M19" s="610">
        <f>M16</f>
        <v>0</v>
      </c>
    </row>
    <row r="20" spans="1:13" s="91" customFormat="1" ht="13.5" customHeight="1" thickBot="1">
      <c r="A20" s="603"/>
      <c r="B20" s="604"/>
      <c r="C20" s="605"/>
      <c r="D20" s="607"/>
      <c r="E20" s="607"/>
      <c r="F20" s="609"/>
      <c r="G20" s="607"/>
      <c r="H20" s="607"/>
      <c r="I20" s="607"/>
      <c r="J20" s="607"/>
      <c r="K20" s="607"/>
      <c r="L20" s="607"/>
      <c r="M20" s="607"/>
    </row>
    <row r="21" spans="1:13" ht="12" customHeight="1">
      <c r="A21" s="171"/>
      <c r="B21" s="171"/>
      <c r="C21" s="171"/>
      <c r="D21" s="171"/>
      <c r="E21" s="171"/>
      <c r="F21" s="181"/>
      <c r="G21" s="171"/>
      <c r="H21" s="171"/>
      <c r="I21" s="171"/>
      <c r="J21" s="171"/>
      <c r="K21" s="171"/>
      <c r="L21" s="171"/>
      <c r="M21" s="171"/>
    </row>
    <row r="22" spans="1:6" s="173" customFormat="1" ht="12" customHeight="1">
      <c r="A22" s="173" t="s">
        <v>289</v>
      </c>
      <c r="F22" s="182"/>
    </row>
    <row r="23" spans="1:13" ht="13.5" customHeight="1">
      <c r="A23" s="183" t="s">
        <v>290</v>
      </c>
      <c r="B23" s="183"/>
      <c r="C23" s="183"/>
      <c r="D23" s="183"/>
      <c r="E23" s="183"/>
      <c r="F23" s="184"/>
      <c r="G23" s="185" t="s">
        <v>5</v>
      </c>
      <c r="H23" s="171"/>
      <c r="I23" s="171"/>
      <c r="J23" s="171"/>
      <c r="K23" s="171"/>
      <c r="L23" s="171"/>
      <c r="M23" s="171"/>
    </row>
    <row r="24" spans="1:13" ht="13.5" customHeight="1">
      <c r="A24" s="183" t="s">
        <v>291</v>
      </c>
      <c r="B24" s="183"/>
      <c r="C24" s="183"/>
      <c r="D24" s="183"/>
      <c r="E24" s="183"/>
      <c r="F24" s="184"/>
      <c r="G24" s="185" t="s">
        <v>5</v>
      </c>
      <c r="H24" s="171"/>
      <c r="I24" s="171"/>
      <c r="J24" s="171"/>
      <c r="K24" s="171"/>
      <c r="L24" s="171"/>
      <c r="M24" s="171"/>
    </row>
    <row r="25" spans="1:13" ht="13.5" customHeight="1">
      <c r="A25" s="183" t="s">
        <v>292</v>
      </c>
      <c r="B25" s="183"/>
      <c r="C25" s="183"/>
      <c r="D25" s="183"/>
      <c r="E25" s="183"/>
      <c r="F25" s="186"/>
      <c r="G25" s="187" t="s">
        <v>5</v>
      </c>
      <c r="H25" s="171"/>
      <c r="I25" s="171"/>
      <c r="J25" s="171"/>
      <c r="K25" s="171"/>
      <c r="L25" s="171"/>
      <c r="M25" s="171"/>
    </row>
    <row r="26" spans="1:13" ht="13.5" customHeight="1">
      <c r="A26" s="183" t="s">
        <v>293</v>
      </c>
      <c r="B26" s="183"/>
      <c r="C26" s="183"/>
      <c r="D26" s="183"/>
      <c r="E26" s="183"/>
      <c r="F26" s="188">
        <f>SUM(F23:F25)</f>
        <v>0</v>
      </c>
      <c r="G26" s="189" t="s">
        <v>5</v>
      </c>
      <c r="H26" s="171"/>
      <c r="I26" s="171"/>
      <c r="J26" s="171"/>
      <c r="K26" s="171"/>
      <c r="L26" s="171"/>
      <c r="M26" s="171"/>
    </row>
    <row r="27" spans="1:13" ht="13.5" customHeight="1">
      <c r="A27" s="183"/>
      <c r="B27" s="183"/>
      <c r="C27" s="183"/>
      <c r="D27" s="183"/>
      <c r="E27" s="183"/>
      <c r="F27" s="188"/>
      <c r="G27" s="189"/>
      <c r="H27" s="171"/>
      <c r="I27" s="171"/>
      <c r="J27" s="171"/>
      <c r="K27" s="171"/>
      <c r="L27" s="171"/>
      <c r="M27" s="171"/>
    </row>
    <row r="28" spans="1:13" ht="15.75">
      <c r="A28" s="173" t="s">
        <v>294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</row>
    <row r="29" spans="1:13" ht="13.5" customHeight="1">
      <c r="A29" s="183"/>
      <c r="B29" s="183"/>
      <c r="C29" s="183"/>
      <c r="D29" s="183"/>
      <c r="E29" s="183"/>
      <c r="F29" s="188"/>
      <c r="G29" s="189"/>
      <c r="H29" s="171"/>
      <c r="I29" s="171"/>
      <c r="J29" s="171"/>
      <c r="K29" s="171"/>
      <c r="L29" s="171"/>
      <c r="M29" s="171"/>
    </row>
    <row r="30" spans="1:13" ht="13.5" customHeight="1" thickBot="1">
      <c r="A30" s="183"/>
      <c r="B30" s="183"/>
      <c r="C30" s="183"/>
      <c r="D30" s="183"/>
      <c r="E30" s="183"/>
      <c r="F30" s="188"/>
      <c r="G30" s="189"/>
      <c r="H30" s="171"/>
      <c r="I30" s="171"/>
      <c r="J30" s="171"/>
      <c r="K30" s="171"/>
      <c r="L30" s="171"/>
      <c r="M30" s="171"/>
    </row>
    <row r="31" spans="1:13" ht="16.5" thickBot="1">
      <c r="A31" s="596" t="s">
        <v>277</v>
      </c>
      <c r="B31" s="597"/>
      <c r="C31" s="597"/>
      <c r="D31" s="574" t="s">
        <v>278</v>
      </c>
      <c r="E31" s="575"/>
      <c r="F31" s="576"/>
      <c r="G31" s="574" t="s">
        <v>279</v>
      </c>
      <c r="H31" s="575"/>
      <c r="I31" s="576"/>
      <c r="J31" s="574" t="s">
        <v>280</v>
      </c>
      <c r="K31" s="575"/>
      <c r="L31" s="576"/>
      <c r="M31" s="577" t="s">
        <v>281</v>
      </c>
    </row>
    <row r="32" spans="1:13" ht="15.75">
      <c r="A32" s="598"/>
      <c r="B32" s="599"/>
      <c r="C32" s="599"/>
      <c r="D32" s="174" t="s">
        <v>282</v>
      </c>
      <c r="E32" s="175" t="s">
        <v>283</v>
      </c>
      <c r="F32" s="176" t="s">
        <v>284</v>
      </c>
      <c r="G32" s="175" t="s">
        <v>285</v>
      </c>
      <c r="H32" s="175" t="s">
        <v>283</v>
      </c>
      <c r="I32" s="176" t="s">
        <v>286</v>
      </c>
      <c r="J32" s="175" t="s">
        <v>285</v>
      </c>
      <c r="K32" s="176" t="s">
        <v>283</v>
      </c>
      <c r="L32" s="175" t="s">
        <v>286</v>
      </c>
      <c r="M32" s="578"/>
    </row>
    <row r="33" spans="1:13" ht="16.5" thickBot="1">
      <c r="A33" s="598"/>
      <c r="B33" s="599"/>
      <c r="C33" s="599"/>
      <c r="D33" s="177" t="s">
        <v>287</v>
      </c>
      <c r="E33" s="178" t="s">
        <v>288</v>
      </c>
      <c r="F33" s="179" t="s">
        <v>5</v>
      </c>
      <c r="G33" s="180" t="s">
        <v>287</v>
      </c>
      <c r="H33" s="178" t="s">
        <v>288</v>
      </c>
      <c r="I33" s="179" t="s">
        <v>5</v>
      </c>
      <c r="J33" s="180" t="s">
        <v>287</v>
      </c>
      <c r="K33" s="179" t="s">
        <v>288</v>
      </c>
      <c r="L33" s="178" t="s">
        <v>5</v>
      </c>
      <c r="M33" s="579"/>
    </row>
    <row r="34" spans="1:13" ht="7.5" customHeight="1">
      <c r="A34" s="559" t="s">
        <v>361</v>
      </c>
      <c r="B34" s="560"/>
      <c r="C34" s="561"/>
      <c r="D34" s="568" t="s">
        <v>362</v>
      </c>
      <c r="E34" s="552"/>
      <c r="F34" s="571">
        <v>39</v>
      </c>
      <c r="G34" s="557"/>
      <c r="H34" s="557"/>
      <c r="I34" s="557"/>
      <c r="J34" s="552"/>
      <c r="K34" s="552"/>
      <c r="L34" s="552"/>
      <c r="M34" s="555">
        <v>32</v>
      </c>
    </row>
    <row r="35" spans="1:13" ht="7.5" customHeight="1">
      <c r="A35" s="562"/>
      <c r="B35" s="563"/>
      <c r="C35" s="564"/>
      <c r="D35" s="569"/>
      <c r="E35" s="553"/>
      <c r="F35" s="572"/>
      <c r="G35" s="557"/>
      <c r="H35" s="557"/>
      <c r="I35" s="557"/>
      <c r="J35" s="553"/>
      <c r="K35" s="553"/>
      <c r="L35" s="553"/>
      <c r="M35" s="553"/>
    </row>
    <row r="36" spans="1:13" ht="7.5" customHeight="1">
      <c r="A36" s="565"/>
      <c r="B36" s="566"/>
      <c r="C36" s="567"/>
      <c r="D36" s="570"/>
      <c r="E36" s="554"/>
      <c r="F36" s="573"/>
      <c r="G36" s="557"/>
      <c r="H36" s="557"/>
      <c r="I36" s="557"/>
      <c r="J36" s="554"/>
      <c r="K36" s="554"/>
      <c r="L36" s="554"/>
      <c r="M36" s="554"/>
    </row>
    <row r="37" spans="1:13" ht="7.5" customHeight="1">
      <c r="A37" s="559" t="s">
        <v>363</v>
      </c>
      <c r="B37" s="560"/>
      <c r="C37" s="561"/>
      <c r="D37" s="568" t="s">
        <v>365</v>
      </c>
      <c r="E37" s="552"/>
      <c r="F37" s="571"/>
      <c r="G37" s="557"/>
      <c r="H37" s="557"/>
      <c r="I37" s="557"/>
      <c r="J37" s="552"/>
      <c r="K37" s="552"/>
      <c r="L37" s="552"/>
      <c r="M37" s="555"/>
    </row>
    <row r="38" spans="1:13" ht="7.5" customHeight="1">
      <c r="A38" s="562"/>
      <c r="B38" s="563"/>
      <c r="C38" s="564"/>
      <c r="D38" s="569"/>
      <c r="E38" s="553"/>
      <c r="F38" s="572"/>
      <c r="G38" s="557"/>
      <c r="H38" s="557"/>
      <c r="I38" s="557"/>
      <c r="J38" s="553"/>
      <c r="K38" s="553"/>
      <c r="L38" s="553"/>
      <c r="M38" s="553"/>
    </row>
    <row r="39" spans="1:13" ht="7.5" customHeight="1">
      <c r="A39" s="565"/>
      <c r="B39" s="566"/>
      <c r="C39" s="567"/>
      <c r="D39" s="570"/>
      <c r="E39" s="554"/>
      <c r="F39" s="573"/>
      <c r="G39" s="557"/>
      <c r="H39" s="557"/>
      <c r="I39" s="557"/>
      <c r="J39" s="554"/>
      <c r="K39" s="554"/>
      <c r="L39" s="554"/>
      <c r="M39" s="554"/>
    </row>
    <row r="40" spans="1:13" ht="7.5" customHeight="1">
      <c r="A40" s="559" t="s">
        <v>295</v>
      </c>
      <c r="B40" s="560"/>
      <c r="C40" s="561"/>
      <c r="D40" s="568" t="s">
        <v>296</v>
      </c>
      <c r="E40" s="552"/>
      <c r="F40" s="571">
        <v>34</v>
      </c>
      <c r="G40" s="557"/>
      <c r="H40" s="557"/>
      <c r="I40" s="557"/>
      <c r="J40" s="552"/>
      <c r="K40" s="552"/>
      <c r="L40" s="552"/>
      <c r="M40" s="555">
        <f>L40+I40+F40</f>
        <v>34</v>
      </c>
    </row>
    <row r="41" spans="1:13" ht="7.5" customHeight="1">
      <c r="A41" s="562"/>
      <c r="B41" s="563"/>
      <c r="C41" s="564"/>
      <c r="D41" s="569"/>
      <c r="E41" s="553"/>
      <c r="F41" s="572"/>
      <c r="G41" s="557"/>
      <c r="H41" s="557"/>
      <c r="I41" s="557"/>
      <c r="J41" s="553"/>
      <c r="K41" s="553"/>
      <c r="L41" s="553"/>
      <c r="M41" s="553"/>
    </row>
    <row r="42" spans="1:13" ht="7.5" customHeight="1">
      <c r="A42" s="565"/>
      <c r="B42" s="566"/>
      <c r="C42" s="567"/>
      <c r="D42" s="570"/>
      <c r="E42" s="554"/>
      <c r="F42" s="573"/>
      <c r="G42" s="557"/>
      <c r="H42" s="557"/>
      <c r="I42" s="557"/>
      <c r="J42" s="554"/>
      <c r="K42" s="554"/>
      <c r="L42" s="554"/>
      <c r="M42" s="554"/>
    </row>
    <row r="43" spans="1:13" ht="7.5" customHeight="1">
      <c r="A43" s="559" t="s">
        <v>297</v>
      </c>
      <c r="B43" s="560"/>
      <c r="C43" s="561"/>
      <c r="D43" s="568"/>
      <c r="E43" s="552"/>
      <c r="F43" s="571"/>
      <c r="G43" s="556" t="s">
        <v>364</v>
      </c>
      <c r="H43" s="557"/>
      <c r="I43" s="558"/>
      <c r="J43" s="552"/>
      <c r="K43" s="552"/>
      <c r="L43" s="552"/>
      <c r="M43" s="555">
        <f>L43+I43+F43</f>
        <v>0</v>
      </c>
    </row>
    <row r="44" spans="1:13" ht="7.5" customHeight="1">
      <c r="A44" s="562"/>
      <c r="B44" s="563"/>
      <c r="C44" s="564"/>
      <c r="D44" s="569"/>
      <c r="E44" s="553"/>
      <c r="F44" s="572"/>
      <c r="G44" s="556"/>
      <c r="H44" s="557"/>
      <c r="I44" s="558"/>
      <c r="J44" s="553"/>
      <c r="K44" s="553"/>
      <c r="L44" s="553"/>
      <c r="M44" s="553"/>
    </row>
    <row r="45" spans="1:13" ht="7.5" customHeight="1">
      <c r="A45" s="565"/>
      <c r="B45" s="566"/>
      <c r="C45" s="567"/>
      <c r="D45" s="570"/>
      <c r="E45" s="554"/>
      <c r="F45" s="573"/>
      <c r="G45" s="556"/>
      <c r="H45" s="557"/>
      <c r="I45" s="558"/>
      <c r="J45" s="554"/>
      <c r="K45" s="554"/>
      <c r="L45" s="554"/>
      <c r="M45" s="554"/>
    </row>
    <row r="46" spans="1:13" ht="7.5" customHeight="1">
      <c r="A46" s="559" t="s">
        <v>297</v>
      </c>
      <c r="B46" s="560"/>
      <c r="C46" s="561"/>
      <c r="D46" s="568"/>
      <c r="E46" s="552"/>
      <c r="F46" s="571"/>
      <c r="G46" s="556" t="s">
        <v>298</v>
      </c>
      <c r="H46" s="557"/>
      <c r="I46" s="558">
        <v>60</v>
      </c>
      <c r="J46" s="552"/>
      <c r="K46" s="552"/>
      <c r="L46" s="552"/>
      <c r="M46" s="555">
        <f>L46+I46+F46</f>
        <v>60</v>
      </c>
    </row>
    <row r="47" spans="1:13" ht="7.5" customHeight="1">
      <c r="A47" s="562"/>
      <c r="B47" s="563"/>
      <c r="C47" s="564"/>
      <c r="D47" s="569"/>
      <c r="E47" s="553"/>
      <c r="F47" s="572"/>
      <c r="G47" s="556"/>
      <c r="H47" s="557"/>
      <c r="I47" s="558"/>
      <c r="J47" s="553"/>
      <c r="K47" s="553"/>
      <c r="L47" s="553"/>
      <c r="M47" s="553"/>
    </row>
    <row r="48" spans="1:13" ht="7.5" customHeight="1">
      <c r="A48" s="565"/>
      <c r="B48" s="566"/>
      <c r="C48" s="567"/>
      <c r="D48" s="570"/>
      <c r="E48" s="554"/>
      <c r="F48" s="573"/>
      <c r="G48" s="556"/>
      <c r="H48" s="557"/>
      <c r="I48" s="558"/>
      <c r="J48" s="554"/>
      <c r="K48" s="554"/>
      <c r="L48" s="554"/>
      <c r="M48" s="554"/>
    </row>
    <row r="49" spans="1:13" ht="7.5" customHeight="1">
      <c r="A49" s="559" t="s">
        <v>297</v>
      </c>
      <c r="B49" s="560"/>
      <c r="C49" s="561"/>
      <c r="D49" s="568"/>
      <c r="E49" s="552"/>
      <c r="F49" s="571"/>
      <c r="G49" s="556" t="s">
        <v>364</v>
      </c>
      <c r="H49" s="557"/>
      <c r="I49" s="558"/>
      <c r="J49" s="552"/>
      <c r="K49" s="552"/>
      <c r="L49" s="552"/>
      <c r="M49" s="555"/>
    </row>
    <row r="50" spans="1:13" ht="7.5" customHeight="1">
      <c r="A50" s="562"/>
      <c r="B50" s="563"/>
      <c r="C50" s="564"/>
      <c r="D50" s="569"/>
      <c r="E50" s="553"/>
      <c r="F50" s="572"/>
      <c r="G50" s="556"/>
      <c r="H50" s="557"/>
      <c r="I50" s="558"/>
      <c r="J50" s="553"/>
      <c r="K50" s="553"/>
      <c r="L50" s="553"/>
      <c r="M50" s="553"/>
    </row>
    <row r="51" spans="1:13" ht="7.5" customHeight="1">
      <c r="A51" s="565"/>
      <c r="B51" s="566"/>
      <c r="C51" s="567"/>
      <c r="D51" s="570"/>
      <c r="E51" s="554"/>
      <c r="F51" s="573"/>
      <c r="G51" s="556"/>
      <c r="H51" s="557"/>
      <c r="I51" s="558"/>
      <c r="J51" s="554"/>
      <c r="K51" s="554"/>
      <c r="L51" s="554"/>
      <c r="M51" s="554"/>
    </row>
    <row r="52" spans="1:13" ht="7.5" customHeight="1">
      <c r="A52" s="559" t="s">
        <v>297</v>
      </c>
      <c r="B52" s="560"/>
      <c r="C52" s="561"/>
      <c r="D52" s="568"/>
      <c r="E52" s="552"/>
      <c r="F52" s="571"/>
      <c r="G52" s="556" t="s">
        <v>298</v>
      </c>
      <c r="H52" s="557"/>
      <c r="I52" s="558"/>
      <c r="J52" s="552"/>
      <c r="K52" s="552"/>
      <c r="L52" s="552"/>
      <c r="M52" s="555"/>
    </row>
    <row r="53" spans="1:13" ht="7.5" customHeight="1">
      <c r="A53" s="562"/>
      <c r="B53" s="563"/>
      <c r="C53" s="564"/>
      <c r="D53" s="569"/>
      <c r="E53" s="553"/>
      <c r="F53" s="572"/>
      <c r="G53" s="556"/>
      <c r="H53" s="557"/>
      <c r="I53" s="558"/>
      <c r="J53" s="553"/>
      <c r="K53" s="553"/>
      <c r="L53" s="553"/>
      <c r="M53" s="553"/>
    </row>
    <row r="54" spans="1:13" ht="7.5" customHeight="1" thickBot="1">
      <c r="A54" s="565"/>
      <c r="B54" s="566"/>
      <c r="C54" s="567"/>
      <c r="D54" s="570"/>
      <c r="E54" s="554"/>
      <c r="F54" s="573"/>
      <c r="G54" s="556"/>
      <c r="H54" s="557"/>
      <c r="I54" s="558"/>
      <c r="J54" s="554"/>
      <c r="K54" s="554"/>
      <c r="L54" s="554"/>
      <c r="M54" s="554"/>
    </row>
    <row r="55" spans="1:13" s="91" customFormat="1" ht="12.75" customHeight="1">
      <c r="A55" s="600" t="s">
        <v>2</v>
      </c>
      <c r="B55" s="601"/>
      <c r="C55" s="602"/>
      <c r="D55" s="606"/>
      <c r="E55" s="606"/>
      <c r="F55" s="608">
        <f>SUM(F34:F54)</f>
        <v>73</v>
      </c>
      <c r="G55" s="606"/>
      <c r="H55" s="606"/>
      <c r="I55" s="608">
        <f>SUM(I34:I54)</f>
        <v>60</v>
      </c>
      <c r="J55" s="606"/>
      <c r="K55" s="606"/>
      <c r="L55" s="606"/>
      <c r="M55" s="608">
        <f>SUM(M34:M54)</f>
        <v>126</v>
      </c>
    </row>
    <row r="56" spans="1:13" s="91" customFormat="1" ht="13.5" customHeight="1" thickBot="1">
      <c r="A56" s="603"/>
      <c r="B56" s="604"/>
      <c r="C56" s="605"/>
      <c r="D56" s="607"/>
      <c r="E56" s="607"/>
      <c r="F56" s="609"/>
      <c r="G56" s="607"/>
      <c r="H56" s="607"/>
      <c r="I56" s="609"/>
      <c r="J56" s="607"/>
      <c r="K56" s="607"/>
      <c r="L56" s="607"/>
      <c r="M56" s="609"/>
    </row>
    <row r="57" spans="1:13" ht="13.5" customHeight="1">
      <c r="A57" s="183"/>
      <c r="B57" s="183"/>
      <c r="C57" s="183"/>
      <c r="D57" s="183"/>
      <c r="E57" s="183"/>
      <c r="F57" s="188"/>
      <c r="G57" s="189"/>
      <c r="H57" s="171"/>
      <c r="I57" s="171"/>
      <c r="J57" s="171"/>
      <c r="K57" s="171"/>
      <c r="L57" s="171"/>
      <c r="M57" s="171"/>
    </row>
    <row r="58" spans="1:13" ht="13.5" customHeight="1">
      <c r="A58" s="183"/>
      <c r="B58" s="183"/>
      <c r="C58" s="183"/>
      <c r="D58" s="183"/>
      <c r="E58" s="183"/>
      <c r="F58" s="188"/>
      <c r="G58" s="189"/>
      <c r="H58" s="171"/>
      <c r="I58" s="171"/>
      <c r="J58" s="171"/>
      <c r="K58" s="171"/>
      <c r="L58" s="171"/>
      <c r="M58" s="171"/>
    </row>
    <row r="59" spans="1:13" ht="13.5" customHeight="1">
      <c r="A59" s="183"/>
      <c r="B59" s="183"/>
      <c r="C59" s="183"/>
      <c r="D59" s="183"/>
      <c r="E59" s="183"/>
      <c r="F59" s="188"/>
      <c r="G59" s="189"/>
      <c r="H59" s="171"/>
      <c r="I59" s="171"/>
      <c r="J59" s="171"/>
      <c r="K59" s="171"/>
      <c r="L59" s="171"/>
      <c r="M59" s="171"/>
    </row>
    <row r="60" spans="1:13" ht="15.75">
      <c r="A60" s="5" t="s">
        <v>299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</row>
    <row r="61" spans="1:13" ht="12" customHeight="1">
      <c r="A61" s="171"/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</row>
    <row r="62" spans="1:13" ht="15.75">
      <c r="A62" s="5" t="s">
        <v>300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</row>
    <row r="63" spans="1:13" ht="12" customHeight="1" thickBot="1">
      <c r="A63" s="171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</row>
    <row r="64" spans="1:11" ht="12.75" customHeight="1">
      <c r="A64" s="596" t="s">
        <v>277</v>
      </c>
      <c r="B64" s="597"/>
      <c r="C64" s="597"/>
      <c r="D64" s="596" t="s">
        <v>301</v>
      </c>
      <c r="E64" s="577"/>
      <c r="F64" s="596" t="s">
        <v>302</v>
      </c>
      <c r="G64" s="577"/>
      <c r="H64" s="596" t="s">
        <v>303</v>
      </c>
      <c r="I64" s="577"/>
      <c r="J64" s="596" t="s">
        <v>304</v>
      </c>
      <c r="K64" s="577"/>
    </row>
    <row r="65" spans="1:11" ht="12.75" customHeight="1">
      <c r="A65" s="598"/>
      <c r="B65" s="599"/>
      <c r="C65" s="599"/>
      <c r="D65" s="598"/>
      <c r="E65" s="578"/>
      <c r="F65" s="598"/>
      <c r="G65" s="578"/>
      <c r="H65" s="598"/>
      <c r="I65" s="578"/>
      <c r="J65" s="598"/>
      <c r="K65" s="578"/>
    </row>
    <row r="66" spans="1:11" ht="13.5" customHeight="1" thickBot="1">
      <c r="A66" s="616"/>
      <c r="B66" s="617"/>
      <c r="C66" s="617"/>
      <c r="D66" s="616"/>
      <c r="E66" s="579"/>
      <c r="F66" s="616"/>
      <c r="G66" s="579"/>
      <c r="H66" s="616"/>
      <c r="I66" s="579"/>
      <c r="J66" s="616"/>
      <c r="K66" s="579"/>
    </row>
    <row r="67" spans="1:12" s="53" customFormat="1" ht="25.5" customHeight="1" thickBot="1">
      <c r="A67" s="553" t="s">
        <v>305</v>
      </c>
      <c r="B67" s="553"/>
      <c r="C67" s="553"/>
      <c r="D67" s="553" t="s">
        <v>306</v>
      </c>
      <c r="E67" s="553"/>
      <c r="F67" s="613" t="s">
        <v>306</v>
      </c>
      <c r="G67" s="614"/>
      <c r="H67" s="613" t="s">
        <v>306</v>
      </c>
      <c r="I67" s="614"/>
      <c r="J67" s="553" t="s">
        <v>306</v>
      </c>
      <c r="K67" s="553"/>
      <c r="L67" s="190"/>
    </row>
    <row r="68" spans="1:13" s="91" customFormat="1" ht="12.75" customHeight="1">
      <c r="A68" s="600" t="s">
        <v>2</v>
      </c>
      <c r="B68" s="601"/>
      <c r="C68" s="602"/>
      <c r="D68" s="600"/>
      <c r="E68" s="602"/>
      <c r="F68" s="600"/>
      <c r="G68" s="602"/>
      <c r="H68" s="600"/>
      <c r="I68" s="602"/>
      <c r="J68" s="600" t="s">
        <v>306</v>
      </c>
      <c r="K68" s="602"/>
      <c r="L68" s="615"/>
      <c r="M68" s="615"/>
    </row>
    <row r="69" spans="1:13" s="91" customFormat="1" ht="13.5" customHeight="1" thickBot="1">
      <c r="A69" s="603"/>
      <c r="B69" s="604"/>
      <c r="C69" s="605"/>
      <c r="D69" s="603"/>
      <c r="E69" s="605"/>
      <c r="F69" s="603"/>
      <c r="G69" s="605"/>
      <c r="H69" s="603"/>
      <c r="I69" s="605"/>
      <c r="J69" s="603"/>
      <c r="K69" s="605"/>
      <c r="L69" s="615"/>
      <c r="M69" s="615"/>
    </row>
    <row r="71" spans="1:13" ht="15.75">
      <c r="A71" s="5" t="s">
        <v>307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ht="13.5" thickBot="1"/>
    <row r="73" spans="1:11" ht="12.75" customHeight="1">
      <c r="A73" s="596" t="s">
        <v>277</v>
      </c>
      <c r="B73" s="597"/>
      <c r="C73" s="597"/>
      <c r="D73" s="596" t="s">
        <v>301</v>
      </c>
      <c r="E73" s="577"/>
      <c r="F73" s="596" t="s">
        <v>308</v>
      </c>
      <c r="G73" s="577"/>
      <c r="H73" s="596" t="s">
        <v>303</v>
      </c>
      <c r="I73" s="577"/>
      <c r="J73" s="596" t="s">
        <v>304</v>
      </c>
      <c r="K73" s="577"/>
    </row>
    <row r="74" spans="1:11" ht="12.75" customHeight="1">
      <c r="A74" s="598"/>
      <c r="B74" s="599"/>
      <c r="C74" s="599"/>
      <c r="D74" s="598"/>
      <c r="E74" s="578"/>
      <c r="F74" s="598"/>
      <c r="G74" s="578"/>
      <c r="H74" s="598"/>
      <c r="I74" s="578"/>
      <c r="J74" s="598"/>
      <c r="K74" s="578"/>
    </row>
    <row r="75" spans="1:11" ht="13.5" customHeight="1" thickBot="1">
      <c r="A75" s="616"/>
      <c r="B75" s="617"/>
      <c r="C75" s="617"/>
      <c r="D75" s="616"/>
      <c r="E75" s="579"/>
      <c r="F75" s="616"/>
      <c r="G75" s="579"/>
      <c r="H75" s="616"/>
      <c r="I75" s="579"/>
      <c r="J75" s="616"/>
      <c r="K75" s="579"/>
    </row>
    <row r="76" spans="1:12" s="53" customFormat="1" ht="25.5" customHeight="1" thickBot="1">
      <c r="A76" s="553" t="s">
        <v>309</v>
      </c>
      <c r="B76" s="553"/>
      <c r="C76" s="553"/>
      <c r="D76" s="553" t="s">
        <v>310</v>
      </c>
      <c r="E76" s="553"/>
      <c r="F76" s="636" t="s">
        <v>306</v>
      </c>
      <c r="G76" s="637"/>
      <c r="H76" s="636"/>
      <c r="I76" s="637"/>
      <c r="J76" s="572"/>
      <c r="K76" s="572"/>
      <c r="L76" s="190"/>
    </row>
    <row r="77" spans="1:13" ht="12.75" customHeight="1">
      <c r="A77" s="618" t="s">
        <v>2</v>
      </c>
      <c r="B77" s="619"/>
      <c r="C77" s="620"/>
      <c r="D77" s="624"/>
      <c r="E77" s="625"/>
      <c r="F77" s="628">
        <f>SUM(F76)</f>
        <v>0</v>
      </c>
      <c r="G77" s="629"/>
      <c r="H77" s="632">
        <f>SUM(H76)</f>
        <v>0</v>
      </c>
      <c r="I77" s="633"/>
      <c r="J77" s="632">
        <f>SUM(J76)</f>
        <v>0</v>
      </c>
      <c r="K77" s="633"/>
      <c r="L77" s="638"/>
      <c r="M77" s="638"/>
    </row>
    <row r="78" spans="1:13" ht="13.5" customHeight="1" thickBot="1">
      <c r="A78" s="621"/>
      <c r="B78" s="622"/>
      <c r="C78" s="623"/>
      <c r="D78" s="626"/>
      <c r="E78" s="627"/>
      <c r="F78" s="630"/>
      <c r="G78" s="631"/>
      <c r="H78" s="634"/>
      <c r="I78" s="635"/>
      <c r="J78" s="634"/>
      <c r="K78" s="635"/>
      <c r="L78" s="638"/>
      <c r="M78" s="638"/>
    </row>
    <row r="80" spans="1:13" ht="15.75">
      <c r="A80" s="5" t="s">
        <v>311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ht="13.5" thickBot="1"/>
    <row r="82" spans="1:11" ht="12.75" customHeight="1">
      <c r="A82" s="596" t="s">
        <v>277</v>
      </c>
      <c r="B82" s="597"/>
      <c r="C82" s="597"/>
      <c r="D82" s="596" t="s">
        <v>301</v>
      </c>
      <c r="E82" s="577"/>
      <c r="F82" s="596" t="s">
        <v>302</v>
      </c>
      <c r="G82" s="577"/>
      <c r="H82" s="596" t="s">
        <v>303</v>
      </c>
      <c r="I82" s="577"/>
      <c r="J82" s="596" t="s">
        <v>304</v>
      </c>
      <c r="K82" s="577"/>
    </row>
    <row r="83" spans="1:11" ht="12.75" customHeight="1">
      <c r="A83" s="598"/>
      <c r="B83" s="599"/>
      <c r="C83" s="599"/>
      <c r="D83" s="598"/>
      <c r="E83" s="578"/>
      <c r="F83" s="598"/>
      <c r="G83" s="578"/>
      <c r="H83" s="598"/>
      <c r="I83" s="578"/>
      <c r="J83" s="598"/>
      <c r="K83" s="578"/>
    </row>
    <row r="84" spans="1:11" ht="13.5" customHeight="1" thickBot="1">
      <c r="A84" s="616"/>
      <c r="B84" s="617"/>
      <c r="C84" s="617"/>
      <c r="D84" s="616"/>
      <c r="E84" s="579"/>
      <c r="F84" s="616"/>
      <c r="G84" s="579"/>
      <c r="H84" s="616"/>
      <c r="I84" s="579"/>
      <c r="J84" s="616"/>
      <c r="K84" s="579"/>
    </row>
    <row r="85" spans="1:12" s="53" customFormat="1" ht="25.5" customHeight="1" thickBot="1">
      <c r="A85" s="553" t="s">
        <v>309</v>
      </c>
      <c r="B85" s="553"/>
      <c r="C85" s="553"/>
      <c r="D85" s="553" t="s">
        <v>312</v>
      </c>
      <c r="E85" s="553"/>
      <c r="F85" s="613" t="s">
        <v>306</v>
      </c>
      <c r="G85" s="614"/>
      <c r="H85" s="613"/>
      <c r="I85" s="614"/>
      <c r="J85" s="553"/>
      <c r="K85" s="553"/>
      <c r="L85" s="190"/>
    </row>
    <row r="86" spans="1:13" ht="12.75" customHeight="1">
      <c r="A86" s="618" t="s">
        <v>2</v>
      </c>
      <c r="B86" s="619"/>
      <c r="C86" s="620"/>
      <c r="D86" s="624"/>
      <c r="E86" s="625"/>
      <c r="F86" s="624"/>
      <c r="G86" s="625"/>
      <c r="H86" s="600">
        <f>SUM(H85)</f>
        <v>0</v>
      </c>
      <c r="I86" s="602"/>
      <c r="J86" s="600">
        <f>SUM(J85)</f>
        <v>0</v>
      </c>
      <c r="K86" s="602"/>
      <c r="L86" s="638"/>
      <c r="M86" s="638"/>
    </row>
    <row r="87" spans="1:13" ht="13.5" customHeight="1" thickBot="1">
      <c r="A87" s="621"/>
      <c r="B87" s="622"/>
      <c r="C87" s="623"/>
      <c r="D87" s="626"/>
      <c r="E87" s="627"/>
      <c r="F87" s="626"/>
      <c r="G87" s="627"/>
      <c r="H87" s="603"/>
      <c r="I87" s="605"/>
      <c r="J87" s="603"/>
      <c r="K87" s="605"/>
      <c r="L87" s="638"/>
      <c r="M87" s="638"/>
    </row>
    <row r="89" spans="1:13" ht="15.75">
      <c r="A89" s="5" t="s">
        <v>313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ht="13.5" thickBot="1"/>
    <row r="91" spans="1:11" ht="12.75" customHeight="1">
      <c r="A91" s="596" t="s">
        <v>277</v>
      </c>
      <c r="B91" s="597"/>
      <c r="C91" s="597"/>
      <c r="D91" s="596" t="s">
        <v>301</v>
      </c>
      <c r="E91" s="577"/>
      <c r="F91" s="596" t="s">
        <v>302</v>
      </c>
      <c r="G91" s="577"/>
      <c r="H91" s="596" t="s">
        <v>303</v>
      </c>
      <c r="I91" s="577"/>
      <c r="J91" s="596" t="s">
        <v>304</v>
      </c>
      <c r="K91" s="577"/>
    </row>
    <row r="92" spans="1:11" ht="12.75" customHeight="1">
      <c r="A92" s="598"/>
      <c r="B92" s="599"/>
      <c r="C92" s="599"/>
      <c r="D92" s="598"/>
      <c r="E92" s="578"/>
      <c r="F92" s="598"/>
      <c r="G92" s="578"/>
      <c r="H92" s="598"/>
      <c r="I92" s="578"/>
      <c r="J92" s="598"/>
      <c r="K92" s="578"/>
    </row>
    <row r="93" spans="1:11" ht="13.5" customHeight="1" thickBot="1">
      <c r="A93" s="616"/>
      <c r="B93" s="617"/>
      <c r="C93" s="617"/>
      <c r="D93" s="616"/>
      <c r="E93" s="579"/>
      <c r="F93" s="616"/>
      <c r="G93" s="579"/>
      <c r="H93" s="616"/>
      <c r="I93" s="579"/>
      <c r="J93" s="616"/>
      <c r="K93" s="579"/>
    </row>
    <row r="94" spans="1:12" s="53" customFormat="1" ht="25.5" customHeight="1" thickBot="1">
      <c r="A94" s="553" t="s">
        <v>309</v>
      </c>
      <c r="B94" s="553"/>
      <c r="C94" s="553"/>
      <c r="D94" s="553"/>
      <c r="E94" s="553"/>
      <c r="F94" s="613" t="s">
        <v>306</v>
      </c>
      <c r="G94" s="614"/>
      <c r="H94" s="613"/>
      <c r="I94" s="614"/>
      <c r="J94" s="553"/>
      <c r="K94" s="553"/>
      <c r="L94" s="190"/>
    </row>
    <row r="95" spans="1:13" ht="12.75" customHeight="1">
      <c r="A95" s="618" t="s">
        <v>2</v>
      </c>
      <c r="B95" s="619"/>
      <c r="C95" s="620"/>
      <c r="D95" s="624"/>
      <c r="E95" s="625"/>
      <c r="F95" s="624"/>
      <c r="G95" s="625"/>
      <c r="H95" s="600">
        <f>SUM(H94)</f>
        <v>0</v>
      </c>
      <c r="I95" s="602"/>
      <c r="J95" s="600">
        <f>SUM(J94)</f>
        <v>0</v>
      </c>
      <c r="K95" s="602"/>
      <c r="L95" s="638"/>
      <c r="M95" s="638"/>
    </row>
    <row r="96" spans="1:13" ht="13.5" customHeight="1" thickBot="1">
      <c r="A96" s="621"/>
      <c r="B96" s="622"/>
      <c r="C96" s="623"/>
      <c r="D96" s="626"/>
      <c r="E96" s="627"/>
      <c r="F96" s="626"/>
      <c r="G96" s="627"/>
      <c r="H96" s="603"/>
      <c r="I96" s="605"/>
      <c r="J96" s="603"/>
      <c r="K96" s="605"/>
      <c r="L96" s="638"/>
      <c r="M96" s="638"/>
    </row>
  </sheetData>
  <sheetProtection/>
  <mergeCells count="193">
    <mergeCell ref="A95:C96"/>
    <mergeCell ref="D95:E96"/>
    <mergeCell ref="F95:G96"/>
    <mergeCell ref="A94:C94"/>
    <mergeCell ref="D94:E94"/>
    <mergeCell ref="F94:G94"/>
    <mergeCell ref="L95:L96"/>
    <mergeCell ref="M95:M96"/>
    <mergeCell ref="J94:K94"/>
    <mergeCell ref="H94:I94"/>
    <mergeCell ref="H95:I96"/>
    <mergeCell ref="J95:K96"/>
    <mergeCell ref="A91:C93"/>
    <mergeCell ref="D91:E93"/>
    <mergeCell ref="F91:G93"/>
    <mergeCell ref="H91:I93"/>
    <mergeCell ref="M86:M87"/>
    <mergeCell ref="J91:K93"/>
    <mergeCell ref="L86:L87"/>
    <mergeCell ref="J85:K85"/>
    <mergeCell ref="J86:K87"/>
    <mergeCell ref="A86:C87"/>
    <mergeCell ref="D86:E87"/>
    <mergeCell ref="F86:G87"/>
    <mergeCell ref="H86:I87"/>
    <mergeCell ref="A85:C85"/>
    <mergeCell ref="D85:E85"/>
    <mergeCell ref="F85:G85"/>
    <mergeCell ref="H85:I85"/>
    <mergeCell ref="L77:L78"/>
    <mergeCell ref="M77:M78"/>
    <mergeCell ref="A82:C84"/>
    <mergeCell ref="D82:E84"/>
    <mergeCell ref="F82:G84"/>
    <mergeCell ref="H82:I84"/>
    <mergeCell ref="J82:K84"/>
    <mergeCell ref="J76:K76"/>
    <mergeCell ref="A77:C78"/>
    <mergeCell ref="D77:E78"/>
    <mergeCell ref="F77:G78"/>
    <mergeCell ref="H77:I78"/>
    <mergeCell ref="J77:K78"/>
    <mergeCell ref="A76:C76"/>
    <mergeCell ref="D76:E76"/>
    <mergeCell ref="F76:G76"/>
    <mergeCell ref="H76:I76"/>
    <mergeCell ref="M68:M69"/>
    <mergeCell ref="A73:C75"/>
    <mergeCell ref="D73:E75"/>
    <mergeCell ref="F73:G75"/>
    <mergeCell ref="H73:I75"/>
    <mergeCell ref="J73:K75"/>
    <mergeCell ref="A68:C69"/>
    <mergeCell ref="D68:E69"/>
    <mergeCell ref="F68:G69"/>
    <mergeCell ref="H68:I69"/>
    <mergeCell ref="J68:K69"/>
    <mergeCell ref="L68:L69"/>
    <mergeCell ref="A64:C66"/>
    <mergeCell ref="D64:E66"/>
    <mergeCell ref="F64:G66"/>
    <mergeCell ref="H64:I66"/>
    <mergeCell ref="J64:K66"/>
    <mergeCell ref="A67:C67"/>
    <mergeCell ref="D67:E67"/>
    <mergeCell ref="F67:G67"/>
    <mergeCell ref="H43:H45"/>
    <mergeCell ref="H67:I67"/>
    <mergeCell ref="J67:K67"/>
    <mergeCell ref="H55:H56"/>
    <mergeCell ref="I55:I56"/>
    <mergeCell ref="J55:J56"/>
    <mergeCell ref="K55:K56"/>
    <mergeCell ref="J49:J51"/>
    <mergeCell ref="H49:H51"/>
    <mergeCell ref="I49:I51"/>
    <mergeCell ref="F43:F45"/>
    <mergeCell ref="G55:G56"/>
    <mergeCell ref="L55:L56"/>
    <mergeCell ref="M55:M56"/>
    <mergeCell ref="I43:I45"/>
    <mergeCell ref="J43:J45"/>
    <mergeCell ref="K43:K45"/>
    <mergeCell ref="L43:L45"/>
    <mergeCell ref="M43:M45"/>
    <mergeCell ref="G43:G45"/>
    <mergeCell ref="I40:I42"/>
    <mergeCell ref="J40:J42"/>
    <mergeCell ref="K40:K42"/>
    <mergeCell ref="A55:C56"/>
    <mergeCell ref="D55:D56"/>
    <mergeCell ref="E55:E56"/>
    <mergeCell ref="F55:F56"/>
    <mergeCell ref="A43:C45"/>
    <mergeCell ref="D43:D45"/>
    <mergeCell ref="E43:E45"/>
    <mergeCell ref="L40:L42"/>
    <mergeCell ref="M40:M42"/>
    <mergeCell ref="A31:C33"/>
    <mergeCell ref="D31:F31"/>
    <mergeCell ref="G31:I31"/>
    <mergeCell ref="J31:L31"/>
    <mergeCell ref="M31:M33"/>
    <mergeCell ref="A40:C42"/>
    <mergeCell ref="D40:D42"/>
    <mergeCell ref="E40:E42"/>
    <mergeCell ref="F40:F42"/>
    <mergeCell ref="G40:G42"/>
    <mergeCell ref="H19:H20"/>
    <mergeCell ref="G19:G20"/>
    <mergeCell ref="G34:G36"/>
    <mergeCell ref="H34:H36"/>
    <mergeCell ref="H40:H42"/>
    <mergeCell ref="M19:M20"/>
    <mergeCell ref="I16:I18"/>
    <mergeCell ref="J16:J18"/>
    <mergeCell ref="K16:K18"/>
    <mergeCell ref="L16:L18"/>
    <mergeCell ref="M16:M18"/>
    <mergeCell ref="I19:I20"/>
    <mergeCell ref="J19:J20"/>
    <mergeCell ref="K19:K20"/>
    <mergeCell ref="L19:L20"/>
    <mergeCell ref="E16:E18"/>
    <mergeCell ref="F16:F18"/>
    <mergeCell ref="A19:C20"/>
    <mergeCell ref="D19:D20"/>
    <mergeCell ref="E19:E20"/>
    <mergeCell ref="F19:F20"/>
    <mergeCell ref="K1:M1"/>
    <mergeCell ref="A2:M2"/>
    <mergeCell ref="A5:M5"/>
    <mergeCell ref="A6:M6"/>
    <mergeCell ref="G16:G18"/>
    <mergeCell ref="H16:H18"/>
    <mergeCell ref="A7:M7"/>
    <mergeCell ref="A13:C15"/>
    <mergeCell ref="D13:F13"/>
    <mergeCell ref="G13:I13"/>
    <mergeCell ref="J13:L13"/>
    <mergeCell ref="M13:M15"/>
    <mergeCell ref="A16:C18"/>
    <mergeCell ref="D16:D18"/>
    <mergeCell ref="I34:I36"/>
    <mergeCell ref="J34:J36"/>
    <mergeCell ref="K34:K36"/>
    <mergeCell ref="L34:L36"/>
    <mergeCell ref="A34:C36"/>
    <mergeCell ref="D34:D36"/>
    <mergeCell ref="E34:E36"/>
    <mergeCell ref="F34:F36"/>
    <mergeCell ref="M34:M36"/>
    <mergeCell ref="A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L39"/>
    <mergeCell ref="M37:M39"/>
    <mergeCell ref="A46:C48"/>
    <mergeCell ref="D46:D48"/>
    <mergeCell ref="E46:E48"/>
    <mergeCell ref="F46:F48"/>
    <mergeCell ref="G46:G48"/>
    <mergeCell ref="H46:H48"/>
    <mergeCell ref="I46:I48"/>
    <mergeCell ref="J46:J48"/>
    <mergeCell ref="L49:L51"/>
    <mergeCell ref="M49:M51"/>
    <mergeCell ref="K46:K48"/>
    <mergeCell ref="L46:L48"/>
    <mergeCell ref="M46:M48"/>
    <mergeCell ref="K49:K51"/>
    <mergeCell ref="G49:G51"/>
    <mergeCell ref="A52:C54"/>
    <mergeCell ref="D52:D54"/>
    <mergeCell ref="E52:E54"/>
    <mergeCell ref="F52:F54"/>
    <mergeCell ref="A49:C51"/>
    <mergeCell ref="D49:D51"/>
    <mergeCell ref="E49:E51"/>
    <mergeCell ref="F49:F51"/>
    <mergeCell ref="K52:K54"/>
    <mergeCell ref="L52:L54"/>
    <mergeCell ref="M52:M54"/>
    <mergeCell ref="G52:G54"/>
    <mergeCell ref="H52:H54"/>
    <mergeCell ref="I52:I54"/>
    <mergeCell ref="J52:J5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5.75390625" style="24" customWidth="1"/>
    <col min="2" max="2" width="65.75390625" style="24" customWidth="1"/>
    <col min="3" max="5" width="15.75390625" style="24" bestFit="1" customWidth="1"/>
    <col min="6" max="6" width="18.00390625" style="24" bestFit="1" customWidth="1"/>
    <col min="7" max="7" width="11.375" style="53" bestFit="1" customWidth="1"/>
    <col min="8" max="16384" width="9.125" style="53" customWidth="1"/>
  </cols>
  <sheetData>
    <row r="1" spans="1:6" ht="15.75">
      <c r="A1" s="107" t="s">
        <v>423</v>
      </c>
      <c r="C1" s="639"/>
      <c r="D1" s="639"/>
      <c r="E1" s="639"/>
      <c r="F1" s="639"/>
    </row>
    <row r="2" spans="1:6" ht="15.75">
      <c r="A2" s="26"/>
      <c r="B2" s="26"/>
      <c r="C2" s="26"/>
      <c r="D2" s="26"/>
      <c r="E2" s="26"/>
      <c r="F2" s="26"/>
    </row>
    <row r="3" spans="1:6" ht="15.75">
      <c r="A3" s="551" t="s">
        <v>343</v>
      </c>
      <c r="B3" s="551"/>
      <c r="C3" s="551"/>
      <c r="D3" s="551"/>
      <c r="E3" s="551"/>
      <c r="F3" s="551"/>
    </row>
    <row r="4" spans="1:6" ht="15.75">
      <c r="A4" s="551" t="s">
        <v>314</v>
      </c>
      <c r="B4" s="551"/>
      <c r="C4" s="551"/>
      <c r="D4" s="551"/>
      <c r="E4" s="551"/>
      <c r="F4" s="551"/>
    </row>
    <row r="5" spans="1:6" ht="15.75">
      <c r="A5" s="551" t="s">
        <v>389</v>
      </c>
      <c r="B5" s="551"/>
      <c r="C5" s="551"/>
      <c r="D5" s="551"/>
      <c r="E5" s="551"/>
      <c r="F5" s="551"/>
    </row>
    <row r="6" spans="1:6" ht="16.5" thickBot="1">
      <c r="A6" s="26"/>
      <c r="B6" s="26"/>
      <c r="C6" s="53"/>
      <c r="D6" s="192"/>
      <c r="E6" s="53"/>
      <c r="F6" s="192" t="s">
        <v>4</v>
      </c>
    </row>
    <row r="7" spans="1:6" ht="15.75">
      <c r="A7" s="193" t="s">
        <v>25</v>
      </c>
      <c r="B7" s="640" t="s">
        <v>315</v>
      </c>
      <c r="C7" s="643" t="s">
        <v>316</v>
      </c>
      <c r="D7" s="644"/>
      <c r="E7" s="644"/>
      <c r="F7" s="640" t="s">
        <v>227</v>
      </c>
    </row>
    <row r="8" spans="1:6" ht="16.5" thickBot="1">
      <c r="A8" s="194"/>
      <c r="B8" s="641"/>
      <c r="C8" s="645"/>
      <c r="D8" s="646"/>
      <c r="E8" s="646"/>
      <c r="F8" s="641"/>
    </row>
    <row r="9" spans="1:6" ht="16.5" thickBot="1">
      <c r="A9" s="194"/>
      <c r="B9" s="641"/>
      <c r="C9" s="195" t="s">
        <v>272</v>
      </c>
      <c r="D9" s="195" t="s">
        <v>273</v>
      </c>
      <c r="E9" s="195" t="s">
        <v>390</v>
      </c>
      <c r="F9" s="641"/>
    </row>
    <row r="10" spans="1:6" ht="16.5" thickBot="1">
      <c r="A10" s="196" t="s">
        <v>26</v>
      </c>
      <c r="B10" s="642"/>
      <c r="C10" s="647" t="s">
        <v>317</v>
      </c>
      <c r="D10" s="648"/>
      <c r="E10" s="648"/>
      <c r="F10" s="642"/>
    </row>
    <row r="11" spans="1:6" ht="15.75">
      <c r="A11" s="191" t="s">
        <v>27</v>
      </c>
      <c r="B11" s="221" t="s">
        <v>323</v>
      </c>
      <c r="C11" s="197">
        <v>1450</v>
      </c>
      <c r="D11" s="197">
        <v>1450</v>
      </c>
      <c r="E11" s="197">
        <v>1450</v>
      </c>
      <c r="F11" s="197">
        <f>SUM(C11:E11)</f>
        <v>4350</v>
      </c>
    </row>
    <row r="12" spans="1:6" ht="31.5">
      <c r="A12" s="191" t="s">
        <v>21</v>
      </c>
      <c r="B12" s="222" t="s">
        <v>324</v>
      </c>
      <c r="C12" s="198"/>
      <c r="D12" s="198"/>
      <c r="E12" s="198"/>
      <c r="F12" s="197">
        <f>SUM(C12:E12)</f>
        <v>0</v>
      </c>
    </row>
    <row r="13" spans="1:2" s="169" customFormat="1" ht="15.75">
      <c r="A13" s="191" t="s">
        <v>28</v>
      </c>
      <c r="B13" s="221" t="s">
        <v>325</v>
      </c>
    </row>
    <row r="14" spans="1:6" s="169" customFormat="1" ht="31.5">
      <c r="A14" s="191" t="s">
        <v>68</v>
      </c>
      <c r="B14" s="222" t="s">
        <v>326</v>
      </c>
      <c r="C14" s="199"/>
      <c r="D14" s="199"/>
      <c r="E14" s="199"/>
      <c r="F14" s="197">
        <f>SUM(C14:E14)</f>
        <v>0</v>
      </c>
    </row>
    <row r="15" spans="1:6" s="169" customFormat="1" ht="15.75">
      <c r="A15" s="191" t="s">
        <v>69</v>
      </c>
      <c r="B15" s="221" t="s">
        <v>318</v>
      </c>
      <c r="C15" s="199">
        <v>40</v>
      </c>
      <c r="D15" s="199">
        <v>40</v>
      </c>
      <c r="E15" s="199">
        <v>40</v>
      </c>
      <c r="F15" s="197">
        <f>SUM(C15:E15)</f>
        <v>120</v>
      </c>
    </row>
    <row r="16" spans="1:6" s="169" customFormat="1" ht="15.75">
      <c r="A16" s="191" t="s">
        <v>74</v>
      </c>
      <c r="B16" s="221" t="s">
        <v>327</v>
      </c>
      <c r="C16" s="200"/>
      <c r="D16" s="200"/>
      <c r="E16" s="200"/>
      <c r="F16" s="200"/>
    </row>
    <row r="17" spans="1:6" s="204" customFormat="1" ht="15.75">
      <c r="A17" s="191" t="s">
        <v>175</v>
      </c>
      <c r="B17" s="202" t="s">
        <v>319</v>
      </c>
      <c r="C17" s="203">
        <f>SUM(C11:C16)</f>
        <v>1490</v>
      </c>
      <c r="D17" s="203">
        <f>SUM(D11:D16)</f>
        <v>1490</v>
      </c>
      <c r="E17" s="203">
        <f>SUM(E11:E16)</f>
        <v>1490</v>
      </c>
      <c r="F17" s="203">
        <f>SUM(F11:F16)</f>
        <v>4470</v>
      </c>
    </row>
    <row r="18" spans="1:6" s="209" customFormat="1" ht="18.75">
      <c r="A18" s="205" t="s">
        <v>177</v>
      </c>
      <c r="B18" s="206" t="s">
        <v>320</v>
      </c>
      <c r="C18" s="207">
        <f>C17*0.5</f>
        <v>745</v>
      </c>
      <c r="D18" s="207">
        <f>D17*0.5</f>
        <v>745</v>
      </c>
      <c r="E18" s="207">
        <f>E17*0.5</f>
        <v>745</v>
      </c>
      <c r="F18" s="208">
        <f>SUM(C18:E18)</f>
        <v>2235</v>
      </c>
    </row>
    <row r="19" spans="1:6" s="169" customFormat="1" ht="31.5">
      <c r="A19" s="210" t="s">
        <v>179</v>
      </c>
      <c r="B19" s="222" t="s">
        <v>328</v>
      </c>
      <c r="C19" s="199"/>
      <c r="D19" s="199"/>
      <c r="E19" s="199"/>
      <c r="F19" s="199">
        <f>SUM(C19:E19)</f>
        <v>0</v>
      </c>
    </row>
    <row r="20" spans="1:6" s="169" customFormat="1" ht="31.5">
      <c r="A20" s="210" t="s">
        <v>185</v>
      </c>
      <c r="B20" s="222" t="s">
        <v>329</v>
      </c>
      <c r="C20" s="199"/>
      <c r="D20" s="199"/>
      <c r="E20" s="199"/>
      <c r="F20" s="199">
        <f>SUM(C20:E20)</f>
        <v>0</v>
      </c>
    </row>
    <row r="21" spans="1:6" s="169" customFormat="1" ht="15.75">
      <c r="A21" s="210" t="s">
        <v>187</v>
      </c>
      <c r="B21" s="221" t="s">
        <v>330</v>
      </c>
      <c r="C21" s="199"/>
      <c r="D21" s="199"/>
      <c r="E21" s="199"/>
      <c r="F21" s="199"/>
    </row>
    <row r="22" spans="1:6" s="169" customFormat="1" ht="31.5">
      <c r="A22" s="210" t="s">
        <v>189</v>
      </c>
      <c r="B22" s="211" t="s">
        <v>331</v>
      </c>
      <c r="C22" s="199"/>
      <c r="D22" s="199"/>
      <c r="E22" s="199"/>
      <c r="F22" s="199"/>
    </row>
    <row r="23" spans="1:6" s="169" customFormat="1" ht="47.25">
      <c r="A23" s="210" t="s">
        <v>194</v>
      </c>
      <c r="B23" s="211" t="s">
        <v>369</v>
      </c>
      <c r="C23" s="199"/>
      <c r="D23" s="199"/>
      <c r="E23" s="199"/>
      <c r="F23" s="199"/>
    </row>
    <row r="24" spans="1:6" s="169" customFormat="1" ht="31.5">
      <c r="A24" s="210" t="s">
        <v>196</v>
      </c>
      <c r="B24" s="211" t="s">
        <v>332</v>
      </c>
      <c r="C24" s="199"/>
      <c r="D24" s="199"/>
      <c r="E24" s="199"/>
      <c r="F24" s="199"/>
    </row>
    <row r="25" spans="1:6" s="169" customFormat="1" ht="31.5">
      <c r="A25" s="210" t="s">
        <v>198</v>
      </c>
      <c r="B25" s="211" t="s">
        <v>333</v>
      </c>
      <c r="C25" s="212"/>
      <c r="D25" s="212"/>
      <c r="E25" s="212"/>
      <c r="F25" s="212"/>
    </row>
    <row r="26" spans="1:6" s="204" customFormat="1" ht="15.75">
      <c r="A26" s="201" t="s">
        <v>206</v>
      </c>
      <c r="B26" s="213" t="s">
        <v>321</v>
      </c>
      <c r="C26" s="214">
        <f>SUM(C19:C24)</f>
        <v>0</v>
      </c>
      <c r="D26" s="214">
        <f>SUM(D19:D24)</f>
        <v>0</v>
      </c>
      <c r="E26" s="214">
        <f>SUM(E19:E24)</f>
        <v>0</v>
      </c>
      <c r="F26" s="214">
        <f>SUM(F19:F24)</f>
        <v>0</v>
      </c>
    </row>
    <row r="27" spans="1:6" s="217" customFormat="1" ht="37.5">
      <c r="A27" s="205" t="s">
        <v>209</v>
      </c>
      <c r="B27" s="215" t="s">
        <v>322</v>
      </c>
      <c r="C27" s="216">
        <f>C18-C26</f>
        <v>745</v>
      </c>
      <c r="D27" s="216">
        <f>D18-D26</f>
        <v>745</v>
      </c>
      <c r="E27" s="216">
        <f>E18-E26</f>
        <v>745</v>
      </c>
      <c r="F27" s="216">
        <f>SUM(C27:E27)</f>
        <v>2235</v>
      </c>
    </row>
    <row r="28" spans="1:6" s="169" customFormat="1" ht="15.75">
      <c r="A28" s="218"/>
      <c r="B28" s="219"/>
      <c r="C28" s="199"/>
      <c r="D28" s="199"/>
      <c r="E28" s="199"/>
      <c r="F28" s="199"/>
    </row>
    <row r="29" spans="1:7" s="169" customFormat="1" ht="15.75">
      <c r="A29" s="218"/>
      <c r="B29" s="219"/>
      <c r="C29" s="199"/>
      <c r="D29" s="199"/>
      <c r="E29" s="199"/>
      <c r="F29" s="199"/>
      <c r="G29" s="199"/>
    </row>
    <row r="30" spans="1:6" s="169" customFormat="1" ht="15.75">
      <c r="A30" s="219"/>
      <c r="B30" s="219"/>
      <c r="C30" s="199"/>
      <c r="D30" s="199"/>
      <c r="E30" s="199"/>
      <c r="F30" s="199"/>
    </row>
    <row r="31" spans="1:6" s="169" customFormat="1" ht="15.75">
      <c r="A31" s="219"/>
      <c r="B31" s="219"/>
      <c r="C31" s="199"/>
      <c r="D31" s="199"/>
      <c r="E31" s="199"/>
      <c r="F31" s="199"/>
    </row>
    <row r="32" spans="1:6" s="169" customFormat="1" ht="15.75">
      <c r="A32" s="219"/>
      <c r="B32" s="219"/>
      <c r="C32" s="199"/>
      <c r="D32" s="199"/>
      <c r="E32" s="199"/>
      <c r="F32" s="199"/>
    </row>
    <row r="33" spans="1:6" s="169" customFormat="1" ht="15.75">
      <c r="A33" s="219"/>
      <c r="B33" s="220"/>
      <c r="C33" s="199"/>
      <c r="D33" s="199"/>
      <c r="E33" s="199"/>
      <c r="F33" s="199"/>
    </row>
    <row r="34" spans="1:6" s="169" customFormat="1" ht="15.75">
      <c r="A34" s="219"/>
      <c r="B34" s="219"/>
      <c r="C34" s="199"/>
      <c r="D34" s="199"/>
      <c r="E34" s="199"/>
      <c r="F34" s="199"/>
    </row>
    <row r="35" spans="1:6" s="169" customFormat="1" ht="15.75">
      <c r="A35" s="219"/>
      <c r="B35" s="219"/>
      <c r="C35" s="199"/>
      <c r="D35" s="199"/>
      <c r="E35" s="199"/>
      <c r="F35" s="199"/>
    </row>
  </sheetData>
  <sheetProtection/>
  <mergeCells count="8">
    <mergeCell ref="C1:F1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64.625" style="2" customWidth="1"/>
    <col min="2" max="2" width="14.875" style="244" customWidth="1"/>
    <col min="3" max="3" width="4.875" style="2" customWidth="1"/>
    <col min="4" max="4" width="15.00390625" style="244" customWidth="1"/>
    <col min="5" max="5" width="5.25390625" style="2" customWidth="1"/>
    <col min="6" max="6" width="9.125" style="2" customWidth="1"/>
    <col min="7" max="7" width="14.25390625" style="2" bestFit="1" customWidth="1"/>
    <col min="8" max="16384" width="9.125" style="2" customWidth="1"/>
  </cols>
  <sheetData>
    <row r="1" spans="1:5" ht="15">
      <c r="A1" s="400"/>
      <c r="B1" s="400"/>
      <c r="C1" s="400"/>
      <c r="D1" s="400"/>
      <c r="E1" s="400"/>
    </row>
    <row r="2" spans="1:5" ht="15">
      <c r="A2" s="403" t="s">
        <v>443</v>
      </c>
      <c r="B2" s="403"/>
      <c r="C2" s="403"/>
      <c r="D2" s="403"/>
      <c r="E2" s="403"/>
    </row>
    <row r="3" spans="1:5" s="53" customFormat="1" ht="15.75">
      <c r="A3" s="402"/>
      <c r="B3" s="402"/>
      <c r="C3" s="402"/>
      <c r="D3" s="402"/>
      <c r="E3" s="402"/>
    </row>
    <row r="4" spans="1:5" s="53" customFormat="1" ht="15.75">
      <c r="A4" s="401" t="s">
        <v>342</v>
      </c>
      <c r="B4" s="401"/>
      <c r="C4" s="401"/>
      <c r="D4" s="401"/>
      <c r="E4" s="401"/>
    </row>
    <row r="5" spans="1:5" ht="15.75">
      <c r="A5" s="401" t="s">
        <v>100</v>
      </c>
      <c r="B5" s="401"/>
      <c r="C5" s="401"/>
      <c r="D5" s="401"/>
      <c r="E5" s="401"/>
    </row>
    <row r="6" spans="1:5" ht="12.75" customHeight="1">
      <c r="A6" s="398" t="s">
        <v>394</v>
      </c>
      <c r="B6" s="398"/>
      <c r="C6" s="398"/>
      <c r="D6" s="398"/>
      <c r="E6" s="398"/>
    </row>
    <row r="7" spans="1:5" s="1" customFormat="1" ht="14.25">
      <c r="A7" s="398"/>
      <c r="B7" s="399"/>
      <c r="C7" s="399"/>
      <c r="D7" s="399"/>
      <c r="E7" s="399"/>
    </row>
    <row r="8" spans="1:4" s="1" customFormat="1" ht="18.75">
      <c r="A8" s="90" t="s">
        <v>101</v>
      </c>
      <c r="B8" s="247"/>
      <c r="D8" s="91"/>
    </row>
    <row r="9" spans="1:5" ht="15.75">
      <c r="A9" s="5" t="s">
        <v>102</v>
      </c>
      <c r="B9" s="247"/>
      <c r="C9" s="1"/>
      <c r="D9" s="319">
        <f>B10+B11</f>
        <v>20356722</v>
      </c>
      <c r="E9" s="1" t="s">
        <v>424</v>
      </c>
    </row>
    <row r="10" spans="1:7" ht="15.75">
      <c r="A10" s="92" t="s">
        <v>103</v>
      </c>
      <c r="B10" s="320">
        <f>'2.mell - bevétel'!H62</f>
        <v>16703568</v>
      </c>
      <c r="C10" s="2" t="s">
        <v>424</v>
      </c>
      <c r="D10" s="319"/>
      <c r="G10" s="69"/>
    </row>
    <row r="11" spans="1:5" s="1" customFormat="1" ht="30.75" customHeight="1">
      <c r="A11" s="92" t="s">
        <v>104</v>
      </c>
      <c r="B11" s="320">
        <f>'2.mell - bevétel'!H71</f>
        <v>3653154</v>
      </c>
      <c r="C11" s="2" t="s">
        <v>424</v>
      </c>
      <c r="D11" s="319"/>
      <c r="E11" s="2"/>
    </row>
    <row r="12" spans="1:4" s="1" customFormat="1" ht="12" customHeight="1">
      <c r="A12" s="5"/>
      <c r="B12" s="320"/>
      <c r="D12" s="319"/>
    </row>
    <row r="13" spans="1:5" s="1" customFormat="1" ht="15.75">
      <c r="A13" s="5" t="s">
        <v>105</v>
      </c>
      <c r="B13" s="320"/>
      <c r="D13" s="319"/>
      <c r="E13" s="1" t="s">
        <v>424</v>
      </c>
    </row>
    <row r="14" spans="1:4" s="1" customFormat="1" ht="15.75">
      <c r="A14" s="5"/>
      <c r="B14" s="320"/>
      <c r="D14" s="319"/>
    </row>
    <row r="15" spans="1:5" s="1" customFormat="1" ht="15.75">
      <c r="A15" s="5" t="s">
        <v>77</v>
      </c>
      <c r="B15" s="320"/>
      <c r="D15" s="319">
        <f>'2.mell - bevétel'!H85</f>
        <v>1495000</v>
      </c>
      <c r="E15" s="1" t="s">
        <v>424</v>
      </c>
    </row>
    <row r="16" spans="1:7" s="1" customFormat="1" ht="15.75">
      <c r="A16" s="5"/>
      <c r="B16" s="320"/>
      <c r="D16" s="319"/>
      <c r="G16" s="70"/>
    </row>
    <row r="17" spans="1:5" s="1" customFormat="1" ht="15.75">
      <c r="A17" s="5" t="s">
        <v>37</v>
      </c>
      <c r="B17" s="320"/>
      <c r="D17" s="319">
        <f>'2.mell - bevétel'!H96</f>
        <v>515000</v>
      </c>
      <c r="E17" s="1" t="s">
        <v>424</v>
      </c>
    </row>
    <row r="18" spans="1:4" s="1" customFormat="1" ht="12" customHeight="1">
      <c r="A18" s="7"/>
      <c r="B18" s="323"/>
      <c r="D18" s="319"/>
    </row>
    <row r="19" spans="1:5" s="1" customFormat="1" ht="15.75">
      <c r="A19" s="5" t="s">
        <v>106</v>
      </c>
      <c r="B19" s="320"/>
      <c r="D19" s="328">
        <f>B21</f>
        <v>1800000</v>
      </c>
      <c r="E19" s="1" t="s">
        <v>424</v>
      </c>
    </row>
    <row r="20" spans="1:4" s="1" customFormat="1" ht="15.75">
      <c r="A20" s="21" t="s">
        <v>402</v>
      </c>
      <c r="B20" s="320"/>
      <c r="D20" s="327"/>
    </row>
    <row r="21" spans="1:4" s="1" customFormat="1" ht="15.75">
      <c r="A21" s="21" t="s">
        <v>403</v>
      </c>
      <c r="B21" s="320">
        <v>1800000</v>
      </c>
      <c r="C21" s="1" t="s">
        <v>424</v>
      </c>
      <c r="D21" s="327"/>
    </row>
    <row r="22" spans="1:4" s="1" customFormat="1" ht="10.5" customHeight="1">
      <c r="A22" s="7"/>
      <c r="B22" s="320"/>
      <c r="D22" s="319"/>
    </row>
    <row r="23" spans="1:5" s="1" customFormat="1" ht="15.75">
      <c r="A23" s="5" t="s">
        <v>107</v>
      </c>
      <c r="B23" s="326"/>
      <c r="D23" s="319"/>
      <c r="E23" s="1" t="s">
        <v>424</v>
      </c>
    </row>
    <row r="24" spans="1:7" s="4" customFormat="1" ht="32.25">
      <c r="A24" s="92" t="s">
        <v>108</v>
      </c>
      <c r="B24" s="323"/>
      <c r="C24" s="1" t="s">
        <v>424</v>
      </c>
      <c r="D24" s="319"/>
      <c r="E24" s="1"/>
      <c r="F24" s="1"/>
      <c r="G24" s="71"/>
    </row>
    <row r="25" spans="1:7" ht="18.75">
      <c r="A25" s="53" t="s">
        <v>109</v>
      </c>
      <c r="B25" s="320"/>
      <c r="C25" s="1" t="s">
        <v>424</v>
      </c>
      <c r="D25" s="319"/>
      <c r="E25" s="1"/>
      <c r="F25" s="4"/>
      <c r="G25" s="72"/>
    </row>
    <row r="26" spans="1:5" s="1" customFormat="1" ht="15.75">
      <c r="A26" s="5" t="s">
        <v>88</v>
      </c>
      <c r="B26" s="320"/>
      <c r="D26" s="319"/>
      <c r="E26" s="1" t="s">
        <v>424</v>
      </c>
    </row>
    <row r="27" spans="1:4" s="1" customFormat="1" ht="31.5">
      <c r="A27" s="92" t="s">
        <v>110</v>
      </c>
      <c r="B27" s="320"/>
      <c r="C27" s="1" t="s">
        <v>424</v>
      </c>
      <c r="D27" s="319"/>
    </row>
    <row r="28" spans="1:4" s="1" customFormat="1" ht="15.75">
      <c r="A28" s="53" t="s">
        <v>111</v>
      </c>
      <c r="B28" s="320"/>
      <c r="C28" s="1" t="s">
        <v>424</v>
      </c>
      <c r="D28" s="319"/>
    </row>
    <row r="29" spans="1:4" s="1" customFormat="1" ht="15.75">
      <c r="A29" s="59"/>
      <c r="B29" s="326"/>
      <c r="D29" s="16"/>
    </row>
    <row r="30" spans="1:5" s="1" customFormat="1" ht="15.75">
      <c r="A30" s="5" t="s">
        <v>29</v>
      </c>
      <c r="B30" s="326"/>
      <c r="D30" s="16">
        <f>SUM(D9:D29)</f>
        <v>24166722</v>
      </c>
      <c r="E30" s="1" t="s">
        <v>424</v>
      </c>
    </row>
    <row r="31" spans="1:4" s="1" customFormat="1" ht="9.75" customHeight="1">
      <c r="A31" s="53"/>
      <c r="B31" s="326"/>
      <c r="D31" s="16"/>
    </row>
    <row r="32" spans="1:4" s="1" customFormat="1" ht="18.75">
      <c r="A32" s="90" t="s">
        <v>112</v>
      </c>
      <c r="B32" s="326"/>
      <c r="D32" s="16"/>
    </row>
    <row r="33" spans="1:5" s="1" customFormat="1" ht="15.75">
      <c r="A33" s="8" t="s">
        <v>14</v>
      </c>
      <c r="B33" s="320"/>
      <c r="D33" s="319">
        <f>B35+B36+B37+B38+B39</f>
        <v>24240768</v>
      </c>
      <c r="E33" s="1" t="s">
        <v>424</v>
      </c>
    </row>
    <row r="34" spans="1:4" s="1" customFormat="1" ht="15.75">
      <c r="A34" s="7" t="s">
        <v>13</v>
      </c>
      <c r="B34" s="320"/>
      <c r="D34" s="319"/>
    </row>
    <row r="35" spans="1:4" s="1" customFormat="1" ht="15.75">
      <c r="A35" s="53" t="s">
        <v>113</v>
      </c>
      <c r="B35" s="320">
        <f>'4.mell. - kiadás'!D30</f>
        <v>7111939</v>
      </c>
      <c r="C35" s="1" t="s">
        <v>424</v>
      </c>
      <c r="D35" s="319"/>
    </row>
    <row r="36" spans="1:4" s="1" customFormat="1" ht="15.75">
      <c r="A36" s="53" t="s">
        <v>114</v>
      </c>
      <c r="B36" s="320">
        <f>'4.mell. - kiadás'!E30</f>
        <v>1846882</v>
      </c>
      <c r="C36" s="1" t="s">
        <v>424</v>
      </c>
      <c r="D36" s="319"/>
    </row>
    <row r="37" spans="1:4" s="1" customFormat="1" ht="15.75">
      <c r="A37" s="53" t="s">
        <v>115</v>
      </c>
      <c r="B37" s="320">
        <f>'4.mell. - kiadás'!F30</f>
        <v>10628634</v>
      </c>
      <c r="C37" s="1" t="s">
        <v>424</v>
      </c>
      <c r="D37" s="319"/>
    </row>
    <row r="38" spans="1:4" s="1" customFormat="1" ht="15.75">
      <c r="A38" s="93" t="s">
        <v>116</v>
      </c>
      <c r="B38" s="320">
        <f>'4.mell. - kiadás'!G30</f>
        <v>863000</v>
      </c>
      <c r="C38" s="1" t="s">
        <v>424</v>
      </c>
      <c r="D38" s="319"/>
    </row>
    <row r="39" spans="1:4" s="1" customFormat="1" ht="15.75">
      <c r="A39" s="232" t="s">
        <v>47</v>
      </c>
      <c r="B39" s="320">
        <f>'4.mell. - kiadás'!H30</f>
        <v>3790313</v>
      </c>
      <c r="C39" s="1" t="s">
        <v>424</v>
      </c>
      <c r="D39" s="319"/>
    </row>
    <row r="40" spans="1:5" s="1" customFormat="1" ht="15.75">
      <c r="A40" s="8" t="s">
        <v>15</v>
      </c>
      <c r="B40" s="320"/>
      <c r="D40" s="325">
        <f>B42+B43+B44</f>
        <v>2747508</v>
      </c>
      <c r="E40" s="1" t="s">
        <v>424</v>
      </c>
    </row>
    <row r="41" spans="1:4" s="1" customFormat="1" ht="15.75">
      <c r="A41" s="7" t="s">
        <v>13</v>
      </c>
      <c r="B41" s="320"/>
      <c r="D41" s="324"/>
    </row>
    <row r="42" spans="1:4" s="1" customFormat="1" ht="15.75">
      <c r="A42" s="53" t="s">
        <v>117</v>
      </c>
      <c r="B42" s="323">
        <f>1016000+571500</f>
        <v>1587500</v>
      </c>
      <c r="C42" s="1" t="s">
        <v>424</v>
      </c>
      <c r="D42" s="324"/>
    </row>
    <row r="43" spans="1:4" s="1" customFormat="1" ht="15.75">
      <c r="A43" s="53" t="s">
        <v>118</v>
      </c>
      <c r="B43" s="323">
        <f>1160000+8</f>
        <v>1160008</v>
      </c>
      <c r="C43" s="1" t="s">
        <v>424</v>
      </c>
      <c r="D43" s="324"/>
    </row>
    <row r="44" spans="1:6" ht="15.75">
      <c r="A44" s="53" t="s">
        <v>48</v>
      </c>
      <c r="B44" s="323"/>
      <c r="C44" s="1" t="s">
        <v>424</v>
      </c>
      <c r="D44" s="324"/>
      <c r="E44" s="1"/>
      <c r="F44" s="1"/>
    </row>
    <row r="45" spans="1:4" s="1" customFormat="1" ht="15.75">
      <c r="A45" s="53"/>
      <c r="B45" s="323"/>
      <c r="D45" s="324"/>
    </row>
    <row r="46" spans="1:5" s="1" customFormat="1" ht="15.75">
      <c r="A46" s="53" t="s">
        <v>119</v>
      </c>
      <c r="B46" s="323"/>
      <c r="D46" s="319">
        <f>B47</f>
        <v>913446</v>
      </c>
      <c r="E46" s="1" t="s">
        <v>424</v>
      </c>
    </row>
    <row r="47" spans="1:4" s="1" customFormat="1" ht="15.75">
      <c r="A47" s="53" t="s">
        <v>401</v>
      </c>
      <c r="B47" s="320">
        <v>913446</v>
      </c>
      <c r="C47" s="1" t="s">
        <v>424</v>
      </c>
      <c r="D47" s="324"/>
    </row>
    <row r="48" spans="1:6" s="4" customFormat="1" ht="18.75">
      <c r="A48" s="53" t="s">
        <v>120</v>
      </c>
      <c r="B48" s="320"/>
      <c r="C48" s="1" t="s">
        <v>424</v>
      </c>
      <c r="D48" s="324"/>
      <c r="E48" s="1"/>
      <c r="F48" s="2"/>
    </row>
    <row r="49" spans="1:6" ht="15.75">
      <c r="A49" s="53"/>
      <c r="B49" s="323"/>
      <c r="C49" s="1"/>
      <c r="D49" s="324"/>
      <c r="E49" s="1"/>
      <c r="F49" s="1"/>
    </row>
    <row r="50" spans="1:6" ht="15.75">
      <c r="A50" s="5" t="s">
        <v>30</v>
      </c>
      <c r="B50" s="323"/>
      <c r="C50" s="1"/>
      <c r="D50" s="319">
        <f>SUM(D33:D49)</f>
        <v>27901722</v>
      </c>
      <c r="E50" s="2" t="s">
        <v>424</v>
      </c>
      <c r="F50" s="1"/>
    </row>
    <row r="51" spans="1:6" ht="8.25" customHeight="1">
      <c r="A51" s="53"/>
      <c r="B51" s="320"/>
      <c r="C51" s="1"/>
      <c r="D51" s="322"/>
      <c r="E51" s="1"/>
      <c r="F51" s="1"/>
    </row>
    <row r="52" spans="1:6" ht="18.75">
      <c r="A52" s="5" t="s">
        <v>31</v>
      </c>
      <c r="B52" s="320"/>
      <c r="C52" s="1"/>
      <c r="D52" s="319">
        <f>D30-D50</f>
        <v>-3735000</v>
      </c>
      <c r="E52" s="2" t="s">
        <v>424</v>
      </c>
      <c r="F52" s="4"/>
    </row>
    <row r="53" spans="1:4" ht="9.75" customHeight="1">
      <c r="A53" s="53"/>
      <c r="B53" s="320"/>
      <c r="C53" s="1"/>
      <c r="D53" s="319"/>
    </row>
    <row r="54" spans="1:5" ht="32.25">
      <c r="A54" s="94" t="s">
        <v>466</v>
      </c>
      <c r="B54" s="321"/>
      <c r="C54" s="4"/>
      <c r="D54" s="319">
        <f>913446+2821554</f>
        <v>3735000</v>
      </c>
      <c r="E54" s="2" t="s">
        <v>424</v>
      </c>
    </row>
    <row r="55" spans="1:6" s="1" customFormat="1" ht="8.25" customHeight="1">
      <c r="A55" s="53"/>
      <c r="B55" s="320"/>
      <c r="C55" s="2"/>
      <c r="D55" s="319"/>
      <c r="E55" s="2"/>
      <c r="F55" s="2"/>
    </row>
    <row r="56" spans="1:5" ht="15.75">
      <c r="A56" s="5" t="s">
        <v>46</v>
      </c>
      <c r="B56" s="320"/>
      <c r="D56" s="319">
        <f>D52+D54</f>
        <v>0</v>
      </c>
      <c r="E56" s="2" t="s">
        <v>424</v>
      </c>
    </row>
    <row r="57" spans="1:4" s="1" customFormat="1" ht="10.5" customHeight="1">
      <c r="A57" s="3"/>
      <c r="B57" s="247"/>
      <c r="D57" s="246"/>
    </row>
    <row r="58" spans="1:5" ht="15.75">
      <c r="A58" s="3"/>
      <c r="B58" s="247"/>
      <c r="C58" s="1"/>
      <c r="D58" s="246"/>
      <c r="E58" s="5"/>
    </row>
    <row r="59" spans="1:5" ht="15.75">
      <c r="A59" s="5"/>
      <c r="D59" s="245"/>
      <c r="E59" s="5"/>
    </row>
  </sheetData>
  <sheetProtection/>
  <mergeCells count="7">
    <mergeCell ref="A7:E7"/>
    <mergeCell ref="A1:E1"/>
    <mergeCell ref="A6:E6"/>
    <mergeCell ref="A4:E4"/>
    <mergeCell ref="A3:E3"/>
    <mergeCell ref="A5:E5"/>
    <mergeCell ref="A2:E2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4.25390625" style="58" customWidth="1"/>
    <col min="2" max="5" width="3.125" style="55" customWidth="1"/>
    <col min="6" max="6" width="52.125" style="7" customWidth="1"/>
    <col min="7" max="7" width="16.25390625" style="7" customWidth="1"/>
    <col min="8" max="8" width="17.125" style="7" customWidth="1"/>
    <col min="9" max="9" width="9.375" style="7" customWidth="1"/>
    <col min="10" max="16384" width="9.125" style="7" customWidth="1"/>
  </cols>
  <sheetData>
    <row r="1" spans="1:9" ht="15.75">
      <c r="A1" s="400"/>
      <c r="B1" s="411"/>
      <c r="C1" s="411"/>
      <c r="D1" s="411"/>
      <c r="E1" s="411"/>
      <c r="F1" s="411"/>
      <c r="G1" s="411"/>
      <c r="H1" s="411"/>
      <c r="I1" s="411"/>
    </row>
    <row r="2" spans="1:9" ht="15.75">
      <c r="A2" s="403" t="s">
        <v>444</v>
      </c>
      <c r="B2" s="409"/>
      <c r="C2" s="409"/>
      <c r="D2" s="409"/>
      <c r="E2" s="409"/>
      <c r="F2" s="409"/>
      <c r="G2" s="409"/>
      <c r="H2" s="409"/>
      <c r="I2" s="409"/>
    </row>
    <row r="3" spans="1:9" ht="15.75">
      <c r="A3" s="412"/>
      <c r="B3" s="412"/>
      <c r="C3" s="412"/>
      <c r="D3" s="412"/>
      <c r="E3" s="412"/>
      <c r="F3" s="412"/>
      <c r="G3" s="412"/>
      <c r="H3" s="412"/>
      <c r="I3" s="412"/>
    </row>
    <row r="4" spans="1:9" s="8" customFormat="1" ht="15.75">
      <c r="A4" s="412" t="s">
        <v>342</v>
      </c>
      <c r="B4" s="412"/>
      <c r="C4" s="412"/>
      <c r="D4" s="412"/>
      <c r="E4" s="412"/>
      <c r="F4" s="412"/>
      <c r="G4" s="412"/>
      <c r="H4" s="412"/>
      <c r="I4" s="412"/>
    </row>
    <row r="5" spans="1:9" s="8" customFormat="1" ht="15.75">
      <c r="A5" s="412" t="s">
        <v>344</v>
      </c>
      <c r="B5" s="412"/>
      <c r="C5" s="412"/>
      <c r="D5" s="412"/>
      <c r="E5" s="412"/>
      <c r="F5" s="412"/>
      <c r="G5" s="412"/>
      <c r="H5" s="412"/>
      <c r="I5" s="412"/>
    </row>
    <row r="6" spans="1:9" ht="15.75">
      <c r="A6" s="412" t="s">
        <v>376</v>
      </c>
      <c r="B6" s="412"/>
      <c r="C6" s="412"/>
      <c r="D6" s="412"/>
      <c r="E6" s="412"/>
      <c r="F6" s="412"/>
      <c r="G6" s="412"/>
      <c r="H6" s="412"/>
      <c r="I6" s="412"/>
    </row>
    <row r="7" ht="15.75" hidden="1"/>
    <row r="8" spans="1:10" ht="15.75">
      <c r="A8" s="412"/>
      <c r="B8" s="399"/>
      <c r="C8" s="399"/>
      <c r="D8" s="399"/>
      <c r="E8" s="399"/>
      <c r="F8" s="399"/>
      <c r="G8" s="399"/>
      <c r="H8" s="399"/>
      <c r="I8" s="399"/>
      <c r="J8" s="55"/>
    </row>
    <row r="9" spans="8:9" ht="16.5" thickBot="1">
      <c r="H9" s="60"/>
      <c r="I9" s="61" t="s">
        <v>429</v>
      </c>
    </row>
    <row r="10" spans="1:9" ht="15.75">
      <c r="A10" s="430" t="s">
        <v>18</v>
      </c>
      <c r="B10" s="431"/>
      <c r="C10" s="431"/>
      <c r="D10" s="431"/>
      <c r="E10" s="431"/>
      <c r="F10" s="432"/>
      <c r="G10" s="62" t="s">
        <v>16</v>
      </c>
      <c r="H10" s="62" t="s">
        <v>16</v>
      </c>
      <c r="I10" s="62" t="s">
        <v>17</v>
      </c>
    </row>
    <row r="11" spans="1:9" ht="15.75">
      <c r="A11" s="433"/>
      <c r="B11" s="434"/>
      <c r="C11" s="434"/>
      <c r="D11" s="434"/>
      <c r="E11" s="434"/>
      <c r="F11" s="435"/>
      <c r="G11" s="63" t="s">
        <v>7</v>
      </c>
      <c r="H11" s="63" t="s">
        <v>7</v>
      </c>
      <c r="I11" s="63"/>
    </row>
    <row r="12" spans="1:9" ht="16.5" thickBot="1">
      <c r="A12" s="436"/>
      <c r="B12" s="437"/>
      <c r="C12" s="437"/>
      <c r="D12" s="437"/>
      <c r="E12" s="437"/>
      <c r="F12" s="438"/>
      <c r="G12" s="64" t="s">
        <v>95</v>
      </c>
      <c r="H12" s="64" t="s">
        <v>376</v>
      </c>
      <c r="I12" s="64" t="s">
        <v>19</v>
      </c>
    </row>
    <row r="13" spans="1:9" ht="32.25" customHeight="1">
      <c r="A13" s="18" t="s">
        <v>32</v>
      </c>
      <c r="B13" s="404" t="s">
        <v>50</v>
      </c>
      <c r="C13" s="404"/>
      <c r="D13" s="404"/>
      <c r="E13" s="404"/>
      <c r="F13" s="404"/>
      <c r="G13" s="75"/>
      <c r="H13" s="255"/>
      <c r="I13" s="75"/>
    </row>
    <row r="14" spans="1:9" ht="15.75">
      <c r="A14" s="18"/>
      <c r="B14" s="18" t="s">
        <v>32</v>
      </c>
      <c r="C14" s="18" t="s">
        <v>51</v>
      </c>
      <c r="D14" s="18"/>
      <c r="E14" s="18"/>
      <c r="F14" s="18"/>
      <c r="G14" s="253"/>
      <c r="H14" s="253"/>
      <c r="I14" s="18"/>
    </row>
    <row r="15" spans="1:9" ht="15.75">
      <c r="A15" s="18"/>
      <c r="B15" s="18"/>
      <c r="C15" s="18" t="s">
        <v>27</v>
      </c>
      <c r="D15" s="404" t="s">
        <v>52</v>
      </c>
      <c r="E15" s="404"/>
      <c r="F15" s="404"/>
      <c r="G15" s="255"/>
      <c r="H15" s="255"/>
      <c r="I15" s="75"/>
    </row>
    <row r="16" spans="1:9" ht="15.75">
      <c r="A16" s="18"/>
      <c r="B16" s="18"/>
      <c r="C16" s="18"/>
      <c r="D16" s="18" t="s">
        <v>27</v>
      </c>
      <c r="E16" s="404" t="s">
        <v>53</v>
      </c>
      <c r="F16" s="404"/>
      <c r="G16" s="255"/>
      <c r="H16" s="255"/>
      <c r="I16" s="75"/>
    </row>
    <row r="17" spans="1:9" ht="15.75">
      <c r="A17" s="21"/>
      <c r="B17" s="21"/>
      <c r="C17" s="21"/>
      <c r="D17" s="21"/>
      <c r="E17" s="21" t="s">
        <v>38</v>
      </c>
      <c r="F17" s="21" t="s">
        <v>33</v>
      </c>
      <c r="G17" s="250"/>
      <c r="H17" s="250"/>
      <c r="I17" s="76"/>
    </row>
    <row r="18" spans="1:9" ht="15.75">
      <c r="A18" s="21"/>
      <c r="B18" s="21"/>
      <c r="C18" s="21"/>
      <c r="D18" s="21"/>
      <c r="E18" s="21"/>
      <c r="F18" s="21" t="s">
        <v>54</v>
      </c>
      <c r="G18" s="250"/>
      <c r="I18" s="76"/>
    </row>
    <row r="19" spans="1:9" ht="31.5">
      <c r="A19" s="21"/>
      <c r="B19" s="21"/>
      <c r="C19" s="21"/>
      <c r="D19" s="21"/>
      <c r="E19" s="21" t="s">
        <v>39</v>
      </c>
      <c r="F19" s="77" t="s">
        <v>34</v>
      </c>
      <c r="G19" s="252"/>
      <c r="I19" s="76"/>
    </row>
    <row r="20" spans="1:9" ht="31.5">
      <c r="A20" s="21"/>
      <c r="B20" s="21"/>
      <c r="C20" s="21"/>
      <c r="D20" s="21"/>
      <c r="E20" s="21" t="s">
        <v>55</v>
      </c>
      <c r="F20" s="77" t="s">
        <v>56</v>
      </c>
      <c r="G20" s="334">
        <v>1075000</v>
      </c>
      <c r="H20" s="347">
        <v>1074860</v>
      </c>
      <c r="I20" s="76">
        <f>H20/G20*100</f>
        <v>99.98697674418605</v>
      </c>
    </row>
    <row r="21" spans="1:9" ht="15.75">
      <c r="A21" s="21"/>
      <c r="B21" s="21"/>
      <c r="C21" s="21"/>
      <c r="D21" s="21"/>
      <c r="E21" s="21"/>
      <c r="F21" s="21" t="s">
        <v>54</v>
      </c>
      <c r="G21" s="334"/>
      <c r="H21" s="347"/>
      <c r="I21" s="76"/>
    </row>
    <row r="22" spans="1:9" ht="15.75">
      <c r="A22" s="21"/>
      <c r="B22" s="21"/>
      <c r="C22" s="21"/>
      <c r="D22" s="21"/>
      <c r="E22" s="21" t="s">
        <v>57</v>
      </c>
      <c r="F22" s="77" t="s">
        <v>58</v>
      </c>
      <c r="G22" s="334">
        <v>1024000</v>
      </c>
      <c r="H22" s="347">
        <v>1024000</v>
      </c>
      <c r="I22" s="76">
        <f>H22/G22*100</f>
        <v>100</v>
      </c>
    </row>
    <row r="23" spans="1:9" ht="15.75">
      <c r="A23" s="21"/>
      <c r="B23" s="21"/>
      <c r="C23" s="21"/>
      <c r="D23" s="21"/>
      <c r="E23" s="21"/>
      <c r="F23" s="21" t="s">
        <v>54</v>
      </c>
      <c r="G23" s="334"/>
      <c r="H23" s="347"/>
      <c r="I23" s="76"/>
    </row>
    <row r="24" spans="1:9" ht="21" customHeight="1">
      <c r="A24" s="21"/>
      <c r="B24" s="21"/>
      <c r="C24" s="21"/>
      <c r="D24" s="21"/>
      <c r="E24" s="21" t="s">
        <v>59</v>
      </c>
      <c r="F24" s="77" t="s">
        <v>60</v>
      </c>
      <c r="G24" s="334">
        <v>100000</v>
      </c>
      <c r="H24" s="347">
        <v>100000</v>
      </c>
      <c r="I24" s="76">
        <f>H24/G24*100</f>
        <v>100</v>
      </c>
    </row>
    <row r="25" spans="1:9" ht="15.75">
      <c r="A25" s="21"/>
      <c r="B25" s="21"/>
      <c r="C25" s="21"/>
      <c r="D25" s="21"/>
      <c r="E25" s="21"/>
      <c r="F25" s="21" t="s">
        <v>54</v>
      </c>
      <c r="G25" s="334"/>
      <c r="H25" s="347"/>
      <c r="I25" s="76"/>
    </row>
    <row r="26" spans="1:9" ht="15.75">
      <c r="A26" s="21"/>
      <c r="B26" s="21"/>
      <c r="C26" s="21"/>
      <c r="D26" s="21"/>
      <c r="E26" s="21" t="s">
        <v>61</v>
      </c>
      <c r="F26" s="77" t="s">
        <v>62</v>
      </c>
      <c r="G26" s="334">
        <v>692000</v>
      </c>
      <c r="H26" s="347">
        <v>692350</v>
      </c>
      <c r="I26" s="76">
        <f>H26/G26*100</f>
        <v>100.05057803468209</v>
      </c>
    </row>
    <row r="27" spans="1:9" s="54" customFormat="1" ht="15.75">
      <c r="A27" s="21"/>
      <c r="B27" s="21"/>
      <c r="C27" s="21"/>
      <c r="D27" s="21"/>
      <c r="E27" s="21"/>
      <c r="F27" s="21" t="s">
        <v>54</v>
      </c>
      <c r="G27" s="334"/>
      <c r="H27" s="349"/>
      <c r="I27" s="76"/>
    </row>
    <row r="28" spans="1:9" ht="15.75">
      <c r="A28" s="21"/>
      <c r="B28" s="21"/>
      <c r="C28" s="21"/>
      <c r="D28" s="21" t="s">
        <v>40</v>
      </c>
      <c r="E28" s="21" t="s">
        <v>63</v>
      </c>
      <c r="F28" s="21"/>
      <c r="G28" s="334">
        <v>4000000</v>
      </c>
      <c r="H28" s="347">
        <v>5000000</v>
      </c>
      <c r="I28" s="76">
        <f>H28/G28*100</f>
        <v>125</v>
      </c>
    </row>
    <row r="29" spans="1:9" ht="15.75">
      <c r="A29" s="21"/>
      <c r="B29" s="21"/>
      <c r="C29" s="21"/>
      <c r="D29" s="21"/>
      <c r="E29" s="21"/>
      <c r="F29" s="21" t="s">
        <v>54</v>
      </c>
      <c r="G29" s="334"/>
      <c r="H29" s="347"/>
      <c r="I29" s="76"/>
    </row>
    <row r="30" spans="1:9" ht="15.75">
      <c r="A30" s="21"/>
      <c r="B30" s="21"/>
      <c r="C30" s="21"/>
      <c r="D30" s="21" t="s">
        <v>41</v>
      </c>
      <c r="E30" s="21" t="s">
        <v>96</v>
      </c>
      <c r="F30" s="21"/>
      <c r="G30" s="334">
        <v>61000</v>
      </c>
      <c r="H30" s="347">
        <v>66300</v>
      </c>
      <c r="I30" s="76">
        <f>H30/G30*100</f>
        <v>108.68852459016394</v>
      </c>
    </row>
    <row r="31" spans="1:9" ht="15.75">
      <c r="A31" s="21"/>
      <c r="B31" s="21"/>
      <c r="C31" s="21"/>
      <c r="D31" s="21" t="s">
        <v>97</v>
      </c>
      <c r="E31" s="21" t="s">
        <v>334</v>
      </c>
      <c r="F31" s="21"/>
      <c r="G31" s="334">
        <v>1738000</v>
      </c>
      <c r="H31" s="347">
        <f>1989378+397875</f>
        <v>2387253</v>
      </c>
      <c r="I31" s="76">
        <f>H31/G31*100</f>
        <v>137.35632911392406</v>
      </c>
    </row>
    <row r="32" spans="1:9" s="54" customFormat="1" ht="15.75">
      <c r="A32" s="21"/>
      <c r="B32" s="21"/>
      <c r="C32" s="21"/>
      <c r="D32" s="21" t="s">
        <v>21</v>
      </c>
      <c r="E32" s="21" t="s">
        <v>64</v>
      </c>
      <c r="F32" s="21"/>
      <c r="G32" s="334"/>
      <c r="H32" s="349"/>
      <c r="I32" s="76"/>
    </row>
    <row r="33" spans="1:9" ht="15.75">
      <c r="A33" s="21"/>
      <c r="B33" s="21"/>
      <c r="C33" s="21"/>
      <c r="D33" s="21"/>
      <c r="E33" s="21"/>
      <c r="F33" s="21" t="s">
        <v>54</v>
      </c>
      <c r="G33" s="334"/>
      <c r="H33" s="347"/>
      <c r="I33" s="76"/>
    </row>
    <row r="34" spans="1:9" ht="15.75">
      <c r="A34" s="21"/>
      <c r="B34" s="21"/>
      <c r="C34" s="21"/>
      <c r="D34" s="21"/>
      <c r="E34" s="21"/>
      <c r="F34" s="21"/>
      <c r="G34" s="334"/>
      <c r="H34" s="347"/>
      <c r="I34" s="76"/>
    </row>
    <row r="35" spans="1:9" ht="31.5" customHeight="1">
      <c r="A35" s="79"/>
      <c r="B35" s="79"/>
      <c r="C35" s="80"/>
      <c r="D35" s="406" t="s">
        <v>65</v>
      </c>
      <c r="E35" s="406"/>
      <c r="F35" s="406"/>
      <c r="G35" s="350">
        <f>SUM(G17:G34)</f>
        <v>8690000</v>
      </c>
      <c r="H35" s="350">
        <f>SUM(H17:H34)</f>
        <v>10344763</v>
      </c>
      <c r="I35" s="89">
        <f>H35/G35*100</f>
        <v>119.04215189873418</v>
      </c>
    </row>
    <row r="36" spans="1:9" s="54" customFormat="1" ht="15.75">
      <c r="A36" s="18"/>
      <c r="B36" s="18"/>
      <c r="C36" s="18"/>
      <c r="D36" s="74"/>
      <c r="E36" s="74"/>
      <c r="F36" s="74"/>
      <c r="G36" s="348"/>
      <c r="H36" s="349"/>
      <c r="I36" s="76"/>
    </row>
    <row r="37" spans="1:9" ht="33" customHeight="1">
      <c r="A37" s="21"/>
      <c r="B37" s="21"/>
      <c r="C37" s="18" t="s">
        <v>28</v>
      </c>
      <c r="D37" s="404" t="s">
        <v>66</v>
      </c>
      <c r="E37" s="404"/>
      <c r="F37" s="404"/>
      <c r="G37" s="348"/>
      <c r="H37" s="347"/>
      <c r="I37" s="76"/>
    </row>
    <row r="38" spans="1:9" ht="15.75">
      <c r="A38" s="21"/>
      <c r="B38" s="21"/>
      <c r="C38" s="21"/>
      <c r="D38" s="21" t="s">
        <v>27</v>
      </c>
      <c r="E38" s="21" t="s">
        <v>98</v>
      </c>
      <c r="F38" s="21"/>
      <c r="G38" s="334">
        <v>299000</v>
      </c>
      <c r="H38" s="334"/>
      <c r="I38" s="76"/>
    </row>
    <row r="39" spans="1:9" ht="30.75" customHeight="1">
      <c r="A39" s="21"/>
      <c r="B39" s="21"/>
      <c r="C39" s="21"/>
      <c r="D39" s="21" t="s">
        <v>21</v>
      </c>
      <c r="E39" s="405" t="s">
        <v>99</v>
      </c>
      <c r="F39" s="405"/>
      <c r="G39" s="334">
        <v>1092000</v>
      </c>
      <c r="H39" s="334">
        <v>2229720</v>
      </c>
      <c r="I39" s="76">
        <f>H39/G39*100</f>
        <v>204.1868131868132</v>
      </c>
    </row>
    <row r="40" spans="1:9" ht="15.75">
      <c r="A40" s="21"/>
      <c r="B40" s="21"/>
      <c r="C40" s="21"/>
      <c r="D40" s="21" t="s">
        <v>28</v>
      </c>
      <c r="E40" s="21" t="s">
        <v>67</v>
      </c>
      <c r="F40" s="21"/>
      <c r="G40" s="334">
        <v>2777</v>
      </c>
      <c r="H40" s="334"/>
      <c r="I40" s="76">
        <f>H40/G40*100</f>
        <v>0</v>
      </c>
    </row>
    <row r="41" spans="1:9" ht="15.75">
      <c r="A41" s="21"/>
      <c r="B41" s="21"/>
      <c r="C41" s="21"/>
      <c r="D41" s="21"/>
      <c r="E41" s="21" t="s">
        <v>377</v>
      </c>
      <c r="F41" s="21" t="s">
        <v>378</v>
      </c>
      <c r="G41" s="334"/>
      <c r="H41" s="334">
        <v>221440</v>
      </c>
      <c r="I41" s="76"/>
    </row>
    <row r="42" spans="1:9" ht="15.75">
      <c r="A42" s="21"/>
      <c r="B42" s="21"/>
      <c r="C42" s="21"/>
      <c r="D42" s="21"/>
      <c r="E42" s="21" t="s">
        <v>379</v>
      </c>
      <c r="F42" s="21" t="s">
        <v>380</v>
      </c>
      <c r="G42" s="334"/>
      <c r="H42" s="334">
        <v>2500000</v>
      </c>
      <c r="I42" s="76"/>
    </row>
    <row r="43" spans="1:9" ht="15.75">
      <c r="A43" s="21"/>
      <c r="B43" s="21"/>
      <c r="C43" s="21"/>
      <c r="D43" s="21" t="s">
        <v>428</v>
      </c>
      <c r="E43" s="21"/>
      <c r="F43" s="21" t="s">
        <v>339</v>
      </c>
      <c r="G43" s="334"/>
      <c r="H43" s="334">
        <f>67818+33909+33909</f>
        <v>135636</v>
      </c>
      <c r="I43" s="76"/>
    </row>
    <row r="44" spans="1:9" ht="33.75" customHeight="1">
      <c r="A44" s="79"/>
      <c r="B44" s="79"/>
      <c r="C44" s="406" t="s">
        <v>70</v>
      </c>
      <c r="D44" s="406"/>
      <c r="E44" s="406"/>
      <c r="F44" s="406"/>
      <c r="G44" s="346">
        <f>SUM(G38:G42)</f>
        <v>1393777</v>
      </c>
      <c r="H44" s="346">
        <f>SUM(H38:H43)</f>
        <v>5086796</v>
      </c>
      <c r="I44" s="89">
        <f>H44/G44*100</f>
        <v>364.9648401430071</v>
      </c>
    </row>
    <row r="45" spans="1:9" ht="10.5" customHeight="1">
      <c r="A45" s="79"/>
      <c r="B45" s="79"/>
      <c r="C45" s="223"/>
      <c r="D45" s="223"/>
      <c r="E45" s="223"/>
      <c r="F45" s="223"/>
      <c r="G45" s="254"/>
      <c r="H45" s="254"/>
      <c r="I45" s="89"/>
    </row>
    <row r="46" spans="1:9" ht="18" customHeight="1">
      <c r="A46" s="79"/>
      <c r="B46" s="79"/>
      <c r="C46" s="223"/>
      <c r="D46" s="223"/>
      <c r="E46" s="223"/>
      <c r="F46" s="223"/>
      <c r="G46" s="254"/>
      <c r="H46" s="254"/>
      <c r="I46" s="89"/>
    </row>
    <row r="47" spans="1:9" ht="27" customHeight="1">
      <c r="A47" s="79"/>
      <c r="B47" s="79"/>
      <c r="C47" s="223"/>
      <c r="D47" s="223"/>
      <c r="E47" s="223"/>
      <c r="F47" s="223"/>
      <c r="G47" s="254"/>
      <c r="H47" s="254"/>
      <c r="I47" s="89"/>
    </row>
    <row r="48" spans="1:9" ht="22.5" customHeight="1">
      <c r="A48" s="79"/>
      <c r="B48" s="79"/>
      <c r="C48" s="223"/>
      <c r="D48" s="223"/>
      <c r="E48" s="223"/>
      <c r="F48" s="223"/>
      <c r="G48" s="254"/>
      <c r="H48" s="254"/>
      <c r="I48" s="89"/>
    </row>
    <row r="49" spans="1:9" ht="35.25" customHeight="1">
      <c r="A49" s="79"/>
      <c r="B49" s="79"/>
      <c r="C49" s="223"/>
      <c r="D49" s="223"/>
      <c r="E49" s="223"/>
      <c r="F49" s="223"/>
      <c r="G49" s="254"/>
      <c r="H49" s="254"/>
      <c r="I49" s="89"/>
    </row>
    <row r="50" spans="1:9" ht="16.5" thickBot="1">
      <c r="A50" s="79"/>
      <c r="B50" s="79"/>
      <c r="C50" s="223"/>
      <c r="D50" s="223"/>
      <c r="E50" s="223"/>
      <c r="F50" s="223"/>
      <c r="G50" s="254"/>
      <c r="H50" s="254"/>
      <c r="I50" s="89"/>
    </row>
    <row r="51" spans="1:9" ht="15.75">
      <c r="A51" s="416" t="s">
        <v>18</v>
      </c>
      <c r="B51" s="417"/>
      <c r="C51" s="417"/>
      <c r="D51" s="417"/>
      <c r="E51" s="417"/>
      <c r="F51" s="418"/>
      <c r="G51" s="62" t="s">
        <v>16</v>
      </c>
      <c r="H51" s="62" t="s">
        <v>16</v>
      </c>
      <c r="I51" s="62" t="s">
        <v>17</v>
      </c>
    </row>
    <row r="52" spans="1:9" ht="15.75">
      <c r="A52" s="419"/>
      <c r="B52" s="420"/>
      <c r="C52" s="420"/>
      <c r="D52" s="420"/>
      <c r="E52" s="420"/>
      <c r="F52" s="421"/>
      <c r="G52" s="63" t="s">
        <v>7</v>
      </c>
      <c r="H52" s="63" t="s">
        <v>7</v>
      </c>
      <c r="I52" s="63"/>
    </row>
    <row r="53" spans="1:9" ht="16.5" thickBot="1">
      <c r="A53" s="422"/>
      <c r="B53" s="423"/>
      <c r="C53" s="423"/>
      <c r="D53" s="423"/>
      <c r="E53" s="423"/>
      <c r="F53" s="424"/>
      <c r="G53" s="64" t="s">
        <v>95</v>
      </c>
      <c r="H53" s="64" t="s">
        <v>376</v>
      </c>
      <c r="I53" s="64" t="s">
        <v>19</v>
      </c>
    </row>
    <row r="54" spans="1:9" ht="12" customHeight="1">
      <c r="A54" s="21"/>
      <c r="B54" s="21"/>
      <c r="C54" s="21"/>
      <c r="D54" s="21"/>
      <c r="E54" s="21"/>
      <c r="F54" s="21"/>
      <c r="G54" s="250"/>
      <c r="H54" s="250"/>
      <c r="I54" s="76"/>
    </row>
    <row r="55" spans="1:9" ht="31.5" customHeight="1">
      <c r="A55" s="21"/>
      <c r="B55" s="21"/>
      <c r="C55" s="18" t="s">
        <v>68</v>
      </c>
      <c r="D55" s="404" t="s">
        <v>71</v>
      </c>
      <c r="E55" s="404"/>
      <c r="F55" s="404"/>
      <c r="G55" s="255"/>
      <c r="H55" s="255"/>
      <c r="I55" s="75"/>
    </row>
    <row r="56" spans="1:9" ht="15.75">
      <c r="A56" s="21"/>
      <c r="B56" s="21"/>
      <c r="C56" s="21"/>
      <c r="D56" s="21" t="s">
        <v>27</v>
      </c>
      <c r="E56" s="405" t="s">
        <v>36</v>
      </c>
      <c r="F56" s="405"/>
      <c r="G56" s="252"/>
      <c r="H56" s="252"/>
      <c r="I56" s="77"/>
    </row>
    <row r="57" spans="1:9" ht="31.5">
      <c r="A57" s="21"/>
      <c r="B57" s="21"/>
      <c r="C57" s="21"/>
      <c r="D57" s="21"/>
      <c r="E57" s="21" t="s">
        <v>41</v>
      </c>
      <c r="F57" s="77" t="s">
        <v>72</v>
      </c>
      <c r="G57" s="344">
        <v>1200000</v>
      </c>
      <c r="H57" s="345">
        <v>1200000</v>
      </c>
      <c r="I57" s="76">
        <f>H57/G57*100</f>
        <v>100</v>
      </c>
    </row>
    <row r="58" spans="1:9" ht="12" customHeight="1">
      <c r="A58" s="21"/>
      <c r="B58" s="21"/>
      <c r="C58" s="21"/>
      <c r="D58" s="21"/>
      <c r="E58" s="21"/>
      <c r="F58" s="21"/>
      <c r="G58" s="344"/>
      <c r="H58" s="344"/>
      <c r="I58" s="76"/>
    </row>
    <row r="59" spans="1:9" ht="30" customHeight="1">
      <c r="A59" s="79"/>
      <c r="B59" s="79"/>
      <c r="C59" s="406" t="s">
        <v>73</v>
      </c>
      <c r="D59" s="406"/>
      <c r="E59" s="406"/>
      <c r="F59" s="406"/>
      <c r="G59" s="343">
        <f>SUM(G57:G58)</f>
        <v>1200000</v>
      </c>
      <c r="H59" s="343">
        <f>SUM(H57:H58)</f>
        <v>1200000</v>
      </c>
      <c r="I59" s="89">
        <f>H59/G59*100</f>
        <v>100</v>
      </c>
    </row>
    <row r="60" spans="1:9" ht="14.25" customHeight="1">
      <c r="A60" s="21"/>
      <c r="B60" s="21"/>
      <c r="C60" s="18" t="s">
        <v>74</v>
      </c>
      <c r="D60" s="413" t="s">
        <v>427</v>
      </c>
      <c r="E60" s="414"/>
      <c r="F60" s="414"/>
      <c r="G60" s="250"/>
      <c r="H60" s="250"/>
      <c r="I60" s="76"/>
    </row>
    <row r="61" spans="1:9" ht="13.5" customHeight="1">
      <c r="A61" s="21"/>
      <c r="B61" s="21"/>
      <c r="C61" s="18"/>
      <c r="D61" s="82" t="s">
        <v>27</v>
      </c>
      <c r="E61" s="405" t="s">
        <v>426</v>
      </c>
      <c r="F61" s="410"/>
      <c r="G61" s="410"/>
      <c r="H61" s="342">
        <f>24003+8001+24003+16002</f>
        <v>72009</v>
      </c>
      <c r="I61" s="252"/>
    </row>
    <row r="62" spans="1:9" ht="29.25" customHeight="1">
      <c r="A62" s="81"/>
      <c r="B62" s="404" t="s">
        <v>75</v>
      </c>
      <c r="C62" s="404"/>
      <c r="D62" s="404"/>
      <c r="E62" s="404"/>
      <c r="F62" s="404"/>
      <c r="G62" s="337">
        <f>G35+G44+G59</f>
        <v>11283777</v>
      </c>
      <c r="H62" s="337">
        <f>H35+H44+H59+H61</f>
        <v>16703568</v>
      </c>
      <c r="I62" s="84">
        <f>H62/G62*100</f>
        <v>148.03170959511164</v>
      </c>
    </row>
    <row r="63" spans="1:9" ht="16.5" customHeight="1">
      <c r="A63" s="81"/>
      <c r="B63" s="74" t="s">
        <v>336</v>
      </c>
      <c r="C63" s="404" t="s">
        <v>337</v>
      </c>
      <c r="D63" s="404"/>
      <c r="E63" s="404"/>
      <c r="F63" s="404"/>
      <c r="G63" s="341"/>
      <c r="H63" s="341"/>
      <c r="I63" s="84"/>
    </row>
    <row r="64" spans="1:9" ht="15.75">
      <c r="A64" s="81"/>
      <c r="B64" s="74"/>
      <c r="C64" s="82" t="s">
        <v>27</v>
      </c>
      <c r="D64" s="405" t="s">
        <v>338</v>
      </c>
      <c r="E64" s="405"/>
      <c r="F64" s="405"/>
      <c r="G64" s="337">
        <v>2000</v>
      </c>
      <c r="H64" s="340"/>
      <c r="I64" s="84"/>
    </row>
    <row r="65" spans="1:9" ht="15.75">
      <c r="A65" s="81"/>
      <c r="B65" s="74"/>
      <c r="C65" s="82" t="s">
        <v>21</v>
      </c>
      <c r="D65" s="405" t="s">
        <v>339</v>
      </c>
      <c r="E65" s="405"/>
      <c r="F65" s="405"/>
      <c r="G65" s="337">
        <v>154000</v>
      </c>
      <c r="H65" s="340"/>
      <c r="I65" s="84"/>
    </row>
    <row r="66" spans="1:9" ht="15.75" customHeight="1">
      <c r="A66" s="81"/>
      <c r="B66" s="74"/>
      <c r="C66" s="82" t="s">
        <v>28</v>
      </c>
      <c r="D66" s="407" t="s">
        <v>268</v>
      </c>
      <c r="E66" s="407"/>
      <c r="F66" s="407"/>
      <c r="G66" s="337">
        <v>116000</v>
      </c>
      <c r="H66" s="340">
        <v>76000</v>
      </c>
      <c r="I66" s="76">
        <f>H66/G66*100</f>
        <v>65.51724137931035</v>
      </c>
    </row>
    <row r="67" spans="1:9" ht="15.75">
      <c r="A67" s="81"/>
      <c r="B67" s="74"/>
      <c r="C67" s="82" t="s">
        <v>68</v>
      </c>
      <c r="D67" s="408" t="s">
        <v>381</v>
      </c>
      <c r="E67" s="409"/>
      <c r="F67" s="409"/>
      <c r="G67" s="337"/>
      <c r="H67" s="340">
        <v>1397000</v>
      </c>
      <c r="I67" s="84"/>
    </row>
    <row r="68" spans="1:9" ht="15.75">
      <c r="A68" s="81"/>
      <c r="B68" s="74"/>
      <c r="C68" s="82" t="s">
        <v>69</v>
      </c>
      <c r="D68" s="407" t="s">
        <v>382</v>
      </c>
      <c r="E68" s="407"/>
      <c r="F68" s="407"/>
      <c r="G68" s="337"/>
      <c r="H68" s="340">
        <v>244000</v>
      </c>
      <c r="I68" s="84"/>
    </row>
    <row r="69" spans="1:9" ht="15.75">
      <c r="A69" s="81"/>
      <c r="B69" s="74"/>
      <c r="C69" s="82" t="s">
        <v>74</v>
      </c>
      <c r="D69" s="407" t="s">
        <v>425</v>
      </c>
      <c r="E69" s="410"/>
      <c r="F69" s="410"/>
      <c r="G69" s="337"/>
      <c r="H69" s="340">
        <f>812474+683433+310002</f>
        <v>1805909</v>
      </c>
      <c r="I69" s="84"/>
    </row>
    <row r="70" spans="1:9" ht="15.75">
      <c r="A70" s="81"/>
      <c r="B70" s="74"/>
      <c r="C70" s="82" t="s">
        <v>175</v>
      </c>
      <c r="D70" s="407" t="s">
        <v>467</v>
      </c>
      <c r="E70" s="410"/>
      <c r="F70" s="410"/>
      <c r="G70" s="337"/>
      <c r="H70" s="340">
        <v>130245</v>
      </c>
      <c r="I70" s="84"/>
    </row>
    <row r="71" spans="1:9" ht="31.5" customHeight="1">
      <c r="A71" s="81"/>
      <c r="B71" s="404" t="s">
        <v>340</v>
      </c>
      <c r="C71" s="404"/>
      <c r="D71" s="404"/>
      <c r="E71" s="404"/>
      <c r="F71" s="404"/>
      <c r="G71" s="337">
        <f>SUM(G64:G68)</f>
        <v>272000</v>
      </c>
      <c r="H71" s="337">
        <f>SUM(H64:H70)</f>
        <v>3653154</v>
      </c>
      <c r="I71" s="84"/>
    </row>
    <row r="72" spans="1:9" ht="7.5" customHeight="1">
      <c r="A72" s="21"/>
      <c r="B72" s="21"/>
      <c r="C72" s="21"/>
      <c r="D72" s="21"/>
      <c r="E72" s="21"/>
      <c r="F72" s="21"/>
      <c r="G72" s="334"/>
      <c r="H72" s="334"/>
      <c r="I72" s="76"/>
    </row>
    <row r="73" spans="1:9" ht="36" customHeight="1">
      <c r="A73" s="404" t="s">
        <v>76</v>
      </c>
      <c r="B73" s="404"/>
      <c r="C73" s="404"/>
      <c r="D73" s="404"/>
      <c r="E73" s="404"/>
      <c r="F73" s="404"/>
      <c r="G73" s="339">
        <f>G62+G71</f>
        <v>11555777</v>
      </c>
      <c r="H73" s="339">
        <f>H62+H71</f>
        <v>20356722</v>
      </c>
      <c r="I73" s="224">
        <f>I62</f>
        <v>148.03170959511164</v>
      </c>
    </row>
    <row r="74" spans="1:9" ht="12" customHeight="1">
      <c r="A74" s="21"/>
      <c r="B74" s="21"/>
      <c r="C74" s="21"/>
      <c r="D74" s="21"/>
      <c r="E74" s="21"/>
      <c r="F74" s="21"/>
      <c r="G74" s="334"/>
      <c r="H74" s="334"/>
      <c r="I74" s="76"/>
    </row>
    <row r="75" spans="1:9" ht="15.75">
      <c r="A75" s="18" t="s">
        <v>35</v>
      </c>
      <c r="B75" s="18" t="s">
        <v>77</v>
      </c>
      <c r="C75" s="18"/>
      <c r="D75" s="18"/>
      <c r="E75" s="18"/>
      <c r="F75" s="18"/>
      <c r="G75" s="19"/>
      <c r="H75" s="338"/>
      <c r="I75" s="76"/>
    </row>
    <row r="76" spans="1:9" ht="12" customHeight="1">
      <c r="A76" s="21"/>
      <c r="B76" s="21"/>
      <c r="C76" s="21"/>
      <c r="D76" s="21"/>
      <c r="E76" s="21"/>
      <c r="F76" s="21"/>
      <c r="G76" s="334"/>
      <c r="H76" s="334"/>
      <c r="I76" s="76"/>
    </row>
    <row r="77" spans="1:9" ht="15.75">
      <c r="A77" s="18"/>
      <c r="B77" s="18" t="s">
        <v>27</v>
      </c>
      <c r="C77" s="18" t="s">
        <v>78</v>
      </c>
      <c r="D77" s="18"/>
      <c r="E77" s="18"/>
      <c r="F77" s="18"/>
      <c r="G77" s="19"/>
      <c r="H77" s="338"/>
      <c r="I77" s="76"/>
    </row>
    <row r="78" spans="1:9" s="8" customFormat="1" ht="15.75">
      <c r="A78" s="21"/>
      <c r="B78" s="21"/>
      <c r="C78" s="21" t="s">
        <v>27</v>
      </c>
      <c r="D78" s="21" t="s">
        <v>79</v>
      </c>
      <c r="E78" s="21"/>
      <c r="F78" s="21"/>
      <c r="G78" s="335">
        <v>800000</v>
      </c>
      <c r="H78" s="334">
        <v>800000</v>
      </c>
      <c r="I78" s="76">
        <f>H78/G78*100</f>
        <v>100</v>
      </c>
    </row>
    <row r="79" spans="1:9" ht="15.75">
      <c r="A79" s="18"/>
      <c r="B79" s="18" t="s">
        <v>21</v>
      </c>
      <c r="C79" s="18" t="s">
        <v>80</v>
      </c>
      <c r="D79" s="18"/>
      <c r="E79" s="18"/>
      <c r="F79" s="18"/>
      <c r="G79" s="335"/>
      <c r="H79" s="338"/>
      <c r="I79" s="76"/>
    </row>
    <row r="80" spans="1:9" ht="15.75">
      <c r="A80" s="21"/>
      <c r="B80" s="21"/>
      <c r="C80" s="21" t="s">
        <v>27</v>
      </c>
      <c r="D80" s="21" t="s">
        <v>81</v>
      </c>
      <c r="E80" s="21"/>
      <c r="F80" s="21"/>
      <c r="G80" s="335">
        <v>650000</v>
      </c>
      <c r="H80" s="334">
        <v>650000</v>
      </c>
      <c r="I80" s="76">
        <f>H80/G80*100</f>
        <v>100</v>
      </c>
    </row>
    <row r="81" spans="1:9" ht="15.75">
      <c r="A81" s="18"/>
      <c r="B81" s="18" t="s">
        <v>28</v>
      </c>
      <c r="C81" s="18" t="s">
        <v>82</v>
      </c>
      <c r="D81" s="18"/>
      <c r="E81" s="18"/>
      <c r="F81" s="18"/>
      <c r="G81" s="335"/>
      <c r="H81" s="338"/>
      <c r="I81" s="76"/>
    </row>
    <row r="82" spans="1:9" ht="15.75">
      <c r="A82" s="21"/>
      <c r="B82" s="21"/>
      <c r="C82" s="18" t="s">
        <v>27</v>
      </c>
      <c r="D82" s="21" t="s">
        <v>83</v>
      </c>
      <c r="E82" s="21"/>
      <c r="F82" s="21"/>
      <c r="G82" s="335">
        <v>5000</v>
      </c>
      <c r="H82" s="334">
        <v>5000</v>
      </c>
      <c r="I82" s="76">
        <f>H82/G82*100</f>
        <v>100</v>
      </c>
    </row>
    <row r="83" spans="1:9" ht="15.75">
      <c r="A83" s="21"/>
      <c r="B83" s="21"/>
      <c r="C83" s="18" t="s">
        <v>68</v>
      </c>
      <c r="D83" s="21" t="s">
        <v>84</v>
      </c>
      <c r="E83" s="21"/>
      <c r="F83" s="21"/>
      <c r="G83" s="335">
        <v>40000</v>
      </c>
      <c r="H83" s="334">
        <v>40000</v>
      </c>
      <c r="I83" s="76">
        <f>H83/G83*100</f>
        <v>100</v>
      </c>
    </row>
    <row r="84" spans="1:9" ht="9" customHeight="1">
      <c r="A84" s="81"/>
      <c r="B84" s="81"/>
      <c r="C84" s="81"/>
      <c r="D84" s="81"/>
      <c r="E84" s="81"/>
      <c r="F84" s="81"/>
      <c r="G84" s="336"/>
      <c r="H84" s="336"/>
      <c r="I84" s="76"/>
    </row>
    <row r="85" spans="1:9" s="8" customFormat="1" ht="15.75">
      <c r="A85" s="18" t="s">
        <v>42</v>
      </c>
      <c r="B85" s="81"/>
      <c r="C85" s="81"/>
      <c r="D85" s="81"/>
      <c r="E85" s="81"/>
      <c r="F85" s="81"/>
      <c r="G85" s="337">
        <f>G78+G80+G82+G83</f>
        <v>1495000</v>
      </c>
      <c r="H85" s="337">
        <f>H78+H80+H82+H83</f>
        <v>1495000</v>
      </c>
      <c r="I85" s="84">
        <f>H85/G85*100</f>
        <v>100</v>
      </c>
    </row>
    <row r="86" spans="1:9" ht="9" customHeight="1">
      <c r="A86" s="81"/>
      <c r="B86" s="81"/>
      <c r="C86" s="81"/>
      <c r="D86" s="81"/>
      <c r="E86" s="81"/>
      <c r="F86" s="81"/>
      <c r="G86" s="335"/>
      <c r="H86" s="335"/>
      <c r="I86" s="76"/>
    </row>
    <row r="87" spans="1:9" ht="15.75">
      <c r="A87" s="18" t="s">
        <v>85</v>
      </c>
      <c r="B87" s="18" t="s">
        <v>37</v>
      </c>
      <c r="C87" s="18"/>
      <c r="D87" s="18"/>
      <c r="E87" s="18"/>
      <c r="F87" s="18"/>
      <c r="G87" s="19"/>
      <c r="H87" s="338"/>
      <c r="I87" s="76"/>
    </row>
    <row r="88" spans="1:9" ht="9" customHeight="1">
      <c r="A88" s="81"/>
      <c r="B88" s="81"/>
      <c r="C88" s="81"/>
      <c r="D88" s="81"/>
      <c r="E88" s="81"/>
      <c r="F88" s="81"/>
      <c r="G88" s="336"/>
      <c r="H88" s="336"/>
      <c r="I88" s="76"/>
    </row>
    <row r="89" spans="1:9" ht="15.75">
      <c r="A89" s="81"/>
      <c r="B89" s="81" t="s">
        <v>27</v>
      </c>
      <c r="C89" s="83" t="s">
        <v>335</v>
      </c>
      <c r="D89" s="83"/>
      <c r="E89" s="83"/>
      <c r="F89" s="83"/>
      <c r="G89" s="336"/>
      <c r="H89" s="336"/>
      <c r="I89" s="76"/>
    </row>
    <row r="90" spans="1:9" ht="30.75" customHeight="1">
      <c r="A90" s="81"/>
      <c r="B90" s="81"/>
      <c r="C90" s="81" t="s">
        <v>27</v>
      </c>
      <c r="D90" s="415" t="s">
        <v>366</v>
      </c>
      <c r="E90" s="415"/>
      <c r="F90" s="415"/>
      <c r="G90" s="335">
        <v>76000</v>
      </c>
      <c r="H90" s="335">
        <v>54000</v>
      </c>
      <c r="I90" s="76">
        <f>H90/G90*100</f>
        <v>71.05263157894737</v>
      </c>
    </row>
    <row r="91" spans="1:9" ht="15.75" customHeight="1">
      <c r="A91" s="81"/>
      <c r="B91" s="81"/>
      <c r="C91" s="81" t="s">
        <v>21</v>
      </c>
      <c r="D91" s="415" t="s">
        <v>341</v>
      </c>
      <c r="E91" s="415"/>
      <c r="F91" s="415"/>
      <c r="G91" s="335">
        <v>120000</v>
      </c>
      <c r="H91" s="335"/>
      <c r="I91" s="76"/>
    </row>
    <row r="92" spans="1:9" ht="15.75" customHeight="1">
      <c r="A92" s="81"/>
      <c r="B92" s="81"/>
      <c r="C92" s="81" t="s">
        <v>28</v>
      </c>
      <c r="D92" s="427" t="s">
        <v>383</v>
      </c>
      <c r="E92" s="428"/>
      <c r="F92" s="428"/>
      <c r="G92" s="335"/>
      <c r="H92" s="335">
        <v>5000</v>
      </c>
      <c r="I92" s="76"/>
    </row>
    <row r="93" spans="1:9" ht="15.75">
      <c r="A93" s="81"/>
      <c r="B93" s="81" t="s">
        <v>21</v>
      </c>
      <c r="C93" s="83" t="s">
        <v>86</v>
      </c>
      <c r="D93" s="83"/>
      <c r="E93" s="83"/>
      <c r="F93" s="83"/>
      <c r="G93" s="335"/>
      <c r="H93" s="335"/>
      <c r="I93" s="76"/>
    </row>
    <row r="94" spans="1:9" ht="15.75">
      <c r="A94" s="81"/>
      <c r="B94" s="81"/>
      <c r="C94" s="81" t="s">
        <v>27</v>
      </c>
      <c r="D94" s="83" t="s">
        <v>49</v>
      </c>
      <c r="E94" s="83"/>
      <c r="F94" s="83"/>
      <c r="G94" s="335">
        <v>552000</v>
      </c>
      <c r="H94" s="335">
        <v>454000</v>
      </c>
      <c r="I94" s="76">
        <f>H94/G94*100</f>
        <v>82.2463768115942</v>
      </c>
    </row>
    <row r="95" spans="1:9" ht="15.75">
      <c r="A95" s="81"/>
      <c r="B95" s="81" t="s">
        <v>28</v>
      </c>
      <c r="C95" s="83" t="s">
        <v>87</v>
      </c>
      <c r="D95" s="81"/>
      <c r="E95" s="81"/>
      <c r="F95" s="81"/>
      <c r="G95" s="335">
        <v>2000</v>
      </c>
      <c r="H95" s="335">
        <v>2000</v>
      </c>
      <c r="I95" s="76">
        <f>H95/G95*100</f>
        <v>100</v>
      </c>
    </row>
    <row r="96" spans="1:9" ht="15.75">
      <c r="A96" s="18" t="s">
        <v>20</v>
      </c>
      <c r="B96" s="81"/>
      <c r="C96" s="81"/>
      <c r="D96" s="81"/>
      <c r="E96" s="81"/>
      <c r="F96" s="81"/>
      <c r="G96" s="337">
        <f>SUM(G90:G95)</f>
        <v>750000</v>
      </c>
      <c r="H96" s="337">
        <f>H90+H91+H94+H95+H92</f>
        <v>515000</v>
      </c>
      <c r="I96" s="84">
        <f>H96/G96*100</f>
        <v>68.66666666666667</v>
      </c>
    </row>
    <row r="97" spans="1:9" ht="10.5" customHeight="1">
      <c r="A97" s="81"/>
      <c r="B97" s="81"/>
      <c r="C97" s="81"/>
      <c r="D97" s="81"/>
      <c r="E97" s="81"/>
      <c r="F97" s="81"/>
      <c r="G97" s="335"/>
      <c r="H97" s="335"/>
      <c r="I97" s="76"/>
    </row>
    <row r="98" spans="1:9" ht="13.5" customHeight="1">
      <c r="A98" s="230" t="s">
        <v>384</v>
      </c>
      <c r="B98" s="429" t="s">
        <v>106</v>
      </c>
      <c r="C98" s="428"/>
      <c r="D98" s="428"/>
      <c r="E98" s="428"/>
      <c r="F98" s="428"/>
      <c r="G98" s="335"/>
      <c r="H98" s="335"/>
      <c r="I98" s="76"/>
    </row>
    <row r="99" spans="1:9" ht="13.5" customHeight="1">
      <c r="A99" s="81"/>
      <c r="B99" s="81" t="s">
        <v>27</v>
      </c>
      <c r="C99" s="427" t="s">
        <v>385</v>
      </c>
      <c r="D99" s="428"/>
      <c r="E99" s="428"/>
      <c r="F99" s="428"/>
      <c r="G99" s="336"/>
      <c r="H99" s="336"/>
      <c r="I99" s="76"/>
    </row>
    <row r="100" spans="1:9" ht="13.5" customHeight="1">
      <c r="A100" s="81"/>
      <c r="B100" s="81"/>
      <c r="C100" s="81" t="s">
        <v>27</v>
      </c>
      <c r="D100" s="427" t="s">
        <v>386</v>
      </c>
      <c r="E100" s="428"/>
      <c r="F100" s="428"/>
      <c r="G100" s="336"/>
      <c r="H100" s="335">
        <v>1800000</v>
      </c>
      <c r="I100" s="76"/>
    </row>
    <row r="101" spans="1:9" ht="9" customHeight="1">
      <c r="A101" s="81"/>
      <c r="B101" s="81"/>
      <c r="C101" s="81"/>
      <c r="D101" s="83"/>
      <c r="E101" s="229"/>
      <c r="F101" s="229"/>
      <c r="G101" s="336"/>
      <c r="H101" s="335"/>
      <c r="I101" s="76"/>
    </row>
    <row r="102" spans="1:9" ht="13.5" customHeight="1">
      <c r="A102" s="425" t="s">
        <v>387</v>
      </c>
      <c r="B102" s="426"/>
      <c r="C102" s="426"/>
      <c r="D102" s="426"/>
      <c r="E102" s="426"/>
      <c r="F102" s="426"/>
      <c r="G102" s="336"/>
      <c r="H102" s="337">
        <v>1800000</v>
      </c>
      <c r="I102" s="76"/>
    </row>
    <row r="103" spans="1:9" ht="9.75" customHeight="1">
      <c r="A103" s="81"/>
      <c r="B103" s="81"/>
      <c r="C103" s="81"/>
      <c r="D103" s="81"/>
      <c r="E103" s="81"/>
      <c r="F103" s="81"/>
      <c r="G103" s="336"/>
      <c r="H103" s="336"/>
      <c r="I103" s="76"/>
    </row>
    <row r="104" spans="1:9" ht="17.25" customHeight="1">
      <c r="A104" s="86" t="s">
        <v>89</v>
      </c>
      <c r="B104" s="86"/>
      <c r="C104" s="86"/>
      <c r="D104" s="86"/>
      <c r="E104" s="86"/>
      <c r="F104" s="86"/>
      <c r="G104" s="19">
        <f>G96+G85+G73</f>
        <v>13800777</v>
      </c>
      <c r="H104" s="19">
        <f>H96+H85+H73+H100</f>
        <v>24166722</v>
      </c>
      <c r="I104" s="84">
        <f>H104/G104*100</f>
        <v>175.11131438469008</v>
      </c>
    </row>
    <row r="105" spans="1:9" ht="16.5">
      <c r="A105" s="86"/>
      <c r="B105" s="86"/>
      <c r="C105" s="86"/>
      <c r="D105" s="86"/>
      <c r="E105" s="86"/>
      <c r="F105" s="86"/>
      <c r="G105" s="85"/>
      <c r="H105" s="85"/>
      <c r="I105" s="84"/>
    </row>
    <row r="106" spans="2:9" ht="16.5">
      <c r="B106" s="86"/>
      <c r="C106" s="86"/>
      <c r="D106" s="86"/>
      <c r="E106" s="86"/>
      <c r="F106" s="86"/>
      <c r="G106" s="85"/>
      <c r="H106" s="85"/>
      <c r="I106" s="84"/>
    </row>
    <row r="107" spans="1:9" ht="16.5">
      <c r="A107" s="86"/>
      <c r="B107" s="86"/>
      <c r="C107" s="86"/>
      <c r="D107" s="86"/>
      <c r="E107" s="86"/>
      <c r="F107" s="86"/>
      <c r="G107" s="85"/>
      <c r="H107" s="85"/>
      <c r="I107" s="84"/>
    </row>
    <row r="108" spans="1:9" ht="16.5">
      <c r="A108" s="86"/>
      <c r="B108" s="86"/>
      <c r="C108" s="86"/>
      <c r="D108" s="86"/>
      <c r="E108" s="86"/>
      <c r="F108" s="86"/>
      <c r="G108" s="85"/>
      <c r="H108" s="85"/>
      <c r="I108" s="84"/>
    </row>
    <row r="109" spans="1:9" ht="17.25" thickBot="1">
      <c r="A109" s="86"/>
      <c r="B109" s="86"/>
      <c r="C109" s="86"/>
      <c r="D109" s="86"/>
      <c r="E109" s="86"/>
      <c r="F109" s="86"/>
      <c r="G109" s="85"/>
      <c r="H109" s="85"/>
      <c r="I109" s="84"/>
    </row>
    <row r="110" spans="1:9" ht="15.75">
      <c r="A110" s="416" t="s">
        <v>18</v>
      </c>
      <c r="B110" s="417"/>
      <c r="C110" s="417"/>
      <c r="D110" s="417"/>
      <c r="E110" s="417"/>
      <c r="F110" s="418"/>
      <c r="G110" s="62" t="s">
        <v>16</v>
      </c>
      <c r="H110" s="62" t="s">
        <v>16</v>
      </c>
      <c r="I110" s="62" t="s">
        <v>17</v>
      </c>
    </row>
    <row r="111" spans="1:9" ht="15.75">
      <c r="A111" s="419"/>
      <c r="B111" s="420"/>
      <c r="C111" s="420"/>
      <c r="D111" s="420"/>
      <c r="E111" s="420"/>
      <c r="F111" s="421"/>
      <c r="G111" s="63" t="s">
        <v>7</v>
      </c>
      <c r="H111" s="63" t="s">
        <v>7</v>
      </c>
      <c r="I111" s="63"/>
    </row>
    <row r="112" spans="1:9" ht="16.5" thickBot="1">
      <c r="A112" s="422"/>
      <c r="B112" s="423"/>
      <c r="C112" s="423"/>
      <c r="D112" s="423"/>
      <c r="E112" s="423"/>
      <c r="F112" s="424"/>
      <c r="G112" s="64" t="s">
        <v>95</v>
      </c>
      <c r="H112" s="64" t="s">
        <v>376</v>
      </c>
      <c r="I112" s="64" t="s">
        <v>19</v>
      </c>
    </row>
    <row r="113" spans="1:9" ht="16.5">
      <c r="A113" s="86"/>
      <c r="B113" s="86"/>
      <c r="C113" s="86"/>
      <c r="D113" s="86"/>
      <c r="E113" s="86"/>
      <c r="F113" s="86"/>
      <c r="G113" s="87"/>
      <c r="H113" s="87"/>
      <c r="I113" s="84"/>
    </row>
    <row r="114" spans="1:9" ht="15.75">
      <c r="A114" s="88" t="s">
        <v>90</v>
      </c>
      <c r="B114" s="404" t="s">
        <v>91</v>
      </c>
      <c r="C114" s="404"/>
      <c r="D114" s="404"/>
      <c r="E114" s="404"/>
      <c r="F114" s="404"/>
      <c r="G114" s="18"/>
      <c r="H114" s="252"/>
      <c r="I114" s="76"/>
    </row>
    <row r="115" spans="1:9" ht="15.75">
      <c r="A115" s="18"/>
      <c r="B115" s="74" t="s">
        <v>27</v>
      </c>
      <c r="C115" s="404" t="s">
        <v>92</v>
      </c>
      <c r="D115" s="404"/>
      <c r="E115" s="404"/>
      <c r="F115" s="404"/>
      <c r="G115" s="251"/>
      <c r="H115" s="252"/>
      <c r="I115" s="76"/>
    </row>
    <row r="116" spans="1:9" ht="15.75">
      <c r="A116" s="18"/>
      <c r="B116" s="74"/>
      <c r="C116" s="82" t="s">
        <v>27</v>
      </c>
      <c r="D116" s="405" t="s">
        <v>93</v>
      </c>
      <c r="E116" s="405"/>
      <c r="F116" s="405"/>
      <c r="G116" s="335">
        <v>1163000</v>
      </c>
      <c r="H116" s="335">
        <f>913446+2821554</f>
        <v>3735000</v>
      </c>
      <c r="I116" s="76">
        <f>H116/G116*100</f>
        <v>321.15219260533104</v>
      </c>
    </row>
    <row r="117" spans="1:9" ht="15.75">
      <c r="A117" s="21"/>
      <c r="B117" s="21"/>
      <c r="C117" s="21"/>
      <c r="D117" s="21"/>
      <c r="E117" s="21"/>
      <c r="F117" s="21"/>
      <c r="G117" s="332"/>
      <c r="H117" s="334"/>
      <c r="I117" s="76"/>
    </row>
    <row r="118" spans="1:9" ht="16.5">
      <c r="A118" s="86" t="s">
        <v>91</v>
      </c>
      <c r="B118" s="86"/>
      <c r="C118" s="86"/>
      <c r="D118" s="86"/>
      <c r="E118" s="86"/>
      <c r="F118" s="86"/>
      <c r="G118" s="330">
        <f>G116</f>
        <v>1163000</v>
      </c>
      <c r="H118" s="333">
        <f>H116</f>
        <v>3735000</v>
      </c>
      <c r="I118" s="76">
        <f>H118/G118*100</f>
        <v>321.15219260533104</v>
      </c>
    </row>
    <row r="119" spans="1:9" ht="15.75">
      <c r="A119" s="21"/>
      <c r="B119" s="21"/>
      <c r="C119" s="21"/>
      <c r="D119" s="21"/>
      <c r="E119" s="21"/>
      <c r="F119" s="21"/>
      <c r="G119" s="332"/>
      <c r="H119" s="331"/>
      <c r="I119" s="76"/>
    </row>
    <row r="120" spans="1:9" ht="18.75">
      <c r="A120" s="20" t="s">
        <v>94</v>
      </c>
      <c r="B120" s="20"/>
      <c r="C120" s="20"/>
      <c r="D120" s="20"/>
      <c r="E120" s="20"/>
      <c r="F120" s="20"/>
      <c r="G120" s="330">
        <f>G104+G118</f>
        <v>14963777</v>
      </c>
      <c r="H120" s="19">
        <f>H104+H118</f>
        <v>27901722</v>
      </c>
      <c r="I120" s="84">
        <f>H120/G120*100</f>
        <v>186.46176028953118</v>
      </c>
    </row>
    <row r="121" spans="7:9" ht="15.75">
      <c r="G121" s="329"/>
      <c r="H121" s="329"/>
      <c r="I121" s="6"/>
    </row>
    <row r="122" spans="7:9" ht="15.75">
      <c r="G122" s="65"/>
      <c r="H122" s="78"/>
      <c r="I122" s="10"/>
    </row>
    <row r="123" ht="9" customHeight="1">
      <c r="I123" s="10"/>
    </row>
    <row r="124" spans="1:9" s="8" customFormat="1" ht="15.75">
      <c r="A124" s="57"/>
      <c r="B124" s="56"/>
      <c r="C124" s="56"/>
      <c r="D124" s="56"/>
      <c r="E124" s="56"/>
      <c r="H124" s="78"/>
      <c r="I124" s="9"/>
    </row>
    <row r="125" ht="9" customHeight="1">
      <c r="I125" s="10"/>
    </row>
    <row r="126" ht="9" customHeight="1">
      <c r="I126" s="10"/>
    </row>
    <row r="132" ht="15.75">
      <c r="I132" s="10"/>
    </row>
    <row r="137" ht="15.75">
      <c r="I137" s="10"/>
    </row>
  </sheetData>
  <sheetProtection/>
  <mergeCells count="43">
    <mergeCell ref="D70:F70"/>
    <mergeCell ref="A10:F12"/>
    <mergeCell ref="A3:I3"/>
    <mergeCell ref="A4:I4"/>
    <mergeCell ref="A5:I5"/>
    <mergeCell ref="A6:I6"/>
    <mergeCell ref="D15:F15"/>
    <mergeCell ref="C44:F44"/>
    <mergeCell ref="A51:F53"/>
    <mergeCell ref="E61:G61"/>
    <mergeCell ref="C115:F115"/>
    <mergeCell ref="D92:F92"/>
    <mergeCell ref="B98:F98"/>
    <mergeCell ref="C99:F99"/>
    <mergeCell ref="D100:F100"/>
    <mergeCell ref="D116:F116"/>
    <mergeCell ref="B114:F114"/>
    <mergeCell ref="D90:F90"/>
    <mergeCell ref="A110:F112"/>
    <mergeCell ref="A102:F102"/>
    <mergeCell ref="B71:F71"/>
    <mergeCell ref="D91:F91"/>
    <mergeCell ref="A73:F73"/>
    <mergeCell ref="D69:F69"/>
    <mergeCell ref="A1:I1"/>
    <mergeCell ref="A2:I2"/>
    <mergeCell ref="A8:I8"/>
    <mergeCell ref="E39:F39"/>
    <mergeCell ref="B62:F62"/>
    <mergeCell ref="E16:F16"/>
    <mergeCell ref="D37:F37"/>
    <mergeCell ref="D60:F60"/>
    <mergeCell ref="D64:F64"/>
    <mergeCell ref="B13:F13"/>
    <mergeCell ref="E56:F56"/>
    <mergeCell ref="C59:F59"/>
    <mergeCell ref="C63:F63"/>
    <mergeCell ref="D68:F68"/>
    <mergeCell ref="D67:F67"/>
    <mergeCell ref="D35:F35"/>
    <mergeCell ref="D55:F55"/>
    <mergeCell ref="D65:F65"/>
    <mergeCell ref="D66:F66"/>
  </mergeCells>
  <printOptions horizontalCentered="1"/>
  <pageMargins left="0.1968503937007874" right="0.1968503937007874" top="0.1968503937007874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9.125" style="142" customWidth="1"/>
    <col min="2" max="2" width="61.125" style="142" customWidth="1"/>
    <col min="3" max="6" width="26.25390625" style="142" customWidth="1"/>
    <col min="7" max="16384" width="9.125" style="142" customWidth="1"/>
  </cols>
  <sheetData>
    <row r="2" spans="1:6" s="138" customFormat="1" ht="15.75">
      <c r="A2" s="441"/>
      <c r="B2" s="411"/>
      <c r="C2" s="411"/>
      <c r="D2" s="411"/>
      <c r="E2" s="411"/>
      <c r="F2" s="411"/>
    </row>
    <row r="3" spans="1:6" s="67" customFormat="1" ht="15" customHeight="1">
      <c r="A3" s="442" t="s">
        <v>445</v>
      </c>
      <c r="B3" s="409"/>
      <c r="C3" s="409"/>
      <c r="D3" s="409"/>
      <c r="E3" s="409"/>
      <c r="F3" s="409"/>
    </row>
    <row r="4" spans="2:6" s="140" customFormat="1" ht="15" customHeight="1">
      <c r="B4" s="439"/>
      <c r="C4" s="399"/>
      <c r="D4" s="399"/>
      <c r="E4" s="399"/>
      <c r="F4" s="399"/>
    </row>
    <row r="5" spans="2:6" s="105" customFormat="1" ht="15" customHeight="1">
      <c r="B5" s="439" t="s">
        <v>342</v>
      </c>
      <c r="C5" s="439"/>
      <c r="D5" s="439"/>
      <c r="E5" s="439"/>
      <c r="F5" s="439"/>
    </row>
    <row r="6" spans="2:6" s="105" customFormat="1" ht="15.75">
      <c r="B6" s="440" t="s">
        <v>214</v>
      </c>
      <c r="C6" s="440"/>
      <c r="D6" s="440"/>
      <c r="E6" s="440"/>
      <c r="F6" s="440"/>
    </row>
    <row r="7" spans="2:6" s="105" customFormat="1" ht="15" customHeight="1">
      <c r="B7" s="439" t="s">
        <v>376</v>
      </c>
      <c r="C7" s="439"/>
      <c r="D7" s="439"/>
      <c r="E7" s="439"/>
      <c r="F7" s="439"/>
    </row>
    <row r="8" spans="2:6" s="138" customFormat="1" ht="12" customHeight="1" thickBot="1">
      <c r="B8" s="139"/>
      <c r="C8" s="141"/>
      <c r="D8" s="260"/>
      <c r="E8" s="260"/>
      <c r="F8" s="259" t="s">
        <v>434</v>
      </c>
    </row>
    <row r="9" spans="1:6" s="138" customFormat="1" ht="16.5" customHeight="1" thickBot="1">
      <c r="A9" s="443" t="s">
        <v>122</v>
      </c>
      <c r="B9" s="446" t="s">
        <v>123</v>
      </c>
      <c r="C9" s="449" t="s">
        <v>215</v>
      </c>
      <c r="D9" s="452" t="s">
        <v>216</v>
      </c>
      <c r="E9" s="452"/>
      <c r="F9" s="453"/>
    </row>
    <row r="10" spans="1:6" s="138" customFormat="1" ht="33" customHeight="1" thickBot="1">
      <c r="A10" s="444"/>
      <c r="B10" s="447"/>
      <c r="C10" s="450"/>
      <c r="D10" s="256" t="s">
        <v>217</v>
      </c>
      <c r="E10" s="258" t="s">
        <v>218</v>
      </c>
      <c r="F10" s="257" t="s">
        <v>219</v>
      </c>
    </row>
    <row r="11" spans="1:6" s="138" customFormat="1" ht="22.5" customHeight="1">
      <c r="A11" s="444"/>
      <c r="B11" s="447"/>
      <c r="C11" s="450"/>
      <c r="D11" s="454" t="s">
        <v>220</v>
      </c>
      <c r="E11" s="455"/>
      <c r="F11" s="456"/>
    </row>
    <row r="12" spans="1:6" ht="12.75">
      <c r="A12" s="444"/>
      <c r="B12" s="447"/>
      <c r="C12" s="450"/>
      <c r="D12" s="457"/>
      <c r="E12" s="458"/>
      <c r="F12" s="459"/>
    </row>
    <row r="13" spans="1:6" ht="3" customHeight="1" thickBot="1">
      <c r="A13" s="445"/>
      <c r="B13" s="448"/>
      <c r="C13" s="451"/>
      <c r="D13" s="460"/>
      <c r="E13" s="461"/>
      <c r="F13" s="462"/>
    </row>
    <row r="14" spans="1:6" ht="30.75" thickBot="1">
      <c r="A14" s="226" t="s">
        <v>139</v>
      </c>
      <c r="B14" s="309" t="s">
        <v>140</v>
      </c>
      <c r="C14" s="355">
        <f>SUM(D14:F14)</f>
        <v>137245</v>
      </c>
      <c r="D14" s="355">
        <f>7000+130245</f>
        <v>137245</v>
      </c>
      <c r="E14" s="355">
        <f>913446-913446</f>
        <v>0</v>
      </c>
      <c r="F14" s="354"/>
    </row>
    <row r="15" spans="1:6" ht="15">
      <c r="A15" s="226" t="s">
        <v>141</v>
      </c>
      <c r="B15" s="225" t="s">
        <v>375</v>
      </c>
      <c r="C15" s="355">
        <f>SUM(D15:F15)</f>
        <v>5000</v>
      </c>
      <c r="D15" s="355">
        <v>5000</v>
      </c>
      <c r="E15" s="355"/>
      <c r="F15" s="354"/>
    </row>
    <row r="16" spans="1:6" ht="15">
      <c r="A16" s="99" t="s">
        <v>142</v>
      </c>
      <c r="B16" s="98" t="s">
        <v>143</v>
      </c>
      <c r="C16" s="353">
        <f>SUM(D16:F16)</f>
        <v>54000</v>
      </c>
      <c r="D16" s="353"/>
      <c r="E16" s="353">
        <v>54000</v>
      </c>
      <c r="F16" s="352"/>
    </row>
    <row r="17" spans="1:6" ht="15">
      <c r="A17" s="99" t="s">
        <v>221</v>
      </c>
      <c r="B17" s="98" t="s">
        <v>222</v>
      </c>
      <c r="C17" s="353">
        <f>SUM(D17:F17)</f>
        <v>18344568</v>
      </c>
      <c r="D17" s="353">
        <f>17739000+48+67818+24003+8001+24003+33909+397875+16002+33909</f>
        <v>18344568</v>
      </c>
      <c r="E17" s="353"/>
      <c r="F17" s="352"/>
    </row>
    <row r="18" spans="1:6" ht="15">
      <c r="A18" s="145" t="s">
        <v>433</v>
      </c>
      <c r="B18" s="98" t="s">
        <v>432</v>
      </c>
      <c r="C18" s="353">
        <f>SUM(D18:F18)</f>
        <v>3735000</v>
      </c>
      <c r="D18" s="353">
        <f>913446+2821554</f>
        <v>3735000</v>
      </c>
      <c r="E18" s="353"/>
      <c r="F18" s="352"/>
    </row>
    <row r="19" spans="1:6" ht="15">
      <c r="A19" s="145" t="s">
        <v>431</v>
      </c>
      <c r="B19" s="98" t="s">
        <v>430</v>
      </c>
      <c r="C19" s="353">
        <f>SUM(D19:F19)</f>
        <v>1805909</v>
      </c>
      <c r="D19" s="353">
        <f>812474+683433+310002</f>
        <v>1805909</v>
      </c>
      <c r="E19" s="353"/>
      <c r="F19" s="352"/>
    </row>
    <row r="20" spans="1:6" ht="15">
      <c r="A20" s="145">
        <v>104051</v>
      </c>
      <c r="B20" s="98" t="s">
        <v>374</v>
      </c>
      <c r="C20" s="353">
        <f>SUM(D20:F20)</f>
        <v>76000</v>
      </c>
      <c r="D20" s="353"/>
      <c r="E20" s="353"/>
      <c r="F20" s="352">
        <v>76000</v>
      </c>
    </row>
    <row r="21" spans="1:6" ht="15">
      <c r="A21" s="145">
        <v>107051</v>
      </c>
      <c r="B21" s="100" t="s">
        <v>345</v>
      </c>
      <c r="C21" s="353">
        <f>SUM(D21:F21)</f>
        <v>454000</v>
      </c>
      <c r="D21" s="353">
        <v>454000</v>
      </c>
      <c r="E21" s="353"/>
      <c r="F21" s="352"/>
    </row>
    <row r="22" spans="1:6" ht="15">
      <c r="A22" s="145">
        <v>107055</v>
      </c>
      <c r="B22" s="101" t="s">
        <v>349</v>
      </c>
      <c r="C22" s="353">
        <f>SUM(D22:F22)</f>
        <v>1800000</v>
      </c>
      <c r="D22" s="353"/>
      <c r="E22" s="353">
        <v>1800000</v>
      </c>
      <c r="F22" s="352"/>
    </row>
    <row r="23" spans="1:6" ht="30.75" thickBot="1">
      <c r="A23" s="145">
        <v>900020</v>
      </c>
      <c r="B23" s="98" t="s">
        <v>223</v>
      </c>
      <c r="C23" s="353">
        <f>SUM(D23:F23)</f>
        <v>1490000</v>
      </c>
      <c r="D23" s="353">
        <v>1490000</v>
      </c>
      <c r="E23" s="353"/>
      <c r="F23" s="352"/>
    </row>
    <row r="24" spans="1:6" ht="30" customHeight="1" thickBot="1">
      <c r="A24" s="146"/>
      <c r="B24" s="146" t="s">
        <v>2</v>
      </c>
      <c r="C24" s="351">
        <f>SUM(C14:C23)</f>
        <v>27901722</v>
      </c>
      <c r="D24" s="351">
        <f>SUM(D14:D23)</f>
        <v>25971722</v>
      </c>
      <c r="E24" s="351">
        <f>SUM(E14:E23)</f>
        <v>1854000</v>
      </c>
      <c r="F24" s="351">
        <f>SUM(F14:F23)</f>
        <v>76000</v>
      </c>
    </row>
  </sheetData>
  <sheetProtection/>
  <mergeCells count="11">
    <mergeCell ref="B7:F7"/>
    <mergeCell ref="A2:F2"/>
    <mergeCell ref="A3:F3"/>
    <mergeCell ref="B4:F4"/>
    <mergeCell ref="A9:A13"/>
    <mergeCell ref="B9:B13"/>
    <mergeCell ref="C9:C13"/>
    <mergeCell ref="D9:F9"/>
    <mergeCell ref="D11:F13"/>
    <mergeCell ref="B5:F5"/>
    <mergeCell ref="B6:F6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zoomScalePageLayoutView="0" workbookViewId="0" topLeftCell="A1">
      <selection activeCell="A3" sqref="A3:S3"/>
    </sheetView>
  </sheetViews>
  <sheetFormatPr defaultColWidth="9.00390625" defaultRowHeight="12.75"/>
  <cols>
    <col min="1" max="1" width="9.125" style="11" customWidth="1"/>
    <col min="2" max="2" width="42.125" style="11" customWidth="1"/>
    <col min="3" max="3" width="12.625" style="11" customWidth="1"/>
    <col min="4" max="5" width="10.375" style="11" customWidth="1"/>
    <col min="6" max="6" width="11.625" style="11" customWidth="1"/>
    <col min="7" max="7" width="10.375" style="11" customWidth="1"/>
    <col min="8" max="8" width="10.25390625" style="11" customWidth="1"/>
    <col min="9" max="9" width="11.00390625" style="11" customWidth="1"/>
    <col min="10" max="11" width="10.25390625" style="11" customWidth="1"/>
    <col min="12" max="12" width="9.625" style="11" customWidth="1"/>
    <col min="13" max="13" width="10.875" style="11" customWidth="1"/>
    <col min="14" max="14" width="14.00390625" style="11" customWidth="1"/>
    <col min="15" max="15" width="9.875" style="11" customWidth="1"/>
    <col min="16" max="16" width="10.625" style="11" customWidth="1"/>
    <col min="17" max="17" width="9.625" style="11" customWidth="1"/>
    <col min="18" max="16384" width="9.125" style="11" customWidth="1"/>
  </cols>
  <sheetData>
    <row r="1" spans="1:19" ht="15.75">
      <c r="A1" s="470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</row>
    <row r="2" spans="1:16" ht="15.75" customHeight="1">
      <c r="A2" s="473" t="s">
        <v>446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3" spans="1:19" s="95" customFormat="1" ht="15.7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  <c r="R3" s="466"/>
      <c r="S3" s="466"/>
    </row>
    <row r="4" spans="1:19" s="95" customFormat="1" ht="15.75" customHeight="1">
      <c r="A4" s="466"/>
      <c r="B4" s="472"/>
      <c r="C4" s="472"/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</row>
    <row r="5" spans="1:19" s="95" customFormat="1" ht="15.75" customHeight="1">
      <c r="A5" s="466" t="s">
        <v>342</v>
      </c>
      <c r="B5" s="466"/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</row>
    <row r="6" spans="1:19" s="95" customFormat="1" ht="15.75" customHeight="1">
      <c r="A6" s="466" t="s">
        <v>121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</row>
    <row r="7" spans="1:19" s="95" customFormat="1" ht="15.75" customHeight="1">
      <c r="A7" s="466" t="s">
        <v>394</v>
      </c>
      <c r="B7" s="466"/>
      <c r="C7" s="466"/>
      <c r="D7" s="466"/>
      <c r="E7" s="466"/>
      <c r="F7" s="466"/>
      <c r="G7" s="466"/>
      <c r="H7" s="466"/>
      <c r="I7" s="466"/>
      <c r="J7" s="466"/>
      <c r="K7" s="466"/>
      <c r="L7" s="466"/>
      <c r="M7" s="466"/>
      <c r="N7" s="466"/>
      <c r="O7" s="466"/>
      <c r="P7" s="466"/>
      <c r="Q7" s="466"/>
      <c r="R7" s="466"/>
      <c r="S7" s="466"/>
    </row>
    <row r="8" spans="18:19" s="95" customFormat="1" ht="15.75" thickBot="1">
      <c r="R8" s="493" t="s">
        <v>429</v>
      </c>
      <c r="S8" s="493"/>
    </row>
    <row r="9" spans="1:19" s="96" customFormat="1" ht="20.25" customHeight="1" thickBot="1">
      <c r="A9" s="497" t="s">
        <v>122</v>
      </c>
      <c r="B9" s="477" t="s">
        <v>123</v>
      </c>
      <c r="C9" s="463" t="s">
        <v>124</v>
      </c>
      <c r="D9" s="474" t="s">
        <v>125</v>
      </c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6"/>
      <c r="R9" s="480" t="s">
        <v>3</v>
      </c>
      <c r="S9" s="481"/>
    </row>
    <row r="10" spans="1:19" s="96" customFormat="1" ht="38.25" customHeight="1" thickBot="1">
      <c r="A10" s="498"/>
      <c r="B10" s="478"/>
      <c r="C10" s="464"/>
      <c r="D10" s="490" t="s">
        <v>43</v>
      </c>
      <c r="E10" s="491"/>
      <c r="F10" s="491"/>
      <c r="G10" s="491"/>
      <c r="H10" s="491"/>
      <c r="I10" s="492"/>
      <c r="J10" s="474" t="s">
        <v>44</v>
      </c>
      <c r="K10" s="475"/>
      <c r="L10" s="475"/>
      <c r="M10" s="476"/>
      <c r="N10" s="487" t="s">
        <v>126</v>
      </c>
      <c r="O10" s="488"/>
      <c r="P10" s="488"/>
      <c r="Q10" s="489"/>
      <c r="R10" s="485" t="s">
        <v>6</v>
      </c>
      <c r="S10" s="486"/>
    </row>
    <row r="11" spans="1:19" s="96" customFormat="1" ht="21" customHeight="1" thickBot="1">
      <c r="A11" s="498"/>
      <c r="B11" s="478"/>
      <c r="C11" s="464"/>
      <c r="D11" s="463" t="s">
        <v>127</v>
      </c>
      <c r="E11" s="463" t="s">
        <v>128</v>
      </c>
      <c r="F11" s="463" t="s">
        <v>129</v>
      </c>
      <c r="G11" s="463" t="s">
        <v>130</v>
      </c>
      <c r="H11" s="463" t="s">
        <v>131</v>
      </c>
      <c r="I11" s="482" t="s">
        <v>132</v>
      </c>
      <c r="J11" s="467" t="s">
        <v>133</v>
      </c>
      <c r="K11" s="467" t="s">
        <v>45</v>
      </c>
      <c r="L11" s="463" t="s">
        <v>224</v>
      </c>
      <c r="M11" s="494" t="s">
        <v>225</v>
      </c>
      <c r="N11" s="463" t="s">
        <v>396</v>
      </c>
      <c r="O11" s="463" t="s">
        <v>134</v>
      </c>
      <c r="P11" s="463" t="s">
        <v>135</v>
      </c>
      <c r="Q11" s="494" t="s">
        <v>226</v>
      </c>
      <c r="R11" s="136" t="s">
        <v>136</v>
      </c>
      <c r="S11" s="137" t="s">
        <v>137</v>
      </c>
    </row>
    <row r="12" spans="1:19" s="96" customFormat="1" ht="18.75" customHeight="1">
      <c r="A12" s="498"/>
      <c r="B12" s="478"/>
      <c r="C12" s="464"/>
      <c r="D12" s="464"/>
      <c r="E12" s="464"/>
      <c r="F12" s="464"/>
      <c r="G12" s="464"/>
      <c r="H12" s="464"/>
      <c r="I12" s="483"/>
      <c r="J12" s="468"/>
      <c r="K12" s="468"/>
      <c r="L12" s="464"/>
      <c r="M12" s="495"/>
      <c r="N12" s="464"/>
      <c r="O12" s="464"/>
      <c r="P12" s="464"/>
      <c r="Q12" s="495"/>
      <c r="R12" s="500" t="s">
        <v>138</v>
      </c>
      <c r="S12" s="501"/>
    </row>
    <row r="13" spans="1:19" s="96" customFormat="1" ht="20.25" customHeight="1" thickBot="1">
      <c r="A13" s="499"/>
      <c r="B13" s="479"/>
      <c r="C13" s="465"/>
      <c r="D13" s="465"/>
      <c r="E13" s="465"/>
      <c r="F13" s="465"/>
      <c r="G13" s="465"/>
      <c r="H13" s="465"/>
      <c r="I13" s="484"/>
      <c r="J13" s="469"/>
      <c r="K13" s="469"/>
      <c r="L13" s="465"/>
      <c r="M13" s="496"/>
      <c r="N13" s="465"/>
      <c r="O13" s="465"/>
      <c r="P13" s="465"/>
      <c r="Q13" s="496"/>
      <c r="R13" s="485"/>
      <c r="S13" s="486"/>
    </row>
    <row r="14" spans="1:19" s="95" customFormat="1" ht="30.75" thickBot="1">
      <c r="A14" s="97" t="s">
        <v>139</v>
      </c>
      <c r="B14" s="98" t="s">
        <v>140</v>
      </c>
      <c r="C14" s="367">
        <f>I14+M14+Q14</f>
        <v>8772269</v>
      </c>
      <c r="D14" s="366">
        <f>1818000+102555</f>
        <v>1920555</v>
      </c>
      <c r="E14" s="365">
        <f>547000+27690-5278</f>
        <v>569412</v>
      </c>
      <c r="F14" s="365">
        <f>2394000+48+63487+2000+72794+1000+20000+5000</f>
        <v>2558329</v>
      </c>
      <c r="G14" s="365"/>
      <c r="H14" s="365">
        <f>288000+1800000-63487-2000-10980+2821554-50000-72794-3543-55360-571500-1000-8+397875-729224-23560</f>
        <v>3723973</v>
      </c>
      <c r="I14" s="364">
        <f>SUM(D14:H14)</f>
        <v>8772269</v>
      </c>
      <c r="J14" s="363"/>
      <c r="K14" s="363"/>
      <c r="L14" s="363"/>
      <c r="M14" s="362"/>
      <c r="N14" s="357"/>
      <c r="O14" s="361"/>
      <c r="P14" s="360"/>
      <c r="Q14" s="360"/>
      <c r="R14" s="369"/>
      <c r="S14" s="371"/>
    </row>
    <row r="15" spans="1:19" s="95" customFormat="1" ht="25.5" customHeight="1">
      <c r="A15" s="99" t="s">
        <v>141</v>
      </c>
      <c r="B15" s="98" t="s">
        <v>23</v>
      </c>
      <c r="C15" s="367">
        <f>I15+M15+Q15</f>
        <v>123000</v>
      </c>
      <c r="D15" s="366"/>
      <c r="E15" s="365"/>
      <c r="F15" s="365">
        <v>123000</v>
      </c>
      <c r="G15" s="365"/>
      <c r="H15" s="365"/>
      <c r="I15" s="364">
        <f>SUM(D15:H15)</f>
        <v>123000</v>
      </c>
      <c r="J15" s="363"/>
      <c r="K15" s="363"/>
      <c r="L15" s="363"/>
      <c r="M15" s="362"/>
      <c r="N15" s="362"/>
      <c r="O15" s="361"/>
      <c r="P15" s="360"/>
      <c r="Q15" s="360"/>
      <c r="R15" s="370"/>
      <c r="S15" s="358"/>
    </row>
    <row r="16" spans="1:19" s="95" customFormat="1" ht="30">
      <c r="A16" s="99" t="s">
        <v>221</v>
      </c>
      <c r="B16" s="98" t="s">
        <v>395</v>
      </c>
      <c r="C16" s="367">
        <f>I16+M16+Q16</f>
        <v>979786</v>
      </c>
      <c r="D16" s="366"/>
      <c r="E16" s="365"/>
      <c r="F16" s="365"/>
      <c r="G16" s="365"/>
      <c r="H16" s="365">
        <f>10980+55360</f>
        <v>66340</v>
      </c>
      <c r="I16" s="364">
        <f>SUM(D16:H16)</f>
        <v>66340</v>
      </c>
      <c r="J16" s="363"/>
      <c r="K16" s="363"/>
      <c r="L16" s="363"/>
      <c r="M16" s="362"/>
      <c r="N16" s="362">
        <v>913446</v>
      </c>
      <c r="O16" s="361"/>
      <c r="P16" s="360"/>
      <c r="Q16" s="360">
        <f>SUM(N16:P16)</f>
        <v>913446</v>
      </c>
      <c r="R16" s="370"/>
      <c r="S16" s="358"/>
    </row>
    <row r="17" spans="1:19" s="95" customFormat="1" ht="22.5" customHeight="1">
      <c r="A17" s="99" t="s">
        <v>431</v>
      </c>
      <c r="B17" s="98" t="s">
        <v>430</v>
      </c>
      <c r="C17" s="367">
        <f>I17+M17+Q17</f>
        <v>1811187</v>
      </c>
      <c r="D17" s="366">
        <f>639743+662061+273130</f>
        <v>1574934</v>
      </c>
      <c r="E17" s="365">
        <f>172731+21372+36872+5278</f>
        <v>236253</v>
      </c>
      <c r="F17" s="365"/>
      <c r="G17" s="365"/>
      <c r="H17" s="365"/>
      <c r="I17" s="364">
        <f>SUM(D17:H17)</f>
        <v>1811187</v>
      </c>
      <c r="J17" s="363"/>
      <c r="K17" s="363"/>
      <c r="L17" s="363"/>
      <c r="M17" s="362"/>
      <c r="N17" s="362"/>
      <c r="O17" s="361"/>
      <c r="P17" s="360"/>
      <c r="Q17" s="360"/>
      <c r="R17" s="370">
        <v>2</v>
      </c>
      <c r="S17" s="358">
        <v>2</v>
      </c>
    </row>
    <row r="18" spans="1:19" s="95" customFormat="1" ht="30">
      <c r="A18" s="99" t="s">
        <v>397</v>
      </c>
      <c r="B18" s="98" t="s">
        <v>398</v>
      </c>
      <c r="C18" s="367">
        <f>I18+M18+Q18</f>
        <v>3359008</v>
      </c>
      <c r="D18" s="366"/>
      <c r="E18" s="365"/>
      <c r="F18" s="365">
        <f>1701000+498000</f>
        <v>2199000</v>
      </c>
      <c r="G18" s="365"/>
      <c r="H18" s="365"/>
      <c r="I18" s="364">
        <f>SUM(D18:H18)</f>
        <v>2199000</v>
      </c>
      <c r="J18" s="363"/>
      <c r="K18" s="363">
        <f>1160000+8</f>
        <v>1160008</v>
      </c>
      <c r="L18" s="363"/>
      <c r="M18" s="362">
        <f>SUM(J18:L18)</f>
        <v>1160008</v>
      </c>
      <c r="N18" s="362"/>
      <c r="O18" s="361"/>
      <c r="P18" s="360"/>
      <c r="Q18" s="360"/>
      <c r="R18" s="370"/>
      <c r="S18" s="358"/>
    </row>
    <row r="19" spans="1:19" s="95" customFormat="1" ht="24" customHeight="1">
      <c r="A19" s="99" t="s">
        <v>144</v>
      </c>
      <c r="B19" s="98" t="s">
        <v>145</v>
      </c>
      <c r="C19" s="367">
        <f>I19+M19+Q19</f>
        <v>1119000</v>
      </c>
      <c r="D19" s="366"/>
      <c r="E19" s="365"/>
      <c r="F19" s="365">
        <v>1119000</v>
      </c>
      <c r="G19" s="363"/>
      <c r="H19" s="365"/>
      <c r="I19" s="364">
        <f>SUM(D19:H19)</f>
        <v>1119000</v>
      </c>
      <c r="J19" s="363"/>
      <c r="K19" s="363"/>
      <c r="L19" s="363"/>
      <c r="M19" s="362"/>
      <c r="N19" s="362"/>
      <c r="O19" s="361"/>
      <c r="P19" s="360"/>
      <c r="Q19" s="360"/>
      <c r="R19" s="359"/>
      <c r="S19" s="358"/>
    </row>
    <row r="20" spans="1:19" s="95" customFormat="1" ht="23.25" customHeight="1">
      <c r="A20" s="99" t="s">
        <v>146</v>
      </c>
      <c r="B20" s="98" t="s">
        <v>147</v>
      </c>
      <c r="C20" s="367">
        <f>I20+M20+Q20</f>
        <v>1306770</v>
      </c>
      <c r="D20" s="366">
        <v>258000</v>
      </c>
      <c r="E20" s="365">
        <v>70000</v>
      </c>
      <c r="F20" s="365">
        <f>279000+64770</f>
        <v>343770</v>
      </c>
      <c r="G20" s="363"/>
      <c r="H20" s="365"/>
      <c r="I20" s="364">
        <f>SUM(D20:H20)</f>
        <v>671770</v>
      </c>
      <c r="J20" s="363">
        <v>635000</v>
      </c>
      <c r="K20" s="363"/>
      <c r="L20" s="363"/>
      <c r="M20" s="362">
        <f>SUM(J20:L20)</f>
        <v>635000</v>
      </c>
      <c r="N20" s="362"/>
      <c r="O20" s="361"/>
      <c r="P20" s="360"/>
      <c r="Q20" s="360"/>
      <c r="R20" s="359"/>
      <c r="S20" s="358"/>
    </row>
    <row r="21" spans="1:19" s="95" customFormat="1" ht="30">
      <c r="A21" s="99" t="s">
        <v>148</v>
      </c>
      <c r="B21" s="98" t="s">
        <v>149</v>
      </c>
      <c r="C21" s="367">
        <f>I21+M21+Q21</f>
        <v>1072500</v>
      </c>
      <c r="D21" s="366"/>
      <c r="E21" s="365"/>
      <c r="F21" s="365">
        <f>451000+50000</f>
        <v>501000</v>
      </c>
      <c r="G21" s="363"/>
      <c r="H21" s="365"/>
      <c r="I21" s="364">
        <f>SUM(D21:H21)</f>
        <v>501000</v>
      </c>
      <c r="J21" s="363">
        <v>571500</v>
      </c>
      <c r="K21" s="363"/>
      <c r="L21" s="363"/>
      <c r="M21" s="362">
        <f>SUM(J21:L21)</f>
        <v>571500</v>
      </c>
      <c r="N21" s="362"/>
      <c r="O21" s="361"/>
      <c r="P21" s="360"/>
      <c r="Q21" s="360"/>
      <c r="R21" s="369"/>
      <c r="S21" s="358"/>
    </row>
    <row r="22" spans="1:19" s="95" customFormat="1" ht="23.25" customHeight="1">
      <c r="A22" s="99" t="s">
        <v>150</v>
      </c>
      <c r="B22" s="98" t="s">
        <v>22</v>
      </c>
      <c r="C22" s="367">
        <f>I22+M22+Q22</f>
        <v>327000</v>
      </c>
      <c r="D22" s="366"/>
      <c r="E22" s="365"/>
      <c r="F22" s="365">
        <v>327000</v>
      </c>
      <c r="G22" s="363"/>
      <c r="H22" s="365"/>
      <c r="I22" s="364">
        <f>SUM(D22:H22)</f>
        <v>327000</v>
      </c>
      <c r="J22" s="363"/>
      <c r="K22" s="363"/>
      <c r="L22" s="363"/>
      <c r="M22" s="362">
        <f>SUM(J22:L22)</f>
        <v>0</v>
      </c>
      <c r="N22" s="362"/>
      <c r="O22" s="361"/>
      <c r="P22" s="360"/>
      <c r="Q22" s="360"/>
      <c r="R22" s="359"/>
      <c r="S22" s="358"/>
    </row>
    <row r="23" spans="1:19" s="95" customFormat="1" ht="21.75" customHeight="1">
      <c r="A23" s="99" t="s">
        <v>151</v>
      </c>
      <c r="B23" s="98" t="s">
        <v>24</v>
      </c>
      <c r="C23" s="367">
        <f>I23+M23+Q23</f>
        <v>1500201</v>
      </c>
      <c r="D23" s="366">
        <v>208000</v>
      </c>
      <c r="E23" s="365">
        <v>60000</v>
      </c>
      <c r="F23" s="365">
        <v>981000</v>
      </c>
      <c r="G23" s="365"/>
      <c r="H23" s="365"/>
      <c r="I23" s="364">
        <f>SUM(D23:H23)</f>
        <v>1249000</v>
      </c>
      <c r="J23" s="363">
        <f>381000-99800-29999</f>
        <v>251201</v>
      </c>
      <c r="K23" s="363"/>
      <c r="L23" s="363"/>
      <c r="M23" s="362">
        <f>SUM(J23:L23)</f>
        <v>251201</v>
      </c>
      <c r="N23" s="362"/>
      <c r="O23" s="361"/>
      <c r="P23" s="360"/>
      <c r="Q23" s="360"/>
      <c r="R23" s="359"/>
      <c r="S23" s="358"/>
    </row>
    <row r="24" spans="1:19" s="95" customFormat="1" ht="30">
      <c r="A24" s="99" t="s">
        <v>346</v>
      </c>
      <c r="B24" s="98" t="s">
        <v>347</v>
      </c>
      <c r="C24" s="367">
        <f>I24+M24+Q24</f>
        <v>1595356</v>
      </c>
      <c r="D24" s="366">
        <f>200000+224950</f>
        <v>424950</v>
      </c>
      <c r="E24" s="365">
        <f>102000+146072</f>
        <v>248072</v>
      </c>
      <c r="F24" s="365">
        <f>497000+3543+207695+60737+23560</f>
        <v>792535</v>
      </c>
      <c r="G24" s="365"/>
      <c r="H24" s="365"/>
      <c r="I24" s="364">
        <f>SUM(D24:H24)</f>
        <v>1465557</v>
      </c>
      <c r="J24" s="363">
        <f>99800+29999</f>
        <v>129799</v>
      </c>
      <c r="K24" s="363"/>
      <c r="L24" s="363"/>
      <c r="M24" s="362">
        <f>SUM(J24:L24)</f>
        <v>129799</v>
      </c>
      <c r="N24" s="362"/>
      <c r="O24" s="361"/>
      <c r="P24" s="360"/>
      <c r="Q24" s="360"/>
      <c r="R24" s="359"/>
      <c r="S24" s="358"/>
    </row>
    <row r="25" spans="1:19" s="95" customFormat="1" ht="32.25" customHeight="1">
      <c r="A25" s="99">
        <v>104051</v>
      </c>
      <c r="B25" s="368" t="s">
        <v>268</v>
      </c>
      <c r="C25" s="367">
        <f>I25+M25+Q25</f>
        <v>76000</v>
      </c>
      <c r="D25" s="366"/>
      <c r="E25" s="365"/>
      <c r="F25" s="365"/>
      <c r="G25" s="365">
        <v>76000</v>
      </c>
      <c r="H25" s="365"/>
      <c r="I25" s="364">
        <f>SUM(D25:H25)</f>
        <v>76000</v>
      </c>
      <c r="J25" s="363"/>
      <c r="K25" s="363"/>
      <c r="L25" s="363"/>
      <c r="M25" s="362"/>
      <c r="N25" s="362"/>
      <c r="O25" s="361"/>
      <c r="P25" s="360"/>
      <c r="Q25" s="360"/>
      <c r="R25" s="359"/>
      <c r="S25" s="358"/>
    </row>
    <row r="26" spans="1:19" s="95" customFormat="1" ht="30">
      <c r="A26" s="99">
        <v>106020</v>
      </c>
      <c r="B26" s="98" t="s">
        <v>152</v>
      </c>
      <c r="C26" s="367">
        <f>I26+M26+Q26</f>
        <v>157200</v>
      </c>
      <c r="D26" s="366"/>
      <c r="E26" s="365"/>
      <c r="F26" s="365"/>
      <c r="G26" s="365">
        <f>250000-92800</f>
        <v>157200</v>
      </c>
      <c r="H26" s="365"/>
      <c r="I26" s="364">
        <f>SUM(D26:H26)</f>
        <v>157200</v>
      </c>
      <c r="J26" s="363"/>
      <c r="K26" s="363"/>
      <c r="L26" s="363"/>
      <c r="M26" s="362"/>
      <c r="N26" s="362"/>
      <c r="O26" s="361"/>
      <c r="P26" s="360"/>
      <c r="Q26" s="360"/>
      <c r="R26" s="359"/>
      <c r="S26" s="358"/>
    </row>
    <row r="27" spans="1:19" s="95" customFormat="1" ht="25.5" customHeight="1">
      <c r="A27" s="99" t="s">
        <v>153</v>
      </c>
      <c r="B27" s="100" t="s">
        <v>348</v>
      </c>
      <c r="C27" s="367">
        <f>I27+M27+Q27</f>
        <v>678000</v>
      </c>
      <c r="D27" s="366"/>
      <c r="E27" s="365"/>
      <c r="F27" s="365">
        <v>678000</v>
      </c>
      <c r="G27" s="365"/>
      <c r="H27" s="365"/>
      <c r="I27" s="364">
        <f>SUM(D27:H27)</f>
        <v>678000</v>
      </c>
      <c r="J27" s="363"/>
      <c r="K27" s="363"/>
      <c r="L27" s="363"/>
      <c r="M27" s="362"/>
      <c r="N27" s="362"/>
      <c r="O27" s="361"/>
      <c r="P27" s="360"/>
      <c r="Q27" s="360"/>
      <c r="R27" s="359"/>
      <c r="S27" s="358"/>
    </row>
    <row r="28" spans="1:19" s="95" customFormat="1" ht="24.75" customHeight="1">
      <c r="A28" s="99">
        <v>107055</v>
      </c>
      <c r="B28" s="101" t="s">
        <v>349</v>
      </c>
      <c r="C28" s="367">
        <f>I28+M28+Q28</f>
        <v>4394645</v>
      </c>
      <c r="D28" s="366">
        <f>2562000+18900+53400+6300+18900+26700+12600+26700</f>
        <v>2725500</v>
      </c>
      <c r="E28" s="365">
        <f>619000+5103+14418+1701+5103+7209+3402+7209</f>
        <v>663145</v>
      </c>
      <c r="F28" s="365">
        <v>1006000</v>
      </c>
      <c r="G28" s="365"/>
      <c r="H28" s="365"/>
      <c r="I28" s="364">
        <f>SUM(D28:H28)</f>
        <v>4394645</v>
      </c>
      <c r="J28" s="363"/>
      <c r="K28" s="363"/>
      <c r="L28" s="363"/>
      <c r="M28" s="362"/>
      <c r="N28" s="362"/>
      <c r="O28" s="361"/>
      <c r="P28" s="360"/>
      <c r="Q28" s="360"/>
      <c r="R28" s="359">
        <v>1</v>
      </c>
      <c r="S28" s="358">
        <v>1</v>
      </c>
    </row>
    <row r="29" spans="1:19" s="95" customFormat="1" ht="30.75" thickBot="1">
      <c r="A29" s="99">
        <v>107060</v>
      </c>
      <c r="B29" s="98" t="s">
        <v>154</v>
      </c>
      <c r="C29" s="367">
        <f>I29+M29+Q29</f>
        <v>629800</v>
      </c>
      <c r="D29" s="366"/>
      <c r="E29" s="365"/>
      <c r="F29" s="365"/>
      <c r="G29" s="365">
        <f>1035000-405200</f>
        <v>629800</v>
      </c>
      <c r="H29" s="365"/>
      <c r="I29" s="364">
        <f>SUM(D29:H29)</f>
        <v>629800</v>
      </c>
      <c r="J29" s="363"/>
      <c r="K29" s="363"/>
      <c r="L29" s="363"/>
      <c r="M29" s="362"/>
      <c r="N29" s="362"/>
      <c r="O29" s="361"/>
      <c r="P29" s="360"/>
      <c r="Q29" s="360"/>
      <c r="R29" s="359"/>
      <c r="S29" s="358"/>
    </row>
    <row r="30" spans="1:19" s="95" customFormat="1" ht="33.75" customHeight="1" thickBot="1">
      <c r="A30" s="147"/>
      <c r="B30" s="148" t="s">
        <v>227</v>
      </c>
      <c r="C30" s="357">
        <f>SUM(C14:C29)</f>
        <v>27901722</v>
      </c>
      <c r="D30" s="357">
        <f>SUM(D14:D29)</f>
        <v>7111939</v>
      </c>
      <c r="E30" s="357">
        <f>SUM(E14:E29)</f>
        <v>1846882</v>
      </c>
      <c r="F30" s="357">
        <f>SUM(F14:F29)</f>
        <v>10628634</v>
      </c>
      <c r="G30" s="357">
        <f>SUM(G14:G29)</f>
        <v>863000</v>
      </c>
      <c r="H30" s="357">
        <f>SUM(H14:H29)</f>
        <v>3790313</v>
      </c>
      <c r="I30" s="357">
        <f>SUM(I14:I29)</f>
        <v>24240768</v>
      </c>
      <c r="J30" s="357">
        <f>SUM(J14:J29)</f>
        <v>1587500</v>
      </c>
      <c r="K30" s="357">
        <f>SUM(K14:K29)</f>
        <v>1160008</v>
      </c>
      <c r="L30" s="357">
        <f>SUM(L14:L29)</f>
        <v>0</v>
      </c>
      <c r="M30" s="357">
        <f>SUM(M14:M29)</f>
        <v>2747508</v>
      </c>
      <c r="N30" s="357">
        <f>SUM(N14:N29)</f>
        <v>913446</v>
      </c>
      <c r="O30" s="357"/>
      <c r="P30" s="357"/>
      <c r="Q30" s="357">
        <f>SUM(Q14:Q29)</f>
        <v>913446</v>
      </c>
      <c r="R30" s="357">
        <f>SUM(R14:R29)</f>
        <v>3</v>
      </c>
      <c r="S30" s="356">
        <f>SUM(S14:S29)</f>
        <v>3</v>
      </c>
    </row>
  </sheetData>
  <sheetProtection/>
  <mergeCells count="32">
    <mergeCell ref="A9:A13"/>
    <mergeCell ref="A3:S3"/>
    <mergeCell ref="H11:H13"/>
    <mergeCell ref="A5:S5"/>
    <mergeCell ref="R12:S13"/>
    <mergeCell ref="P11:P13"/>
    <mergeCell ref="D11:D13"/>
    <mergeCell ref="F11:F13"/>
    <mergeCell ref="R8:S8"/>
    <mergeCell ref="J10:M10"/>
    <mergeCell ref="M11:M13"/>
    <mergeCell ref="Q11:Q13"/>
    <mergeCell ref="K11:K13"/>
    <mergeCell ref="L11:L13"/>
    <mergeCell ref="C9:C13"/>
    <mergeCell ref="R10:S10"/>
    <mergeCell ref="N10:Q10"/>
    <mergeCell ref="E11:E13"/>
    <mergeCell ref="D10:I10"/>
    <mergeCell ref="J11:J13"/>
    <mergeCell ref="O11:O13"/>
    <mergeCell ref="G11:G13"/>
    <mergeCell ref="A1:S1"/>
    <mergeCell ref="A4:S4"/>
    <mergeCell ref="A2:P2"/>
    <mergeCell ref="D9:Q9"/>
    <mergeCell ref="B9:B13"/>
    <mergeCell ref="A7:S7"/>
    <mergeCell ref="R9:S9"/>
    <mergeCell ref="I11:I13"/>
    <mergeCell ref="N11:N13"/>
    <mergeCell ref="A6:S6"/>
  </mergeCells>
  <printOptions horizontalCentered="1"/>
  <pageMargins left="0" right="0" top="0.984251968503937" bottom="0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pane xSplit="19590" topLeftCell="G1" activePane="topLeft" state="split"/>
      <selection pane="topLeft" activeCell="D30" sqref="D30"/>
      <selection pane="topRight" activeCell="G4" sqref="G4"/>
    </sheetView>
  </sheetViews>
  <sheetFormatPr defaultColWidth="9.00390625" defaultRowHeight="12.75"/>
  <cols>
    <col min="1" max="1" width="9.125" style="142" customWidth="1"/>
    <col min="2" max="2" width="63.125" style="142" customWidth="1"/>
    <col min="3" max="6" width="26.25390625" style="142" customWidth="1"/>
    <col min="7" max="16384" width="9.125" style="142" customWidth="1"/>
  </cols>
  <sheetData>
    <row r="1" spans="1:6" ht="15.75">
      <c r="A1" s="441"/>
      <c r="B1" s="411"/>
      <c r="C1" s="411"/>
      <c r="D1" s="411"/>
      <c r="E1" s="411"/>
      <c r="F1" s="411"/>
    </row>
    <row r="2" spans="1:6" s="138" customFormat="1" ht="15.75">
      <c r="A2" s="107" t="s">
        <v>447</v>
      </c>
      <c r="C2" s="139"/>
      <c r="D2" s="264"/>
      <c r="E2" s="264"/>
      <c r="F2" s="264"/>
    </row>
    <row r="3" spans="2:6" s="67" customFormat="1" ht="15" customHeight="1">
      <c r="B3" s="502"/>
      <c r="C3" s="502"/>
      <c r="D3" s="502"/>
      <c r="E3" s="502"/>
      <c r="F3" s="502"/>
    </row>
    <row r="4" spans="2:6" s="140" customFormat="1" ht="15" customHeight="1">
      <c r="B4" s="439"/>
      <c r="C4" s="397"/>
      <c r="D4" s="397"/>
      <c r="E4" s="397"/>
      <c r="F4" s="397"/>
    </row>
    <row r="5" spans="2:6" s="105" customFormat="1" ht="15" customHeight="1">
      <c r="B5" s="439" t="s">
        <v>342</v>
      </c>
      <c r="C5" s="439"/>
      <c r="D5" s="439"/>
      <c r="E5" s="439"/>
      <c r="F5" s="439"/>
    </row>
    <row r="6" spans="2:6" s="105" customFormat="1" ht="15.75">
      <c r="B6" s="440" t="s">
        <v>228</v>
      </c>
      <c r="C6" s="440"/>
      <c r="D6" s="440"/>
      <c r="E6" s="440"/>
      <c r="F6" s="440"/>
    </row>
    <row r="7" spans="2:6" s="105" customFormat="1" ht="15" customHeight="1">
      <c r="B7" s="439" t="s">
        <v>376</v>
      </c>
      <c r="C7" s="439"/>
      <c r="D7" s="439"/>
      <c r="E7" s="439"/>
      <c r="F7" s="439"/>
    </row>
    <row r="8" spans="2:6" s="138" customFormat="1" ht="12" customHeight="1" thickBot="1">
      <c r="B8" s="139"/>
      <c r="C8" s="141"/>
      <c r="D8" s="260"/>
      <c r="E8" s="260"/>
      <c r="F8" s="263" t="s">
        <v>434</v>
      </c>
    </row>
    <row r="9" spans="1:6" s="138" customFormat="1" ht="16.5" customHeight="1" thickBot="1">
      <c r="A9" s="443" t="s">
        <v>122</v>
      </c>
      <c r="B9" s="446" t="s">
        <v>123</v>
      </c>
      <c r="C9" s="449" t="s">
        <v>229</v>
      </c>
      <c r="D9" s="452" t="s">
        <v>216</v>
      </c>
      <c r="E9" s="452"/>
      <c r="F9" s="453"/>
    </row>
    <row r="10" spans="1:6" s="138" customFormat="1" ht="33" customHeight="1" thickBot="1">
      <c r="A10" s="444"/>
      <c r="B10" s="447"/>
      <c r="C10" s="450"/>
      <c r="D10" s="256" t="s">
        <v>217</v>
      </c>
      <c r="E10" s="258" t="s">
        <v>218</v>
      </c>
      <c r="F10" s="257" t="s">
        <v>219</v>
      </c>
    </row>
    <row r="11" spans="1:6" s="138" customFormat="1" ht="22.5" customHeight="1">
      <c r="A11" s="444"/>
      <c r="B11" s="447"/>
      <c r="C11" s="450"/>
      <c r="D11" s="454" t="s">
        <v>220</v>
      </c>
      <c r="E11" s="455"/>
      <c r="F11" s="456"/>
    </row>
    <row r="12" spans="1:6" ht="12.75">
      <c r="A12" s="444"/>
      <c r="B12" s="447"/>
      <c r="C12" s="450"/>
      <c r="D12" s="457"/>
      <c r="E12" s="458"/>
      <c r="F12" s="459"/>
    </row>
    <row r="13" spans="1:6" ht="3" customHeight="1" thickBot="1">
      <c r="A13" s="445"/>
      <c r="B13" s="448"/>
      <c r="C13" s="451"/>
      <c r="D13" s="460"/>
      <c r="E13" s="461"/>
      <c r="F13" s="462"/>
    </row>
    <row r="14" spans="1:6" ht="30">
      <c r="A14" s="97" t="s">
        <v>139</v>
      </c>
      <c r="B14" s="98" t="s">
        <v>140</v>
      </c>
      <c r="C14" s="355">
        <f>SUM(D14:F14)</f>
        <v>8772269</v>
      </c>
      <c r="D14" s="355">
        <f>6438000+48+2821554-10980-127345+73794-571500-729224+130245+25000+397875-55360-5278-23560</f>
        <v>8363269</v>
      </c>
      <c r="E14" s="355">
        <v>409000</v>
      </c>
      <c r="F14" s="355"/>
    </row>
    <row r="15" spans="1:6" ht="15">
      <c r="A15" s="99" t="s">
        <v>141</v>
      </c>
      <c r="B15" s="98" t="s">
        <v>23</v>
      </c>
      <c r="C15" s="353">
        <f>SUM(D15:F15)</f>
        <v>123000</v>
      </c>
      <c r="D15" s="353">
        <v>123000</v>
      </c>
      <c r="E15" s="353"/>
      <c r="F15" s="353"/>
    </row>
    <row r="16" spans="1:6" ht="15">
      <c r="A16" s="99" t="s">
        <v>221</v>
      </c>
      <c r="B16" s="98" t="s">
        <v>404</v>
      </c>
      <c r="C16" s="353">
        <f>SUM(D16:F16)</f>
        <v>979786</v>
      </c>
      <c r="D16" s="353">
        <f>913446+10980+55360</f>
        <v>979786</v>
      </c>
      <c r="E16" s="353"/>
      <c r="F16" s="353"/>
    </row>
    <row r="17" spans="1:6" ht="15">
      <c r="A17" s="99" t="s">
        <v>431</v>
      </c>
      <c r="B17" s="98" t="s">
        <v>435</v>
      </c>
      <c r="C17" s="353">
        <f>SUM(D17:F17)</f>
        <v>1811187</v>
      </c>
      <c r="D17" s="353">
        <f>812474+683433+5278+310002</f>
        <v>1811187</v>
      </c>
      <c r="E17" s="353"/>
      <c r="F17" s="353"/>
    </row>
    <row r="18" spans="1:6" ht="15">
      <c r="A18" s="99" t="s">
        <v>397</v>
      </c>
      <c r="B18" s="98" t="s">
        <v>405</v>
      </c>
      <c r="C18" s="353">
        <f>SUM(D18:F18)</f>
        <v>3359008</v>
      </c>
      <c r="D18" s="353">
        <f>2861000+498000+8</f>
        <v>3359008</v>
      </c>
      <c r="E18" s="353"/>
      <c r="F18" s="353"/>
    </row>
    <row r="19" spans="1:6" ht="15">
      <c r="A19" s="99" t="s">
        <v>144</v>
      </c>
      <c r="B19" s="98" t="s">
        <v>145</v>
      </c>
      <c r="C19" s="353">
        <f>SUM(D19:F19)</f>
        <v>1119000</v>
      </c>
      <c r="D19" s="353">
        <v>1119000</v>
      </c>
      <c r="E19" s="353"/>
      <c r="F19" s="353"/>
    </row>
    <row r="20" spans="1:6" ht="15">
      <c r="A20" s="99" t="s">
        <v>146</v>
      </c>
      <c r="B20" s="98" t="s">
        <v>147</v>
      </c>
      <c r="C20" s="353">
        <f>SUM(D20:F20)</f>
        <v>1306770</v>
      </c>
      <c r="D20" s="353">
        <f>1242000+64770</f>
        <v>1306770</v>
      </c>
      <c r="E20" s="353"/>
      <c r="F20" s="353"/>
    </row>
    <row r="21" spans="1:6" ht="15">
      <c r="A21" s="99" t="s">
        <v>148</v>
      </c>
      <c r="B21" s="98" t="s">
        <v>149</v>
      </c>
      <c r="C21" s="353">
        <f>SUM(D21:F21)</f>
        <v>1072500</v>
      </c>
      <c r="D21" s="353">
        <f>451000+50000+571500</f>
        <v>1072500</v>
      </c>
      <c r="E21" s="353"/>
      <c r="F21" s="353"/>
    </row>
    <row r="22" spans="1:6" ht="15">
      <c r="A22" s="99" t="s">
        <v>150</v>
      </c>
      <c r="B22" s="98" t="s">
        <v>22</v>
      </c>
      <c r="C22" s="353">
        <f>SUM(D22:F22)</f>
        <v>327000</v>
      </c>
      <c r="D22" s="353">
        <v>327000</v>
      </c>
      <c r="E22" s="353"/>
      <c r="F22" s="353"/>
    </row>
    <row r="23" spans="1:6" ht="15">
      <c r="A23" s="99" t="s">
        <v>151</v>
      </c>
      <c r="B23" s="98" t="s">
        <v>24</v>
      </c>
      <c r="C23" s="353">
        <f>SUM(D23:F23)</f>
        <v>1500201</v>
      </c>
      <c r="D23" s="353">
        <f>1607000-99800-29999</f>
        <v>1477201</v>
      </c>
      <c r="E23" s="353">
        <v>23000</v>
      </c>
      <c r="F23" s="353"/>
    </row>
    <row r="24" spans="1:6" ht="15">
      <c r="A24" s="99" t="s">
        <v>346</v>
      </c>
      <c r="B24" s="98" t="s">
        <v>347</v>
      </c>
      <c r="C24" s="353">
        <f>SUM(D24:F24)</f>
        <v>1595356</v>
      </c>
      <c r="D24" s="353">
        <f>497000+99800+3543+207695+29999+23560</f>
        <v>861597</v>
      </c>
      <c r="E24" s="353">
        <f>302000+285687+146072</f>
        <v>733759</v>
      </c>
      <c r="F24" s="353"/>
    </row>
    <row r="25" spans="1:6" ht="15">
      <c r="A25" s="99">
        <v>104051</v>
      </c>
      <c r="B25" s="101" t="s">
        <v>268</v>
      </c>
      <c r="C25" s="353">
        <f>SUM(D25:F25)</f>
        <v>76000</v>
      </c>
      <c r="D25" s="353"/>
      <c r="E25" s="353"/>
      <c r="F25" s="353">
        <v>76000</v>
      </c>
    </row>
    <row r="26" spans="1:6" ht="15">
      <c r="A26" s="99">
        <v>106020</v>
      </c>
      <c r="B26" s="98" t="s">
        <v>152</v>
      </c>
      <c r="C26" s="353">
        <f>SUM(D26:F26)</f>
        <v>157200</v>
      </c>
      <c r="D26" s="353">
        <f>250000-92800</f>
        <v>157200</v>
      </c>
      <c r="E26" s="353"/>
      <c r="F26" s="353"/>
    </row>
    <row r="27" spans="1:6" ht="15">
      <c r="A27" s="99" t="s">
        <v>153</v>
      </c>
      <c r="B27" s="100" t="s">
        <v>345</v>
      </c>
      <c r="C27" s="353">
        <f>SUM(D27:F27)</f>
        <v>678000</v>
      </c>
      <c r="D27" s="353">
        <v>678000</v>
      </c>
      <c r="E27" s="353"/>
      <c r="F27" s="353"/>
    </row>
    <row r="28" spans="1:6" ht="15">
      <c r="A28" s="99">
        <v>107055</v>
      </c>
      <c r="B28" s="101" t="s">
        <v>349</v>
      </c>
      <c r="C28" s="353">
        <f>SUM(D28:F28)</f>
        <v>4394645</v>
      </c>
      <c r="D28" s="353">
        <f>4057000+24003+67818+8001+24003+33909+33909+16002</f>
        <v>4264645</v>
      </c>
      <c r="E28" s="353">
        <f>96000+16000+18000</f>
        <v>130000</v>
      </c>
      <c r="F28" s="353"/>
    </row>
    <row r="29" spans="1:6" ht="15.75" thickBot="1">
      <c r="A29" s="99">
        <v>107060</v>
      </c>
      <c r="B29" s="100" t="s">
        <v>154</v>
      </c>
      <c r="C29" s="353">
        <f>SUM(D29:F29)</f>
        <v>629800</v>
      </c>
      <c r="D29" s="353">
        <f>1035000-405200</f>
        <v>629800</v>
      </c>
      <c r="E29" s="353"/>
      <c r="F29" s="353"/>
    </row>
    <row r="30" spans="1:6" ht="33" customHeight="1" thickBot="1">
      <c r="A30" s="143"/>
      <c r="B30" s="144" t="s">
        <v>2</v>
      </c>
      <c r="C30" s="351">
        <f>SUM(C14:C29)</f>
        <v>27901722</v>
      </c>
      <c r="D30" s="351">
        <f>SUM(D14:D29)</f>
        <v>26529963</v>
      </c>
      <c r="E30" s="351">
        <f>SUM(E14:E29)</f>
        <v>1295759</v>
      </c>
      <c r="F30" s="351">
        <f>SUM(F14:F29)</f>
        <v>76000</v>
      </c>
    </row>
  </sheetData>
  <sheetProtection/>
  <mergeCells count="11">
    <mergeCell ref="A9:A13"/>
    <mergeCell ref="B9:B13"/>
    <mergeCell ref="C9:C13"/>
    <mergeCell ref="D9:F9"/>
    <mergeCell ref="D11:F13"/>
    <mergeCell ref="B3:F3"/>
    <mergeCell ref="B5:F5"/>
    <mergeCell ref="B6:F6"/>
    <mergeCell ref="B7:F7"/>
    <mergeCell ref="A1:F1"/>
    <mergeCell ref="B4:F4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2" width="9.125" style="12" customWidth="1"/>
    <col min="3" max="3" width="23.125" style="12" customWidth="1"/>
    <col min="4" max="4" width="17.375" style="12" customWidth="1"/>
    <col min="5" max="5" width="14.375" style="12" customWidth="1"/>
    <col min="6" max="6" width="17.125" style="12" customWidth="1"/>
    <col min="7" max="16384" width="9.125" style="12" customWidth="1"/>
  </cols>
  <sheetData>
    <row r="1" spans="1:10" ht="15.75">
      <c r="A1" s="441"/>
      <c r="B1" s="411"/>
      <c r="C1" s="411"/>
      <c r="D1" s="411"/>
      <c r="E1" s="411"/>
      <c r="F1" s="411"/>
      <c r="G1" s="73"/>
      <c r="H1" s="73"/>
      <c r="I1" s="73"/>
      <c r="J1" s="73"/>
    </row>
    <row r="2" spans="1:6" ht="15.75">
      <c r="A2" s="442" t="s">
        <v>448</v>
      </c>
      <c r="B2" s="409"/>
      <c r="C2" s="409"/>
      <c r="D2" s="409"/>
      <c r="E2" s="409"/>
      <c r="F2" s="409"/>
    </row>
    <row r="3" spans="1:6" ht="15">
      <c r="A3" s="521"/>
      <c r="B3" s="521"/>
      <c r="C3" s="521"/>
      <c r="D3" s="521"/>
      <c r="E3" s="521"/>
      <c r="F3" s="521"/>
    </row>
    <row r="4" ht="12.75" customHeight="1"/>
    <row r="5" spans="1:6" s="21" customFormat="1" ht="15.75">
      <c r="A5" s="522" t="s">
        <v>342</v>
      </c>
      <c r="B5" s="522"/>
      <c r="C5" s="522"/>
      <c r="D5" s="522"/>
      <c r="E5" s="522"/>
      <c r="F5" s="522"/>
    </row>
    <row r="6" spans="1:6" s="21" customFormat="1" ht="15.75">
      <c r="A6" s="522" t="s">
        <v>393</v>
      </c>
      <c r="B6" s="522"/>
      <c r="C6" s="522"/>
      <c r="D6" s="522"/>
      <c r="E6" s="522"/>
      <c r="F6" s="522"/>
    </row>
    <row r="7" spans="1:6" ht="18.75">
      <c r="A7" s="523"/>
      <c r="B7" s="523"/>
      <c r="C7" s="523"/>
      <c r="D7" s="523"/>
      <c r="E7" s="523"/>
      <c r="F7" s="523"/>
    </row>
    <row r="8" ht="15">
      <c r="F8" s="102" t="s">
        <v>429</v>
      </c>
    </row>
    <row r="9" spans="1:6" ht="15">
      <c r="A9" s="507" t="s">
        <v>0</v>
      </c>
      <c r="B9" s="508"/>
      <c r="C9" s="508"/>
      <c r="D9" s="508"/>
      <c r="E9" s="509"/>
      <c r="F9" s="504" t="s">
        <v>8</v>
      </c>
    </row>
    <row r="10" spans="1:6" ht="15">
      <c r="A10" s="510"/>
      <c r="B10" s="511"/>
      <c r="C10" s="511"/>
      <c r="D10" s="511"/>
      <c r="E10" s="512"/>
      <c r="F10" s="505"/>
    </row>
    <row r="11" spans="1:6" ht="15">
      <c r="A11" s="513"/>
      <c r="B11" s="514"/>
      <c r="C11" s="514"/>
      <c r="D11" s="514"/>
      <c r="E11" s="515"/>
      <c r="F11" s="506"/>
    </row>
    <row r="12" spans="1:6" ht="15">
      <c r="A12" s="14" t="s">
        <v>155</v>
      </c>
      <c r="E12" s="22"/>
      <c r="F12" s="23"/>
    </row>
    <row r="13" spans="1:6" ht="15">
      <c r="A13" s="14"/>
      <c r="E13" s="22"/>
      <c r="F13" s="23"/>
    </row>
    <row r="14" spans="1:2" s="14" customFormat="1" ht="15">
      <c r="A14" s="102"/>
      <c r="B14" s="12"/>
    </row>
    <row r="15" spans="1:6" ht="33" customHeight="1">
      <c r="A15" s="14"/>
      <c r="B15" s="518" t="s">
        <v>156</v>
      </c>
      <c r="C15" s="518"/>
      <c r="D15" s="518"/>
      <c r="E15" s="518"/>
      <c r="F15" s="265"/>
    </row>
    <row r="16" ht="13.5" customHeight="1">
      <c r="F16" s="265"/>
    </row>
    <row r="17" spans="1:255" ht="15.75">
      <c r="A17" s="13" t="s">
        <v>27</v>
      </c>
      <c r="B17" s="503" t="s">
        <v>353</v>
      </c>
      <c r="C17" s="503"/>
      <c r="D17" s="503"/>
      <c r="E17" s="503"/>
      <c r="F17" s="265">
        <v>86000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</row>
    <row r="18" spans="1:255" ht="15.75">
      <c r="A18" s="13" t="s">
        <v>21</v>
      </c>
      <c r="B18" s="503" t="s">
        <v>354</v>
      </c>
      <c r="C18" s="503"/>
      <c r="D18" s="503"/>
      <c r="E18" s="503"/>
      <c r="F18" s="265">
        <v>10000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</row>
    <row r="19" spans="1:255" ht="15.75">
      <c r="A19" s="13" t="s">
        <v>28</v>
      </c>
      <c r="B19" s="517" t="s">
        <v>355</v>
      </c>
      <c r="C19" s="517"/>
      <c r="D19" s="517"/>
      <c r="E19" s="517"/>
      <c r="F19" s="265">
        <v>80000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</row>
    <row r="20" spans="1:255" ht="15.75">
      <c r="A20" s="103" t="s">
        <v>27</v>
      </c>
      <c r="B20" s="516" t="s">
        <v>350</v>
      </c>
      <c r="C20" s="516"/>
      <c r="D20" s="516"/>
      <c r="E20" s="516"/>
      <c r="F20" s="265">
        <v>4000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</row>
    <row r="21" spans="1:255" ht="15.75">
      <c r="A21" s="104" t="s">
        <v>21</v>
      </c>
      <c r="B21" s="516" t="s">
        <v>351</v>
      </c>
      <c r="C21" s="516"/>
      <c r="D21" s="516"/>
      <c r="E21" s="516"/>
      <c r="F21" s="265">
        <v>8000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</row>
    <row r="22" spans="1:255" ht="15.75">
      <c r="A22" s="13" t="s">
        <v>28</v>
      </c>
      <c r="B22" s="516" t="s">
        <v>352</v>
      </c>
      <c r="C22" s="516"/>
      <c r="D22" s="516"/>
      <c r="E22" s="516"/>
      <c r="F22" s="265">
        <v>100000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</row>
    <row r="23" spans="1:6" ht="13.5" customHeight="1">
      <c r="A23" s="17"/>
      <c r="F23" s="265"/>
    </row>
    <row r="24" spans="1:8" ht="32.25" customHeight="1">
      <c r="A24" s="14"/>
      <c r="B24" s="518" t="s">
        <v>157</v>
      </c>
      <c r="C24" s="518"/>
      <c r="D24" s="518"/>
      <c r="E24" s="518"/>
      <c r="F24" s="248">
        <f>SUM(F17:F23)</f>
        <v>288000</v>
      </c>
      <c r="G24" s="16"/>
      <c r="H24" s="16"/>
    </row>
    <row r="25" spans="1:8" ht="16.5" customHeight="1">
      <c r="A25" s="14"/>
      <c r="B25" s="243"/>
      <c r="C25" s="243"/>
      <c r="D25" s="243"/>
      <c r="E25" s="243"/>
      <c r="F25" s="248"/>
      <c r="G25" s="16"/>
      <c r="H25" s="16"/>
    </row>
    <row r="26" spans="1:8" ht="16.5" customHeight="1">
      <c r="A26" s="14"/>
      <c r="B26" s="518" t="s">
        <v>437</v>
      </c>
      <c r="C26" s="410"/>
      <c r="D26" s="410"/>
      <c r="E26" s="243"/>
      <c r="F26" s="248">
        <f>F27</f>
        <v>10980</v>
      </c>
      <c r="G26" s="16"/>
      <c r="H26" s="16"/>
    </row>
    <row r="27" spans="1:8" ht="16.5" customHeight="1">
      <c r="A27" s="14"/>
      <c r="B27" s="519" t="s">
        <v>436</v>
      </c>
      <c r="C27" s="520"/>
      <c r="D27" s="520"/>
      <c r="E27" s="520"/>
      <c r="F27" s="265">
        <v>10980</v>
      </c>
      <c r="G27" s="16"/>
      <c r="H27" s="16"/>
    </row>
    <row r="28" spans="1:8" ht="12.75" customHeight="1">
      <c r="A28" s="14"/>
      <c r="F28" s="265"/>
      <c r="G28" s="16"/>
      <c r="H28" s="16"/>
    </row>
    <row r="29" spans="1:7" s="18" customFormat="1" ht="15.75">
      <c r="A29" s="14" t="s">
        <v>158</v>
      </c>
      <c r="F29" s="248">
        <f>F24+F26</f>
        <v>298980</v>
      </c>
      <c r="G29" s="19"/>
    </row>
    <row r="30" spans="1:7" s="18" customFormat="1" ht="15.75">
      <c r="A30" s="14"/>
      <c r="F30" s="248"/>
      <c r="G30" s="19"/>
    </row>
    <row r="31" s="20" customFormat="1" ht="18.75">
      <c r="F31" s="253"/>
    </row>
  </sheetData>
  <sheetProtection/>
  <mergeCells count="18">
    <mergeCell ref="B26:D26"/>
    <mergeCell ref="B27:E27"/>
    <mergeCell ref="B24:E24"/>
    <mergeCell ref="A1:F1"/>
    <mergeCell ref="A2:F2"/>
    <mergeCell ref="A3:F3"/>
    <mergeCell ref="A5:F5"/>
    <mergeCell ref="A7:F7"/>
    <mergeCell ref="A6:F6"/>
    <mergeCell ref="B22:E22"/>
    <mergeCell ref="B17:E17"/>
    <mergeCell ref="B18:E18"/>
    <mergeCell ref="F9:F11"/>
    <mergeCell ref="A9:E11"/>
    <mergeCell ref="B20:E20"/>
    <mergeCell ref="B21:E21"/>
    <mergeCell ref="B19:E19"/>
    <mergeCell ref="B15:E1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7.875" style="40" customWidth="1"/>
    <col min="2" max="2" width="17.00390625" style="40" customWidth="1"/>
    <col min="3" max="16384" width="9.125" style="40" customWidth="1"/>
  </cols>
  <sheetData>
    <row r="1" spans="1:3" ht="15.75">
      <c r="A1" s="441"/>
      <c r="B1" s="472"/>
      <c r="C1" s="73"/>
    </row>
    <row r="2" spans="1:3" ht="15.75">
      <c r="A2" s="261"/>
      <c r="B2" s="262"/>
      <c r="C2" s="73"/>
    </row>
    <row r="3" spans="1:3" ht="15">
      <c r="A3" s="526" t="s">
        <v>449</v>
      </c>
      <c r="B3" s="526"/>
      <c r="C3" s="73"/>
    </row>
    <row r="4" spans="1:2" ht="15.75" customHeight="1">
      <c r="A4" s="524"/>
      <c r="B4" s="524"/>
    </row>
    <row r="5" spans="1:2" ht="15">
      <c r="A5" s="527"/>
      <c r="B5" s="527"/>
    </row>
    <row r="6" spans="1:2" s="15" customFormat="1" ht="15.75" customHeight="1">
      <c r="A6" s="525" t="s">
        <v>342</v>
      </c>
      <c r="B6" s="525"/>
    </row>
    <row r="7" spans="1:5" s="21" customFormat="1" ht="15.75">
      <c r="A7" s="522" t="s">
        <v>357</v>
      </c>
      <c r="B7" s="522"/>
      <c r="C7" s="52"/>
      <c r="D7" s="52"/>
      <c r="E7" s="52"/>
    </row>
    <row r="8" spans="1:5" s="12" customFormat="1" ht="15">
      <c r="A8" s="521" t="s">
        <v>392</v>
      </c>
      <c r="B8" s="521"/>
      <c r="C8" s="51"/>
      <c r="D8" s="51"/>
      <c r="E8" s="51"/>
    </row>
    <row r="9" ht="15.75" customHeight="1" thickBot="1">
      <c r="B9" s="41" t="s">
        <v>429</v>
      </c>
    </row>
    <row r="10" spans="1:2" ht="15" customHeight="1">
      <c r="A10" s="42"/>
      <c r="B10" s="43" t="s">
        <v>16</v>
      </c>
    </row>
    <row r="11" spans="1:2" ht="15.75" customHeight="1">
      <c r="A11" s="44" t="s">
        <v>0</v>
      </c>
      <c r="B11" s="45"/>
    </row>
    <row r="12" spans="1:2" ht="15.75" thickBot="1">
      <c r="A12" s="46"/>
      <c r="B12" s="47" t="s">
        <v>7</v>
      </c>
    </row>
    <row r="13" ht="11.25" customHeight="1"/>
    <row r="14" ht="11.25" customHeight="1">
      <c r="B14" s="265"/>
    </row>
    <row r="15" spans="1:2" ht="29.25">
      <c r="A15" s="311" t="s">
        <v>460</v>
      </c>
      <c r="B15" s="265"/>
    </row>
    <row r="16" spans="1:2" ht="15">
      <c r="A16" s="311"/>
      <c r="B16" s="265"/>
    </row>
    <row r="17" spans="1:2" ht="30" customHeight="1">
      <c r="A17" s="134" t="s">
        <v>271</v>
      </c>
      <c r="B17" s="248">
        <v>76000</v>
      </c>
    </row>
    <row r="18" spans="1:2" ht="19.5" customHeight="1">
      <c r="A18" s="134"/>
      <c r="B18" s="248"/>
    </row>
    <row r="19" spans="1:2" ht="35.25" customHeight="1">
      <c r="A19" s="310" t="s">
        <v>459</v>
      </c>
      <c r="B19" s="265"/>
    </row>
    <row r="20" spans="1:2" ht="30">
      <c r="A20" s="134" t="s">
        <v>269</v>
      </c>
      <c r="B20" s="265">
        <v>157200</v>
      </c>
    </row>
    <row r="21" spans="1:2" ht="15">
      <c r="A21" s="134"/>
      <c r="B21" s="265"/>
    </row>
    <row r="22" spans="1:2" ht="18" customHeight="1">
      <c r="A22" s="310" t="s">
        <v>458</v>
      </c>
      <c r="B22" s="265"/>
    </row>
    <row r="23" spans="1:2" ht="15">
      <c r="A23" s="134" t="s">
        <v>270</v>
      </c>
      <c r="B23" s="265">
        <f>15000+35000+164800</f>
        <v>214800</v>
      </c>
    </row>
    <row r="24" spans="1:2" ht="15">
      <c r="A24" s="134" t="s">
        <v>356</v>
      </c>
      <c r="B24" s="265">
        <v>215000</v>
      </c>
    </row>
    <row r="25" spans="1:2" ht="15">
      <c r="A25" s="134" t="s">
        <v>388</v>
      </c>
      <c r="B25" s="265">
        <v>200000</v>
      </c>
    </row>
    <row r="26" spans="1:2" ht="15">
      <c r="A26" s="134"/>
      <c r="B26" s="265"/>
    </row>
    <row r="27" spans="1:2" ht="15.75" customHeight="1">
      <c r="A27" s="310" t="s">
        <v>2</v>
      </c>
      <c r="B27" s="248">
        <f>SUM(B20:B26)</f>
        <v>787000</v>
      </c>
    </row>
    <row r="29" ht="15">
      <c r="B29" s="248"/>
    </row>
    <row r="30" spans="1:2" ht="15">
      <c r="A30" s="48" t="s">
        <v>358</v>
      </c>
      <c r="B30" s="248">
        <f>B17+B27</f>
        <v>863000</v>
      </c>
    </row>
    <row r="32" ht="11.25" customHeight="1">
      <c r="B32" s="265"/>
    </row>
    <row r="33" spans="1:2" ht="16.5">
      <c r="A33" s="49" t="s">
        <v>359</v>
      </c>
      <c r="B33" s="267">
        <f>B30</f>
        <v>863000</v>
      </c>
    </row>
    <row r="34" spans="1:2" s="50" customFormat="1" ht="16.5">
      <c r="A34" s="49"/>
      <c r="B34" s="266"/>
    </row>
    <row r="35" s="50" customFormat="1" ht="16.5">
      <c r="A35" s="40"/>
    </row>
  </sheetData>
  <sheetProtection/>
  <mergeCells count="7">
    <mergeCell ref="A8:B8"/>
    <mergeCell ref="A7:B7"/>
    <mergeCell ref="A4:B4"/>
    <mergeCell ref="A6:B6"/>
    <mergeCell ref="A3:B3"/>
    <mergeCell ref="A1:B1"/>
    <mergeCell ref="A5:B5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72.125" style="0" customWidth="1"/>
    <col min="2" max="2" width="11.75390625" style="0" customWidth="1"/>
    <col min="3" max="4" width="9.125" style="0" hidden="1" customWidth="1"/>
    <col min="5" max="5" width="6.75390625" style="0" hidden="1" customWidth="1"/>
    <col min="6" max="6" width="9.125" style="0" hidden="1" customWidth="1"/>
    <col min="7" max="7" width="1.00390625" style="0" hidden="1" customWidth="1"/>
    <col min="8" max="10" width="9.125" style="0" hidden="1" customWidth="1"/>
  </cols>
  <sheetData>
    <row r="2" spans="1:2" ht="12.75">
      <c r="A2" s="411"/>
      <c r="B2" s="411"/>
    </row>
    <row r="3" spans="1:2" ht="12.75">
      <c r="A3" s="308"/>
      <c r="B3" s="308"/>
    </row>
    <row r="4" spans="1:2" ht="12.75">
      <c r="A4" s="409" t="s">
        <v>450</v>
      </c>
      <c r="B4" s="409"/>
    </row>
    <row r="6" spans="1:10" ht="12.75">
      <c r="A6" s="399"/>
      <c r="B6" s="399"/>
      <c r="C6" s="234"/>
      <c r="D6" s="234"/>
      <c r="E6" s="234"/>
      <c r="F6" s="234"/>
      <c r="G6" s="234"/>
      <c r="H6" s="234"/>
      <c r="I6" s="234"/>
      <c r="J6" s="234"/>
    </row>
    <row r="7" spans="1:10" ht="12.75">
      <c r="A7" s="528" t="s">
        <v>342</v>
      </c>
      <c r="B7" s="528"/>
      <c r="C7" s="528"/>
      <c r="D7" s="528"/>
      <c r="E7" s="528"/>
      <c r="F7" s="528"/>
      <c r="G7" s="528"/>
      <c r="H7" s="528"/>
      <c r="I7" s="528"/>
      <c r="J7" s="528"/>
    </row>
    <row r="8" spans="1:10" ht="12.75">
      <c r="A8" s="528" t="s">
        <v>406</v>
      </c>
      <c r="B8" s="528"/>
      <c r="C8" s="528"/>
      <c r="D8" s="528"/>
      <c r="E8" s="528"/>
      <c r="F8" s="528"/>
      <c r="G8" s="528"/>
      <c r="H8" s="528"/>
      <c r="I8" s="528"/>
      <c r="J8" s="528"/>
    </row>
    <row r="9" spans="1:10" ht="13.5" thickBot="1">
      <c r="A9" s="529" t="s">
        <v>376</v>
      </c>
      <c r="B9" s="529"/>
      <c r="C9" s="529"/>
      <c r="D9" s="529"/>
      <c r="E9" s="529"/>
      <c r="F9" s="529"/>
      <c r="G9" s="529"/>
      <c r="H9" s="529"/>
      <c r="I9" s="529"/>
      <c r="J9" s="529"/>
    </row>
    <row r="10" spans="1:2" ht="45" customHeight="1" thickBot="1" thickTop="1">
      <c r="A10" s="238" t="s">
        <v>0</v>
      </c>
      <c r="B10" s="372" t="s">
        <v>470</v>
      </c>
    </row>
    <row r="11" ht="13.5" thickTop="1"/>
    <row r="13" spans="1:4" ht="23.25" customHeight="1">
      <c r="A13" s="241" t="s">
        <v>413</v>
      </c>
      <c r="D13" s="235"/>
    </row>
    <row r="15" spans="1:2" ht="12.75">
      <c r="A15" t="s">
        <v>412</v>
      </c>
      <c r="B15" s="236">
        <v>500000</v>
      </c>
    </row>
    <row r="16" spans="1:2" ht="13.5" customHeight="1">
      <c r="A16" t="s">
        <v>410</v>
      </c>
      <c r="B16" s="312">
        <v>135000</v>
      </c>
    </row>
    <row r="17" spans="1:2" ht="12.75">
      <c r="A17" s="239" t="s">
        <v>407</v>
      </c>
      <c r="B17" s="240">
        <f>B15+B16</f>
        <v>635000</v>
      </c>
    </row>
    <row r="18" ht="12.75">
      <c r="B18" s="236"/>
    </row>
    <row r="19" spans="1:2" ht="12.75">
      <c r="A19" s="239" t="s">
        <v>408</v>
      </c>
      <c r="B19" s="236"/>
    </row>
    <row r="20" spans="1:2" ht="12" customHeight="1">
      <c r="A20" s="239"/>
      <c r="B20" s="236"/>
    </row>
    <row r="21" spans="1:2" ht="15" customHeight="1">
      <c r="A21" t="s">
        <v>409</v>
      </c>
      <c r="B21" s="236">
        <f>300000-78583-23621</f>
        <v>197796</v>
      </c>
    </row>
    <row r="22" spans="1:2" ht="15.75" customHeight="1">
      <c r="A22" t="s">
        <v>410</v>
      </c>
      <c r="B22" s="312">
        <f>81000-21217-6378</f>
        <v>53405</v>
      </c>
    </row>
    <row r="23" spans="1:2" ht="13.5" customHeight="1">
      <c r="A23" s="239" t="s">
        <v>407</v>
      </c>
      <c r="B23" s="240">
        <f>B21+B22</f>
        <v>251201</v>
      </c>
    </row>
    <row r="25" spans="1:2" ht="12.75">
      <c r="A25" s="239" t="s">
        <v>469</v>
      </c>
      <c r="B25" s="236"/>
    </row>
    <row r="26" spans="1:2" ht="12.75">
      <c r="A26" s="239"/>
      <c r="B26" s="236"/>
    </row>
    <row r="27" spans="1:2" ht="12.75">
      <c r="A27" t="s">
        <v>468</v>
      </c>
      <c r="B27" s="236">
        <v>102204</v>
      </c>
    </row>
    <row r="28" spans="1:2" ht="12.75">
      <c r="A28" t="s">
        <v>410</v>
      </c>
      <c r="B28" s="312">
        <v>27595</v>
      </c>
    </row>
    <row r="29" spans="1:2" ht="12.75">
      <c r="A29" s="239" t="s">
        <v>407</v>
      </c>
      <c r="B29" s="240">
        <f>B27+B28</f>
        <v>129799</v>
      </c>
    </row>
    <row r="30" ht="12.75">
      <c r="B30" s="236"/>
    </row>
    <row r="31" spans="1:2" ht="12.75">
      <c r="A31" s="314" t="s">
        <v>462</v>
      </c>
      <c r="B31" s="236"/>
    </row>
    <row r="32" ht="12.75">
      <c r="B32" s="236"/>
    </row>
    <row r="33" spans="1:2" ht="12.75">
      <c r="A33" s="313" t="s">
        <v>461</v>
      </c>
      <c r="B33" s="236">
        <v>450000</v>
      </c>
    </row>
    <row r="34" spans="1:2" ht="15" customHeight="1">
      <c r="A34" t="s">
        <v>410</v>
      </c>
      <c r="B34" s="312">
        <v>121500</v>
      </c>
    </row>
    <row r="35" spans="1:2" ht="15" customHeight="1">
      <c r="A35" s="239" t="s">
        <v>407</v>
      </c>
      <c r="B35" s="240">
        <f>B33+B34</f>
        <v>571500</v>
      </c>
    </row>
    <row r="38" spans="1:2" ht="12.75">
      <c r="A38" s="239" t="s">
        <v>411</v>
      </c>
      <c r="B38" s="240">
        <f>B17+B23+B35+B29</f>
        <v>1587500</v>
      </c>
    </row>
  </sheetData>
  <sheetProtection/>
  <mergeCells count="6">
    <mergeCell ref="A7:J7"/>
    <mergeCell ref="A8:J8"/>
    <mergeCell ref="A9:J9"/>
    <mergeCell ref="A2:B2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 Patrik</cp:lastModifiedBy>
  <cp:lastPrinted>2016-02-08T06:58:54Z</cp:lastPrinted>
  <dcterms:created xsi:type="dcterms:W3CDTF">2002-11-26T17:22:50Z</dcterms:created>
  <dcterms:modified xsi:type="dcterms:W3CDTF">2016-11-30T08:18:31Z</dcterms:modified>
  <cp:category/>
  <cp:version/>
  <cp:contentType/>
  <cp:contentStatus/>
</cp:coreProperties>
</file>